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/>
  <bookViews>
    <workbookView xWindow="120" yWindow="96" windowWidth="19416" windowHeight="10116"/>
  </bookViews>
  <sheets>
    <sheet name="CETL" sheetId="11" r:id="rId1"/>
    <sheet name="BLS Index Shock" sheetId="17" r:id="rId2"/>
    <sheet name="E&amp;AS" sheetId="13" r:id="rId3"/>
    <sheet name="Rel Req" sheetId="6" r:id="rId4"/>
    <sheet name="Supply" sheetId="4" r:id="rId5"/>
  </sheets>
  <calcPr calcId="145621"/>
</workbook>
</file>

<file path=xl/calcChain.xml><?xml version="1.0" encoding="utf-8"?>
<calcChain xmlns="http://schemas.openxmlformats.org/spreadsheetml/2006/main">
  <c r="CT29" i="6" l="1"/>
  <c r="S22" i="6"/>
  <c r="S21" i="6"/>
  <c r="S20" i="6"/>
  <c r="S19" i="6"/>
  <c r="S18" i="6"/>
  <c r="S17" i="6"/>
  <c r="S16" i="6"/>
  <c r="S15" i="6"/>
  <c r="S14" i="6"/>
  <c r="S13" i="6"/>
  <c r="S12" i="6"/>
  <c r="S11" i="6"/>
  <c r="S10" i="6"/>
  <c r="S8" i="6"/>
  <c r="S9" i="6"/>
  <c r="CT28" i="6"/>
  <c r="F5" i="17"/>
  <c r="F4" i="17"/>
  <c r="F3" i="17"/>
  <c r="F28" i="17"/>
  <c r="F27" i="17"/>
  <c r="F26" i="17"/>
  <c r="F25" i="17"/>
  <c r="F24" i="17"/>
  <c r="F23" i="17"/>
  <c r="F22" i="17"/>
  <c r="F21" i="17"/>
  <c r="F20" i="17"/>
  <c r="F19" i="17"/>
  <c r="F18" i="17"/>
  <c r="F17" i="17"/>
  <c r="F16" i="17"/>
  <c r="F15" i="17"/>
  <c r="F14" i="17"/>
  <c r="F13" i="17"/>
  <c r="F12" i="17"/>
  <c r="D35" i="17" a="1"/>
  <c r="D35" i="17" s="1"/>
  <c r="E35" i="17" l="1"/>
  <c r="Q35" i="13" l="1"/>
  <c r="E12" i="17" l="1"/>
  <c r="E13" i="17"/>
  <c r="G13" i="17" s="1"/>
  <c r="E14" i="17"/>
  <c r="G14" i="17" s="1"/>
  <c r="E15" i="17"/>
  <c r="G15" i="17" s="1"/>
  <c r="E16" i="17"/>
  <c r="G16" i="17" s="1"/>
  <c r="E17" i="17"/>
  <c r="G17" i="17" s="1"/>
  <c r="E18" i="17"/>
  <c r="G18" i="17" s="1"/>
  <c r="E19" i="17"/>
  <c r="G19" i="17" s="1"/>
  <c r="E20" i="17"/>
  <c r="G20" i="17" s="1"/>
  <c r="E21" i="17"/>
  <c r="G21" i="17" s="1"/>
  <c r="E22" i="17"/>
  <c r="G22" i="17" s="1"/>
  <c r="E23" i="17"/>
  <c r="G23" i="17" s="1"/>
  <c r="E24" i="17"/>
  <c r="G24" i="17" s="1"/>
  <c r="E25" i="17"/>
  <c r="G25" i="17" s="1"/>
  <c r="E26" i="17"/>
  <c r="G26" i="17" s="1"/>
  <c r="E27" i="17"/>
  <c r="G27" i="17" s="1"/>
  <c r="E28" i="17"/>
  <c r="G28" i="17" s="1"/>
  <c r="G12" i="17" l="1"/>
  <c r="E13" i="11" l="1"/>
  <c r="F13" i="11" s="1"/>
  <c r="E14" i="11"/>
  <c r="F14" i="11" s="1"/>
  <c r="E15" i="11"/>
  <c r="F15" i="11" s="1"/>
  <c r="E16" i="11"/>
  <c r="F16" i="11" s="1"/>
  <c r="E17" i="11"/>
  <c r="F17" i="11" s="1"/>
  <c r="E18" i="11"/>
  <c r="F18" i="11" s="1"/>
  <c r="E19" i="11"/>
  <c r="F19" i="11" s="1"/>
  <c r="E20" i="11"/>
  <c r="F20" i="11" s="1"/>
  <c r="E21" i="11"/>
  <c r="F21" i="11" s="1"/>
  <c r="E22" i="11"/>
  <c r="F22" i="11" s="1"/>
  <c r="E25" i="11"/>
  <c r="F25" i="11" s="1"/>
  <c r="E26" i="11"/>
  <c r="F26" i="11" s="1"/>
  <c r="E27" i="11"/>
  <c r="F27" i="11" s="1"/>
  <c r="E28" i="11"/>
  <c r="F28" i="11" s="1"/>
  <c r="E29" i="11"/>
  <c r="F29" i="11" s="1"/>
  <c r="E30" i="11"/>
  <c r="F30" i="11" s="1"/>
  <c r="E31" i="11"/>
  <c r="F31" i="11" s="1"/>
  <c r="E32" i="11"/>
  <c r="F32" i="11" s="1"/>
  <c r="E33" i="11"/>
  <c r="F33" i="11" s="1"/>
  <c r="E34" i="11"/>
  <c r="F34" i="11" s="1"/>
  <c r="E37" i="11"/>
  <c r="F37" i="11" s="1"/>
  <c r="E38" i="11"/>
  <c r="F38" i="11" s="1"/>
  <c r="E39" i="11"/>
  <c r="F39" i="11" s="1"/>
  <c r="E40" i="11"/>
  <c r="F40" i="11" s="1"/>
  <c r="E41" i="11"/>
  <c r="F41" i="11" s="1"/>
  <c r="E42" i="11"/>
  <c r="F42" i="11" s="1"/>
  <c r="E43" i="11"/>
  <c r="F43" i="11" s="1"/>
  <c r="E44" i="11"/>
  <c r="F44" i="11" s="1"/>
  <c r="E45" i="11"/>
  <c r="F45" i="11" s="1"/>
  <c r="E47" i="11"/>
  <c r="F47" i="11" s="1"/>
  <c r="E49" i="11"/>
  <c r="F49" i="11" s="1"/>
  <c r="E50" i="11"/>
  <c r="F50" i="11" s="1"/>
  <c r="E52" i="11"/>
  <c r="F52" i="11" s="1"/>
  <c r="E53" i="11"/>
  <c r="F53" i="11" s="1"/>
  <c r="E54" i="11"/>
  <c r="F54" i="11" s="1"/>
  <c r="E55" i="11"/>
  <c r="F55" i="11" s="1"/>
  <c r="E56" i="11"/>
  <c r="F56" i="11" s="1"/>
  <c r="E57" i="11"/>
  <c r="F57" i="11" s="1"/>
  <c r="E58" i="11"/>
  <c r="F58" i="11" s="1"/>
  <c r="E60" i="11"/>
  <c r="F60" i="11" s="1"/>
  <c r="E61" i="11"/>
  <c r="F61" i="11" s="1"/>
  <c r="E62" i="11"/>
  <c r="F62" i="11" s="1"/>
  <c r="E64" i="11"/>
  <c r="F64" i="11" s="1"/>
  <c r="E65" i="11"/>
  <c r="F65" i="11" s="1"/>
  <c r="E66" i="11"/>
  <c r="F66" i="11" s="1"/>
  <c r="E67" i="11"/>
  <c r="F67" i="11" s="1"/>
  <c r="E68" i="11"/>
  <c r="F68" i="11" s="1"/>
  <c r="E69" i="11"/>
  <c r="F69" i="11" s="1"/>
  <c r="E76" i="11"/>
  <c r="F76" i="11" s="1"/>
  <c r="E77" i="11"/>
  <c r="F77" i="11" s="1"/>
  <c r="E78" i="11"/>
  <c r="F78" i="11" s="1"/>
  <c r="E79" i="11"/>
  <c r="F79" i="11" s="1"/>
  <c r="E80" i="11"/>
  <c r="F80" i="11" s="1"/>
  <c r="E81" i="11"/>
  <c r="F81" i="11" s="1"/>
  <c r="E89" i="11"/>
  <c r="F89" i="11" s="1"/>
  <c r="E90" i="11"/>
  <c r="F90" i="11" s="1"/>
  <c r="E91" i="11"/>
  <c r="F91" i="11" s="1"/>
  <c r="E92" i="11"/>
  <c r="F92" i="11" s="1"/>
  <c r="E93" i="11"/>
  <c r="F93" i="11" s="1"/>
  <c r="E101" i="11"/>
  <c r="F101" i="11" s="1"/>
  <c r="E102" i="11"/>
  <c r="F102" i="11" s="1"/>
  <c r="E103" i="11"/>
  <c r="F103" i="11" s="1"/>
  <c r="E104" i="11"/>
  <c r="F104" i="11" s="1"/>
  <c r="E105" i="11"/>
  <c r="F105" i="11" s="1"/>
  <c r="E114" i="11"/>
  <c r="F114" i="11" s="1"/>
  <c r="E115" i="11"/>
  <c r="F115" i="11" s="1"/>
  <c r="E116" i="11"/>
  <c r="F116" i="11" s="1"/>
  <c r="E117" i="11"/>
  <c r="F117" i="11" s="1"/>
  <c r="E127" i="11"/>
  <c r="F127" i="11" s="1"/>
  <c r="E128" i="11"/>
  <c r="F128" i="11" s="1"/>
  <c r="E129" i="11"/>
  <c r="F129" i="11" s="1"/>
  <c r="E10" i="11"/>
  <c r="F10" i="11" s="1"/>
  <c r="D11" i="11"/>
  <c r="E11" i="11" s="1"/>
  <c r="F11" i="11" s="1"/>
  <c r="D12" i="11"/>
  <c r="E12" i="11" s="1"/>
  <c r="F12" i="11" s="1"/>
  <c r="D13" i="11"/>
  <c r="D14" i="11"/>
  <c r="D15" i="11"/>
  <c r="D16" i="11"/>
  <c r="D17" i="11"/>
  <c r="D18" i="11"/>
  <c r="D19" i="11"/>
  <c r="D20" i="11"/>
  <c r="D21" i="11"/>
  <c r="D22" i="11"/>
  <c r="D23" i="11"/>
  <c r="E23" i="11" s="1"/>
  <c r="F23" i="11" s="1"/>
  <c r="D24" i="11"/>
  <c r="E24" i="11" s="1"/>
  <c r="F24" i="11" s="1"/>
  <c r="D25" i="11"/>
  <c r="D26" i="11"/>
  <c r="D27" i="11"/>
  <c r="D28" i="11"/>
  <c r="D29" i="11"/>
  <c r="D30" i="11"/>
  <c r="D31" i="11"/>
  <c r="D32" i="11"/>
  <c r="D33" i="11"/>
  <c r="D34" i="11"/>
  <c r="D35" i="11"/>
  <c r="E35" i="11" s="1"/>
  <c r="F35" i="11" s="1"/>
  <c r="D36" i="11"/>
  <c r="E36" i="11" s="1"/>
  <c r="F36" i="11" s="1"/>
  <c r="D37" i="11"/>
  <c r="D38" i="11"/>
  <c r="D39" i="11"/>
  <c r="D40" i="11"/>
  <c r="D41" i="11"/>
  <c r="D42" i="11"/>
  <c r="D43" i="11"/>
  <c r="D44" i="11"/>
  <c r="D45" i="11"/>
  <c r="D46" i="11"/>
  <c r="E46" i="11" s="1"/>
  <c r="F46" i="11" s="1"/>
  <c r="D47" i="11"/>
  <c r="D48" i="11"/>
  <c r="E48" i="11" s="1"/>
  <c r="F48" i="11" s="1"/>
  <c r="D49" i="11"/>
  <c r="D50" i="11"/>
  <c r="D51" i="11"/>
  <c r="E51" i="11" s="1"/>
  <c r="F51" i="11" s="1"/>
  <c r="D52" i="11"/>
  <c r="D53" i="11"/>
  <c r="D54" i="11"/>
  <c r="D55" i="11"/>
  <c r="D56" i="11"/>
  <c r="D57" i="11"/>
  <c r="D58" i="11"/>
  <c r="D59" i="11"/>
  <c r="E59" i="11" s="1"/>
  <c r="F59" i="11" s="1"/>
  <c r="D60" i="11"/>
  <c r="D61" i="11"/>
  <c r="D62" i="11"/>
  <c r="D63" i="11"/>
  <c r="E63" i="11" s="1"/>
  <c r="F63" i="11" s="1"/>
  <c r="D64" i="11"/>
  <c r="D65" i="11"/>
  <c r="D66" i="11"/>
  <c r="D67" i="11"/>
  <c r="D68" i="11"/>
  <c r="D69" i="11"/>
  <c r="D70" i="11"/>
  <c r="E70" i="11" s="1"/>
  <c r="F70" i="11" s="1"/>
  <c r="D71" i="11"/>
  <c r="E71" i="11" s="1"/>
  <c r="F71" i="11" s="1"/>
  <c r="D72" i="11"/>
  <c r="E72" i="11" s="1"/>
  <c r="F72" i="11" s="1"/>
  <c r="D73" i="11"/>
  <c r="E73" i="11" s="1"/>
  <c r="F73" i="11" s="1"/>
  <c r="D74" i="11"/>
  <c r="E74" i="11" s="1"/>
  <c r="F74" i="11" s="1"/>
  <c r="D75" i="11"/>
  <c r="E75" i="11" s="1"/>
  <c r="F75" i="11" s="1"/>
  <c r="D76" i="11"/>
  <c r="D77" i="11"/>
  <c r="D78" i="11"/>
  <c r="D79" i="11"/>
  <c r="D80" i="11"/>
  <c r="D81" i="11"/>
  <c r="D82" i="11"/>
  <c r="E82" i="11" s="1"/>
  <c r="F82" i="11" s="1"/>
  <c r="D83" i="11"/>
  <c r="E83" i="11" s="1"/>
  <c r="F83" i="11" s="1"/>
  <c r="D84" i="11"/>
  <c r="E84" i="11" s="1"/>
  <c r="F84" i="11" s="1"/>
  <c r="D85" i="11"/>
  <c r="E85" i="11" s="1"/>
  <c r="F85" i="11" s="1"/>
  <c r="D86" i="11"/>
  <c r="E86" i="11" s="1"/>
  <c r="F86" i="11" s="1"/>
  <c r="D87" i="11"/>
  <c r="E87" i="11" s="1"/>
  <c r="F87" i="11" s="1"/>
  <c r="D88" i="11"/>
  <c r="E88" i="11" s="1"/>
  <c r="F88" i="11" s="1"/>
  <c r="D89" i="11"/>
  <c r="D90" i="11"/>
  <c r="D91" i="11"/>
  <c r="D92" i="11"/>
  <c r="D93" i="11"/>
  <c r="D94" i="11"/>
  <c r="E94" i="11" s="1"/>
  <c r="F94" i="11" s="1"/>
  <c r="D95" i="11"/>
  <c r="E95" i="11" s="1"/>
  <c r="F95" i="11" s="1"/>
  <c r="D96" i="11"/>
  <c r="E96" i="11" s="1"/>
  <c r="F96" i="11" s="1"/>
  <c r="D97" i="11"/>
  <c r="E97" i="11" s="1"/>
  <c r="F97" i="11" s="1"/>
  <c r="D98" i="11"/>
  <c r="E98" i="11" s="1"/>
  <c r="F98" i="11" s="1"/>
  <c r="D99" i="11"/>
  <c r="E99" i="11" s="1"/>
  <c r="F99" i="11" s="1"/>
  <c r="D100" i="11"/>
  <c r="E100" i="11" s="1"/>
  <c r="F100" i="11" s="1"/>
  <c r="D101" i="11"/>
  <c r="D102" i="11"/>
  <c r="D103" i="11"/>
  <c r="D104" i="11"/>
  <c r="D105" i="11"/>
  <c r="D106" i="11"/>
  <c r="E106" i="11" s="1"/>
  <c r="F106" i="11" s="1"/>
  <c r="D107" i="11"/>
  <c r="E107" i="11" s="1"/>
  <c r="F107" i="11" s="1"/>
  <c r="D108" i="11"/>
  <c r="E108" i="11" s="1"/>
  <c r="F108" i="11" s="1"/>
  <c r="D109" i="11"/>
  <c r="E109" i="11" s="1"/>
  <c r="F109" i="11" s="1"/>
  <c r="D110" i="11"/>
  <c r="E110" i="11" s="1"/>
  <c r="F110" i="11" s="1"/>
  <c r="D111" i="11"/>
  <c r="E111" i="11" s="1"/>
  <c r="F111" i="11" s="1"/>
  <c r="D112" i="11"/>
  <c r="E112" i="11" s="1"/>
  <c r="F112" i="11" s="1"/>
  <c r="D113" i="11"/>
  <c r="E113" i="11" s="1"/>
  <c r="F113" i="11" s="1"/>
  <c r="D114" i="11"/>
  <c r="D115" i="11"/>
  <c r="D116" i="11"/>
  <c r="D117" i="11"/>
  <c r="D118" i="11"/>
  <c r="E118" i="11" s="1"/>
  <c r="F118" i="11" s="1"/>
  <c r="D119" i="11"/>
  <c r="E119" i="11" s="1"/>
  <c r="F119" i="11" s="1"/>
  <c r="D120" i="11"/>
  <c r="E120" i="11" s="1"/>
  <c r="F120" i="11" s="1"/>
  <c r="D121" i="11"/>
  <c r="E121" i="11" s="1"/>
  <c r="F121" i="11" s="1"/>
  <c r="D122" i="11"/>
  <c r="E122" i="11" s="1"/>
  <c r="F122" i="11" s="1"/>
  <c r="D123" i="11"/>
  <c r="E123" i="11" s="1"/>
  <c r="F123" i="11" s="1"/>
  <c r="D124" i="11"/>
  <c r="E124" i="11" s="1"/>
  <c r="F124" i="11" s="1"/>
  <c r="D125" i="11"/>
  <c r="E125" i="11" s="1"/>
  <c r="F125" i="11" s="1"/>
  <c r="D126" i="11"/>
  <c r="E126" i="11" s="1"/>
  <c r="F126" i="11" s="1"/>
  <c r="D127" i="11"/>
  <c r="D128" i="11"/>
  <c r="D129" i="11"/>
  <c r="D130" i="11"/>
  <c r="E130" i="11" s="1"/>
  <c r="F130" i="11" s="1"/>
  <c r="D131" i="11"/>
  <c r="E131" i="11" s="1"/>
  <c r="F131" i="11" s="1"/>
  <c r="D132" i="11"/>
  <c r="E132" i="11" s="1"/>
  <c r="F132" i="11" s="1"/>
  <c r="D133" i="11"/>
  <c r="E133" i="11" s="1"/>
  <c r="F133" i="11" s="1"/>
  <c r="D134" i="11"/>
  <c r="E134" i="11" s="1"/>
  <c r="F134" i="11" s="1"/>
  <c r="D135" i="11"/>
  <c r="E135" i="11" s="1"/>
  <c r="F135" i="11" s="1"/>
  <c r="D136" i="11"/>
  <c r="E136" i="11" s="1"/>
  <c r="F136" i="11" s="1"/>
  <c r="D137" i="11"/>
  <c r="E137" i="11" s="1"/>
  <c r="F137" i="11" s="1"/>
  <c r="D138" i="11"/>
  <c r="E138" i="11" s="1"/>
  <c r="F138" i="11" s="1"/>
  <c r="D139" i="11"/>
  <c r="E139" i="11" s="1"/>
  <c r="F139" i="11" s="1"/>
  <c r="D140" i="11"/>
  <c r="E140" i="11" s="1"/>
  <c r="F140" i="11" s="1"/>
  <c r="D141" i="11"/>
  <c r="E141" i="11" s="1"/>
  <c r="F141" i="11" s="1"/>
  <c r="D142" i="11"/>
  <c r="E142" i="11" s="1"/>
  <c r="F142" i="11" s="1"/>
  <c r="D143" i="11"/>
  <c r="E143" i="11" s="1"/>
  <c r="F143" i="11" s="1"/>
  <c r="D144" i="11"/>
  <c r="E144" i="11" s="1"/>
  <c r="F144" i="11" s="1"/>
  <c r="D145" i="11"/>
  <c r="E145" i="11" s="1"/>
  <c r="F145" i="11" s="1"/>
  <c r="D146" i="11"/>
  <c r="E146" i="11" s="1"/>
  <c r="F146" i="11" s="1"/>
  <c r="D147" i="11"/>
  <c r="E147" i="11" s="1"/>
  <c r="F147" i="11" s="1"/>
  <c r="D148" i="11"/>
  <c r="E148" i="11" s="1"/>
  <c r="F148" i="11" s="1"/>
  <c r="D149" i="11"/>
  <c r="E149" i="11" s="1"/>
  <c r="F149" i="11" s="1"/>
  <c r="D150" i="11"/>
  <c r="E150" i="11" s="1"/>
  <c r="F150" i="11" s="1"/>
  <c r="D151" i="11"/>
  <c r="E151" i="11" s="1"/>
  <c r="F151" i="11" s="1"/>
  <c r="D152" i="11"/>
  <c r="E152" i="11" s="1"/>
  <c r="F152" i="11" s="1"/>
  <c r="D153" i="11"/>
  <c r="E153" i="11" s="1"/>
  <c r="F153" i="11" s="1"/>
  <c r="D154" i="11"/>
  <c r="E154" i="11" s="1"/>
  <c r="F154" i="11" s="1"/>
  <c r="D155" i="11"/>
  <c r="E155" i="11" s="1"/>
  <c r="F155" i="11" s="1"/>
  <c r="D156" i="11"/>
  <c r="E156" i="11" s="1"/>
  <c r="F156" i="11" s="1"/>
  <c r="D157" i="11"/>
  <c r="E157" i="11" s="1"/>
  <c r="F157" i="11" s="1"/>
  <c r="D158" i="11"/>
  <c r="E158" i="11" s="1"/>
  <c r="F158" i="11" s="1"/>
  <c r="D159" i="11"/>
  <c r="E159" i="11" s="1"/>
  <c r="F159" i="11" s="1"/>
  <c r="D160" i="11"/>
  <c r="E160" i="11" s="1"/>
  <c r="F160" i="11" s="1"/>
  <c r="D161" i="11"/>
  <c r="E161" i="11" s="1"/>
  <c r="F161" i="11" s="1"/>
  <c r="D162" i="11"/>
  <c r="E162" i="11" s="1"/>
  <c r="F162" i="11" s="1"/>
  <c r="D163" i="11"/>
  <c r="E163" i="11" s="1"/>
  <c r="F163" i="11" s="1"/>
  <c r="D164" i="11"/>
  <c r="E164" i="11" s="1"/>
  <c r="F164" i="11" s="1"/>
  <c r="D165" i="11"/>
  <c r="E165" i="11" s="1"/>
  <c r="F165" i="11" s="1"/>
  <c r="D166" i="11"/>
  <c r="E166" i="11" s="1"/>
  <c r="F166" i="11" s="1"/>
  <c r="D167" i="11"/>
  <c r="E167" i="11" s="1"/>
  <c r="F167" i="11" s="1"/>
  <c r="D168" i="11"/>
  <c r="E168" i="11" s="1"/>
  <c r="F168" i="11" s="1"/>
  <c r="D169" i="11"/>
  <c r="E169" i="11" s="1"/>
  <c r="F169" i="11" s="1"/>
  <c r="D170" i="11"/>
  <c r="E170" i="11" s="1"/>
  <c r="F170" i="11" s="1"/>
  <c r="D171" i="11"/>
  <c r="E171" i="11" s="1"/>
  <c r="F171" i="11" s="1"/>
  <c r="D172" i="11"/>
  <c r="E172" i="11" s="1"/>
  <c r="F172" i="11" s="1"/>
  <c r="D173" i="11"/>
  <c r="E173" i="11" s="1"/>
  <c r="F173" i="11" s="1"/>
  <c r="D174" i="11"/>
  <c r="E174" i="11" s="1"/>
  <c r="F174" i="11" s="1"/>
  <c r="D175" i="11"/>
  <c r="E175" i="11" s="1"/>
  <c r="F175" i="11" s="1"/>
  <c r="D176" i="11"/>
  <c r="E176" i="11" s="1"/>
  <c r="F176" i="11" s="1"/>
  <c r="D177" i="11"/>
  <c r="E177" i="11" s="1"/>
  <c r="F177" i="11" s="1"/>
  <c r="D10" i="11"/>
  <c r="F4" i="11" l="1"/>
  <c r="K78" i="4"/>
  <c r="J78" i="4"/>
  <c r="K77" i="4"/>
  <c r="J77" i="4"/>
  <c r="K76" i="4"/>
  <c r="J76" i="4"/>
  <c r="K75" i="4"/>
  <c r="J75" i="4"/>
  <c r="K74" i="4"/>
  <c r="J74" i="4"/>
  <c r="K73" i="4"/>
  <c r="J73" i="4"/>
  <c r="K72" i="4"/>
  <c r="J72" i="4"/>
  <c r="K71" i="4"/>
  <c r="J71" i="4"/>
  <c r="K70" i="4"/>
  <c r="J70" i="4"/>
  <c r="K69" i="4"/>
  <c r="J69" i="4"/>
  <c r="K68" i="4"/>
  <c r="J68" i="4"/>
  <c r="K67" i="4"/>
  <c r="J67" i="4"/>
  <c r="K66" i="4"/>
  <c r="J66" i="4"/>
  <c r="K65" i="4"/>
  <c r="J65" i="4"/>
  <c r="K64" i="4"/>
  <c r="J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64" i="4"/>
  <c r="U37" i="4"/>
  <c r="T37" i="4"/>
  <c r="U25" i="4"/>
  <c r="T25" i="4"/>
  <c r="S36" i="4"/>
  <c r="I78" i="4" s="1"/>
  <c r="S30" i="4"/>
  <c r="I72" i="4" s="1"/>
  <c r="S35" i="4"/>
  <c r="I77" i="4" s="1"/>
  <c r="S34" i="4"/>
  <c r="I76" i="4" s="1"/>
  <c r="S33" i="4"/>
  <c r="I75" i="4" s="1"/>
  <c r="S32" i="4"/>
  <c r="I74" i="4" s="1"/>
  <c r="S31" i="4"/>
  <c r="I73" i="4" s="1"/>
  <c r="S29" i="4"/>
  <c r="I71" i="4" s="1"/>
  <c r="S28" i="4"/>
  <c r="I70" i="4" s="1"/>
  <c r="S23" i="4"/>
  <c r="I68" i="4" s="1"/>
  <c r="S24" i="4"/>
  <c r="I69" i="4" s="1"/>
  <c r="S22" i="4"/>
  <c r="I67" i="4" s="1"/>
  <c r="S21" i="4"/>
  <c r="I66" i="4" s="1"/>
  <c r="S20" i="4"/>
  <c r="I65" i="4" s="1"/>
  <c r="S17" i="4"/>
  <c r="S16" i="4"/>
  <c r="S15" i="4"/>
  <c r="S14" i="4"/>
  <c r="I64" i="4" s="1"/>
  <c r="R36" i="4"/>
  <c r="H78" i="4" s="1"/>
  <c r="R35" i="4"/>
  <c r="H77" i="4" s="1"/>
  <c r="R34" i="4"/>
  <c r="H76" i="4" s="1"/>
  <c r="R33" i="4"/>
  <c r="H75" i="4" s="1"/>
  <c r="R32" i="4"/>
  <c r="H74" i="4" s="1"/>
  <c r="R31" i="4"/>
  <c r="H73" i="4" s="1"/>
  <c r="R30" i="4"/>
  <c r="H72" i="4" s="1"/>
  <c r="R29" i="4"/>
  <c r="H71" i="4" s="1"/>
  <c r="R28" i="4"/>
  <c r="H70" i="4" s="1"/>
  <c r="R24" i="4"/>
  <c r="H69" i="4" s="1"/>
  <c r="R23" i="4"/>
  <c r="H68" i="4" s="1"/>
  <c r="R22" i="4"/>
  <c r="H67" i="4" s="1"/>
  <c r="R21" i="4"/>
  <c r="H66" i="4" s="1"/>
  <c r="R20" i="4"/>
  <c r="H65" i="4" s="1"/>
  <c r="R17" i="4"/>
  <c r="R16" i="4"/>
  <c r="R15" i="4"/>
  <c r="R14" i="4"/>
  <c r="H64" i="4" s="1"/>
  <c r="A36" i="4"/>
  <c r="Y36" i="4" s="1"/>
  <c r="O78" i="4" s="1"/>
  <c r="A35" i="4"/>
  <c r="E77" i="4" s="1"/>
  <c r="A34" i="4"/>
  <c r="Z34" i="4" s="1"/>
  <c r="P76" i="4" s="1"/>
  <c r="A33" i="4"/>
  <c r="Z33" i="4" s="1"/>
  <c r="P75" i="4" s="1"/>
  <c r="A32" i="4"/>
  <c r="Z32" i="4" s="1"/>
  <c r="P74" i="4" s="1"/>
  <c r="A31" i="4"/>
  <c r="E73" i="4" s="1"/>
  <c r="A30" i="4"/>
  <c r="Z30" i="4" s="1"/>
  <c r="P72" i="4" s="1"/>
  <c r="A29" i="4"/>
  <c r="Y29" i="4" s="1"/>
  <c r="O71" i="4" s="1"/>
  <c r="A28" i="4"/>
  <c r="E70" i="4" s="1"/>
  <c r="A24" i="4"/>
  <c r="E69" i="4" s="1"/>
  <c r="A23" i="4"/>
  <c r="Z23" i="4" s="1"/>
  <c r="P68" i="4" s="1"/>
  <c r="A22" i="4"/>
  <c r="Y22" i="4" s="1"/>
  <c r="O67" i="4" s="1"/>
  <c r="A21" i="4"/>
  <c r="E66" i="4" s="1"/>
  <c r="A20" i="4"/>
  <c r="E65" i="4" s="1"/>
  <c r="A17" i="4"/>
  <c r="Z17" i="4" s="1"/>
  <c r="A16" i="4"/>
  <c r="Y16" i="4" s="1"/>
  <c r="A15" i="4"/>
  <c r="Y15" i="4" s="1"/>
  <c r="A14" i="4"/>
  <c r="Z14" i="4" s="1"/>
  <c r="P64" i="4" s="1"/>
  <c r="W17" i="4" l="1"/>
  <c r="W23" i="4"/>
  <c r="M68" i="4" s="1"/>
  <c r="W30" i="4"/>
  <c r="M72" i="4" s="1"/>
  <c r="W34" i="4"/>
  <c r="M76" i="4" s="1"/>
  <c r="X15" i="4"/>
  <c r="X21" i="4"/>
  <c r="N66" i="4" s="1"/>
  <c r="X28" i="4"/>
  <c r="N70" i="4" s="1"/>
  <c r="X33" i="4"/>
  <c r="N75" i="4" s="1"/>
  <c r="X36" i="4"/>
  <c r="N78" i="4" s="1"/>
  <c r="Z15" i="4"/>
  <c r="Y21" i="4"/>
  <c r="O66" i="4" s="1"/>
  <c r="Z24" i="4"/>
  <c r="P69" i="4" s="1"/>
  <c r="Y31" i="4"/>
  <c r="O73" i="4" s="1"/>
  <c r="Y34" i="4"/>
  <c r="O76" i="4" s="1"/>
  <c r="Z36" i="4"/>
  <c r="P78" i="4" s="1"/>
  <c r="E76" i="4"/>
  <c r="E72" i="4"/>
  <c r="E68" i="4"/>
  <c r="W14" i="4"/>
  <c r="M64" i="4" s="1"/>
  <c r="W20" i="4"/>
  <c r="M65" i="4" s="1"/>
  <c r="W24" i="4"/>
  <c r="M69" i="4" s="1"/>
  <c r="W31" i="4"/>
  <c r="M73" i="4" s="1"/>
  <c r="W35" i="4"/>
  <c r="M77" i="4" s="1"/>
  <c r="X16" i="4"/>
  <c r="X22" i="4"/>
  <c r="N67" i="4" s="1"/>
  <c r="X29" i="4"/>
  <c r="N71" i="4" s="1"/>
  <c r="X34" i="4"/>
  <c r="N76" i="4" s="1"/>
  <c r="Y14" i="4"/>
  <c r="O64" i="4" s="1"/>
  <c r="Y17" i="4"/>
  <c r="Z21" i="4"/>
  <c r="P66" i="4" s="1"/>
  <c r="Y28" i="4"/>
  <c r="O70" i="4" s="1"/>
  <c r="Z31" i="4"/>
  <c r="P73" i="4" s="1"/>
  <c r="Y35" i="4"/>
  <c r="O77" i="4" s="1"/>
  <c r="E64" i="4"/>
  <c r="E75" i="4"/>
  <c r="E71" i="4"/>
  <c r="E67" i="4"/>
  <c r="W15" i="4"/>
  <c r="W21" i="4"/>
  <c r="M66" i="4" s="1"/>
  <c r="W32" i="4"/>
  <c r="M74" i="4" s="1"/>
  <c r="W36" i="4"/>
  <c r="M78" i="4" s="1"/>
  <c r="X17" i="4"/>
  <c r="X24" i="4"/>
  <c r="N69" i="4" s="1"/>
  <c r="X31" i="4"/>
  <c r="N73" i="4" s="1"/>
  <c r="X35" i="4"/>
  <c r="N77" i="4" s="1"/>
  <c r="Y20" i="4"/>
  <c r="O65" i="4" s="1"/>
  <c r="Y23" i="4"/>
  <c r="O68" i="4" s="1"/>
  <c r="Z28" i="4"/>
  <c r="P70" i="4" s="1"/>
  <c r="Y32" i="4"/>
  <c r="O74" i="4" s="1"/>
  <c r="Z35" i="4"/>
  <c r="E78" i="4"/>
  <c r="E74" i="4"/>
  <c r="W16" i="4"/>
  <c r="W22" i="4"/>
  <c r="W29" i="4"/>
  <c r="M71" i="4" s="1"/>
  <c r="W33" i="4"/>
  <c r="M75" i="4" s="1"/>
  <c r="X14" i="4"/>
  <c r="N64" i="4" s="1"/>
  <c r="X23" i="4"/>
  <c r="N68" i="4" s="1"/>
  <c r="X32" i="4"/>
  <c r="N74" i="4" s="1"/>
  <c r="X30" i="4"/>
  <c r="N72" i="4" s="1"/>
  <c r="Z20" i="4"/>
  <c r="Y24" i="4"/>
  <c r="O69" i="4" s="1"/>
  <c r="Y30" i="4"/>
  <c r="O72" i="4" s="1"/>
  <c r="Z16" i="4"/>
  <c r="Z22" i="4"/>
  <c r="P67" i="4" s="1"/>
  <c r="Z29" i="4"/>
  <c r="P71" i="4" s="1"/>
  <c r="R37" i="4"/>
  <c r="W28" i="4"/>
  <c r="M70" i="4" s="1"/>
  <c r="Y33" i="4"/>
  <c r="O75" i="4" s="1"/>
  <c r="R25" i="4"/>
  <c r="S37" i="4"/>
  <c r="S25" i="4"/>
  <c r="X20" i="4"/>
  <c r="N65" i="4" s="1"/>
  <c r="W25" i="4" l="1"/>
  <c r="M67" i="4"/>
  <c r="Z37" i="4"/>
  <c r="P77" i="4"/>
  <c r="Z25" i="4"/>
  <c r="P65" i="4"/>
  <c r="Y37" i="4"/>
  <c r="W37" i="4"/>
  <c r="Y25" i="4"/>
  <c r="X37" i="4"/>
  <c r="X25" i="4"/>
  <c r="AB2" i="4" l="1"/>
  <c r="AB3" i="4"/>
  <c r="AB36" i="4" l="1"/>
  <c r="R78" i="4" s="1"/>
  <c r="S78" i="4" s="1"/>
  <c r="AB20" i="4"/>
  <c r="R65" i="4" s="1"/>
  <c r="S65" i="4" s="1"/>
  <c r="AB23" i="4"/>
  <c r="R68" i="4" s="1"/>
  <c r="S68" i="4" s="1"/>
  <c r="AB29" i="4"/>
  <c r="R71" i="4" s="1"/>
  <c r="S71" i="4" s="1"/>
  <c r="AB14" i="4"/>
  <c r="R64" i="4" s="1"/>
  <c r="S64" i="4" s="1"/>
  <c r="AB24" i="4"/>
  <c r="R69" i="4" s="1"/>
  <c r="S69" i="4" s="1"/>
  <c r="AB31" i="4"/>
  <c r="R73" i="4" s="1"/>
  <c r="S73" i="4" s="1"/>
  <c r="AB30" i="4"/>
  <c r="R72" i="4" s="1"/>
  <c r="S72" i="4" s="1"/>
  <c r="AB32" i="4"/>
  <c r="R74" i="4" s="1"/>
  <c r="S74" i="4" s="1"/>
  <c r="AB33" i="4"/>
  <c r="R75" i="4" s="1"/>
  <c r="S75" i="4" s="1"/>
  <c r="AB22" i="4"/>
  <c r="R67" i="4" s="1"/>
  <c r="S67" i="4" s="1"/>
  <c r="AB28" i="4"/>
  <c r="R70" i="4" s="1"/>
  <c r="S70" i="4" s="1"/>
  <c r="AB35" i="4"/>
  <c r="R77" i="4" s="1"/>
  <c r="S77" i="4" s="1"/>
  <c r="AB34" i="4"/>
  <c r="R76" i="4" s="1"/>
  <c r="S76" i="4" s="1"/>
  <c r="AB21" i="4"/>
  <c r="R66" i="4" s="1"/>
  <c r="S66" i="4" s="1"/>
  <c r="AB25" i="4" l="1"/>
  <c r="AB37" i="4"/>
  <c r="AN21" i="6"/>
  <c r="AN20" i="6"/>
  <c r="BH20" i="6" s="1"/>
  <c r="AN19" i="6"/>
  <c r="AN18" i="6"/>
  <c r="AN15" i="6"/>
  <c r="AN12" i="6"/>
  <c r="AN11" i="6"/>
  <c r="AN10" i="6"/>
  <c r="AN8" i="6"/>
  <c r="CB6" i="6"/>
  <c r="CC6" i="6" s="1"/>
  <c r="CD6" i="6" s="1"/>
  <c r="CE6" i="6" s="1"/>
  <c r="CF6" i="6" s="1"/>
  <c r="CG6" i="6" s="1"/>
  <c r="CH6" i="6" s="1"/>
  <c r="CI6" i="6" s="1"/>
  <c r="CJ6" i="6" s="1"/>
  <c r="CK6" i="6" s="1"/>
  <c r="CL6" i="6" s="1"/>
  <c r="CM6" i="6" s="1"/>
  <c r="CN6" i="6" s="1"/>
  <c r="BI6" i="6"/>
  <c r="BJ6" i="6" s="1"/>
  <c r="BK6" i="6" s="1"/>
  <c r="BL6" i="6" s="1"/>
  <c r="BM6" i="6" s="1"/>
  <c r="BN6" i="6" s="1"/>
  <c r="BO6" i="6" s="1"/>
  <c r="BP6" i="6" s="1"/>
  <c r="BQ6" i="6" s="1"/>
  <c r="BR6" i="6" s="1"/>
  <c r="BS6" i="6" s="1"/>
  <c r="BT6" i="6" s="1"/>
  <c r="BU6" i="6" s="1"/>
  <c r="AO6" i="6"/>
  <c r="AP6" i="6" s="1"/>
  <c r="AQ6" i="6" s="1"/>
  <c r="AR6" i="6" s="1"/>
  <c r="AS6" i="6" s="1"/>
  <c r="AT6" i="6" s="1"/>
  <c r="AU6" i="6" s="1"/>
  <c r="AV6" i="6" s="1"/>
  <c r="AW6" i="6" s="1"/>
  <c r="AX6" i="6" s="1"/>
  <c r="AY6" i="6" s="1"/>
  <c r="AZ6" i="6" s="1"/>
  <c r="BA6" i="6" s="1"/>
  <c r="W6" i="6"/>
  <c r="D6" i="6"/>
  <c r="E6" i="6" s="1"/>
  <c r="BH8" i="6" l="1"/>
  <c r="BH11" i="6"/>
  <c r="F6" i="6"/>
  <c r="X6" i="6"/>
  <c r="BH12" i="6"/>
  <c r="BH18" i="6"/>
  <c r="BH10" i="6"/>
  <c r="BH15" i="6"/>
  <c r="BH19" i="6"/>
  <c r="BH21" i="6"/>
  <c r="AO8" i="6" l="1"/>
  <c r="AO18" i="6"/>
  <c r="AO12" i="6"/>
  <c r="AO19" i="6"/>
  <c r="CA21" i="6"/>
  <c r="CA19" i="6"/>
  <c r="CA15" i="6"/>
  <c r="AP20" i="6"/>
  <c r="BJ20" i="6" s="1"/>
  <c r="AP18" i="6"/>
  <c r="BJ18" i="6" s="1"/>
  <c r="AP19" i="6"/>
  <c r="BJ19" i="6" s="1"/>
  <c r="AP15" i="6"/>
  <c r="BJ15" i="6" s="1"/>
  <c r="Y6" i="6"/>
  <c r="AP10" i="6"/>
  <c r="BJ10" i="6" s="1"/>
  <c r="AO10" i="6"/>
  <c r="AO15" i="6"/>
  <c r="G6" i="6"/>
  <c r="CA8" i="6"/>
  <c r="CA18" i="6"/>
  <c r="CA12" i="6"/>
  <c r="AO11" i="6"/>
  <c r="AO21" i="6"/>
  <c r="AO20" i="6"/>
  <c r="H6" i="6" l="1"/>
  <c r="BI12" i="6"/>
  <c r="BI15" i="6"/>
  <c r="AQ21" i="6"/>
  <c r="BK21" i="6" s="1"/>
  <c r="AQ19" i="6"/>
  <c r="BK19" i="6" s="1"/>
  <c r="AQ18" i="6"/>
  <c r="BK18" i="6" s="1"/>
  <c r="AQ12" i="6"/>
  <c r="BK12" i="6" s="1"/>
  <c r="AQ14" i="6"/>
  <c r="BK14" i="6" s="1"/>
  <c r="AQ11" i="6"/>
  <c r="BK11" i="6" s="1"/>
  <c r="Z6" i="6"/>
  <c r="AQ8" i="6"/>
  <c r="BK8" i="6" s="1"/>
  <c r="CD8" i="6" s="1"/>
  <c r="BI20" i="6"/>
  <c r="BI21" i="6"/>
  <c r="BI11" i="6"/>
  <c r="AP11" i="6"/>
  <c r="BJ11" i="6" s="1"/>
  <c r="AP21" i="6"/>
  <c r="BJ21" i="6" s="1"/>
  <c r="BI18" i="6"/>
  <c r="BI10" i="6"/>
  <c r="AP12" i="6"/>
  <c r="BJ12" i="6" s="1"/>
  <c r="CC12" i="6" s="1"/>
  <c r="AP8" i="6"/>
  <c r="BJ8" i="6" s="1"/>
  <c r="CC8" i="6" s="1"/>
  <c r="BI19" i="6"/>
  <c r="BI8" i="6"/>
  <c r="CD18" i="6" l="1"/>
  <c r="CC18" i="6"/>
  <c r="CC21" i="6"/>
  <c r="CB8" i="6"/>
  <c r="AQ9" i="6"/>
  <c r="BK9" i="6" s="1"/>
  <c r="CD9" i="6" s="1"/>
  <c r="AR20" i="6"/>
  <c r="BL20" i="6" s="1"/>
  <c r="AR15" i="6"/>
  <c r="BL15" i="6" s="1"/>
  <c r="AA6" i="6"/>
  <c r="AQ15" i="6"/>
  <c r="CD21" i="6"/>
  <c r="CB15" i="6"/>
  <c r="CB12" i="6"/>
  <c r="CB21" i="6"/>
  <c r="CC15" i="6"/>
  <c r="AQ20" i="6"/>
  <c r="I6" i="6"/>
  <c r="CB19" i="6"/>
  <c r="CC19" i="6"/>
  <c r="CD19" i="6"/>
  <c r="CB18" i="6"/>
  <c r="CD11" i="6" l="1"/>
  <c r="J6" i="6"/>
  <c r="AS21" i="6"/>
  <c r="BM21" i="6" s="1"/>
  <c r="AS19" i="6"/>
  <c r="BM19" i="6" s="1"/>
  <c r="AS15" i="6"/>
  <c r="BM15" i="6" s="1"/>
  <c r="AS12" i="6"/>
  <c r="BM12" i="6" s="1"/>
  <c r="AS18" i="6"/>
  <c r="BM18" i="6" s="1"/>
  <c r="AB6" i="6"/>
  <c r="AS9" i="6"/>
  <c r="BM9" i="6" s="1"/>
  <c r="AS8" i="6"/>
  <c r="BM8" i="6" s="1"/>
  <c r="CF8" i="6" s="1"/>
  <c r="AR8" i="6"/>
  <c r="BK20" i="6"/>
  <c r="AR19" i="6"/>
  <c r="BK15" i="6"/>
  <c r="AR12" i="6"/>
  <c r="AR18" i="6"/>
  <c r="AR21" i="6"/>
  <c r="CF18" i="6" l="1"/>
  <c r="CF9" i="6"/>
  <c r="AS20" i="6"/>
  <c r="BL19" i="6"/>
  <c r="BL8" i="6"/>
  <c r="AS11" i="6"/>
  <c r="BM11" i="6" s="1"/>
  <c r="CF11" i="6" s="1"/>
  <c r="CD20" i="6"/>
  <c r="AS10" i="6"/>
  <c r="BM10" i="6" s="1"/>
  <c r="CF10" i="6" s="1"/>
  <c r="BL18" i="6"/>
  <c r="BL21" i="6"/>
  <c r="BL12" i="6"/>
  <c r="CD15" i="6"/>
  <c r="AT20" i="6"/>
  <c r="BN20" i="6" s="1"/>
  <c r="AT18" i="6"/>
  <c r="BN18" i="6" s="1"/>
  <c r="AT11" i="6"/>
  <c r="BN11" i="6" s="1"/>
  <c r="AT13" i="6"/>
  <c r="BN13" i="6" s="1"/>
  <c r="AT9" i="6"/>
  <c r="BN9" i="6" s="1"/>
  <c r="AT14" i="6"/>
  <c r="BN14" i="6" s="1"/>
  <c r="AT10" i="6"/>
  <c r="BN10" i="6" s="1"/>
  <c r="AC6" i="6"/>
  <c r="K6" i="6"/>
  <c r="AS13" i="6"/>
  <c r="BM13" i="6" s="1"/>
  <c r="CF13" i="6" s="1"/>
  <c r="AS14" i="6"/>
  <c r="BM14" i="6" s="1"/>
  <c r="CF21" i="6"/>
  <c r="CF14" i="6" l="1"/>
  <c r="CG14" i="6"/>
  <c r="AT21" i="6"/>
  <c r="L6" i="6"/>
  <c r="CF19" i="6"/>
  <c r="AT12" i="6"/>
  <c r="CG20" i="6"/>
  <c r="CF15" i="6"/>
  <c r="AU20" i="6"/>
  <c r="BO20" i="6" s="1"/>
  <c r="AU21" i="6"/>
  <c r="BO21" i="6" s="1"/>
  <c r="AU19" i="6"/>
  <c r="BO19" i="6" s="1"/>
  <c r="AU15" i="6"/>
  <c r="BO15" i="6" s="1"/>
  <c r="AU12" i="6"/>
  <c r="BO12" i="6" s="1"/>
  <c r="AU14" i="6"/>
  <c r="BO14" i="6" s="1"/>
  <c r="AU10" i="6"/>
  <c r="BO10" i="6" s="1"/>
  <c r="AU11" i="6"/>
  <c r="BO11" i="6" s="1"/>
  <c r="AD6" i="6"/>
  <c r="AU8" i="6"/>
  <c r="BO8" i="6" s="1"/>
  <c r="CH8" i="6" s="1"/>
  <c r="AT8" i="6"/>
  <c r="CE18" i="6"/>
  <c r="CF12" i="6"/>
  <c r="CG10" i="6"/>
  <c r="AT15" i="6"/>
  <c r="CG11" i="6"/>
  <c r="CE21" i="6"/>
  <c r="CE8" i="6"/>
  <c r="AT19" i="6"/>
  <c r="BM20" i="6"/>
  <c r="CH14" i="6" l="1"/>
  <c r="CH15" i="6"/>
  <c r="AU13" i="6"/>
  <c r="BO13" i="6" s="1"/>
  <c r="CH13" i="6" s="1"/>
  <c r="CH21" i="6"/>
  <c r="BN19" i="6"/>
  <c r="BN8" i="6"/>
  <c r="AV21" i="6"/>
  <c r="BP21" i="6" s="1"/>
  <c r="AV18" i="6"/>
  <c r="BP18" i="6" s="1"/>
  <c r="AV16" i="6"/>
  <c r="BP16" i="6" s="1"/>
  <c r="AV13" i="6"/>
  <c r="BP13" i="6" s="1"/>
  <c r="AV9" i="6"/>
  <c r="BP9" i="6" s="1"/>
  <c r="AV11" i="6"/>
  <c r="BP11" i="6" s="1"/>
  <c r="AV8" i="6"/>
  <c r="BP8" i="6" s="1"/>
  <c r="CI8" i="6" s="1"/>
  <c r="AV14" i="6"/>
  <c r="BP14" i="6" s="1"/>
  <c r="AV12" i="6"/>
  <c r="BP12" i="6" s="1"/>
  <c r="AE6" i="6"/>
  <c r="BN12" i="6"/>
  <c r="BN15" i="6"/>
  <c r="AU18" i="6"/>
  <c r="CH19" i="6"/>
  <c r="M6" i="6"/>
  <c r="BN21" i="6"/>
  <c r="CF20" i="6"/>
  <c r="AU9" i="6"/>
  <c r="BO9" i="6" s="1"/>
  <c r="CH9" i="6" s="1"/>
  <c r="CH12" i="6"/>
  <c r="CI11" i="6" l="1"/>
  <c r="CI18" i="6"/>
  <c r="CH10" i="6"/>
  <c r="BO18" i="6"/>
  <c r="CG15" i="6"/>
  <c r="AV15" i="6"/>
  <c r="CI16" i="6"/>
  <c r="CG8" i="6"/>
  <c r="CG9" i="6"/>
  <c r="CG18" i="6"/>
  <c r="CG21" i="6"/>
  <c r="CH11" i="6"/>
  <c r="CG12" i="6"/>
  <c r="CG13" i="6"/>
  <c r="AV10" i="6"/>
  <c r="BP10" i="6" s="1"/>
  <c r="CI10" i="6" s="1"/>
  <c r="CI21" i="6"/>
  <c r="N6" i="6"/>
  <c r="CH20" i="6"/>
  <c r="AW20" i="6"/>
  <c r="BQ20" i="6" s="1"/>
  <c r="AW21" i="6"/>
  <c r="BQ21" i="6" s="1"/>
  <c r="AW15" i="6"/>
  <c r="BQ15" i="6" s="1"/>
  <c r="AW19" i="6"/>
  <c r="BQ19" i="6" s="1"/>
  <c r="AW14" i="6"/>
  <c r="BQ14" i="6" s="1"/>
  <c r="AW10" i="6"/>
  <c r="BQ10" i="6" s="1"/>
  <c r="AW12" i="6"/>
  <c r="BQ12" i="6" s="1"/>
  <c r="AW9" i="6"/>
  <c r="BQ9" i="6" s="1"/>
  <c r="AW8" i="6"/>
  <c r="BQ8" i="6" s="1"/>
  <c r="CJ8" i="6" s="1"/>
  <c r="AF6" i="6"/>
  <c r="AW16" i="6"/>
  <c r="BQ16" i="6" s="1"/>
  <c r="AW13" i="6"/>
  <c r="BQ13" i="6" s="1"/>
  <c r="AW18" i="6"/>
  <c r="BQ18" i="6" s="1"/>
  <c r="AW11" i="6"/>
  <c r="BQ11" i="6" s="1"/>
  <c r="CI9" i="6"/>
  <c r="AV20" i="6"/>
  <c r="CI12" i="6"/>
  <c r="CI13" i="6"/>
  <c r="AV19" i="6"/>
  <c r="CG19" i="6"/>
  <c r="CJ18" i="6" l="1"/>
  <c r="CJ11" i="6"/>
  <c r="CJ16" i="6"/>
  <c r="CJ10" i="6"/>
  <c r="CJ13" i="6"/>
  <c r="CJ9" i="6"/>
  <c r="CJ12" i="6"/>
  <c r="CJ19" i="6"/>
  <c r="BP19" i="6"/>
  <c r="AX20" i="6"/>
  <c r="BR20" i="6" s="1"/>
  <c r="AX21" i="6"/>
  <c r="BR21" i="6" s="1"/>
  <c r="AX16" i="6"/>
  <c r="BR16" i="6" s="1"/>
  <c r="AX18" i="6"/>
  <c r="BR18" i="6" s="1"/>
  <c r="AX11" i="6"/>
  <c r="BR11" i="6" s="1"/>
  <c r="AX8" i="6"/>
  <c r="BR8" i="6" s="1"/>
  <c r="CK8" i="6" s="1"/>
  <c r="AX13" i="6"/>
  <c r="BR13" i="6" s="1"/>
  <c r="AX9" i="6"/>
  <c r="BR9" i="6" s="1"/>
  <c r="AX19" i="6"/>
  <c r="BR19" i="6" s="1"/>
  <c r="CK19" i="6" s="1"/>
  <c r="AX17" i="6"/>
  <c r="BR17" i="6" s="1"/>
  <c r="AX14" i="6"/>
  <c r="BR14" i="6" s="1"/>
  <c r="AX12" i="6"/>
  <c r="BR12" i="6" s="1"/>
  <c r="AX15" i="6"/>
  <c r="BR15" i="6" s="1"/>
  <c r="CK15" i="6" s="1"/>
  <c r="AG6" i="6"/>
  <c r="AX10" i="6"/>
  <c r="BR10" i="6" s="1"/>
  <c r="CJ15" i="6"/>
  <c r="BP15" i="6"/>
  <c r="CJ14" i="6"/>
  <c r="CJ21" i="6"/>
  <c r="O6" i="6"/>
  <c r="CI14" i="6"/>
  <c r="BP20" i="6"/>
  <c r="AW17" i="6"/>
  <c r="BQ17" i="6" s="1"/>
  <c r="CJ17" i="6" s="1"/>
  <c r="CJ20" i="6"/>
  <c r="CH18" i="6"/>
  <c r="CK9" i="6" l="1"/>
  <c r="CK12" i="6"/>
  <c r="CK17" i="6"/>
  <c r="CK18" i="6"/>
  <c r="CK10" i="6"/>
  <c r="CK11" i="6"/>
  <c r="CK21" i="6"/>
  <c r="CI19" i="6"/>
  <c r="CK20" i="6"/>
  <c r="CI20" i="6"/>
  <c r="CK14" i="6"/>
  <c r="CK13" i="6"/>
  <c r="CK16" i="6"/>
  <c r="P6" i="6"/>
  <c r="CI15" i="6"/>
  <c r="AY20" i="6"/>
  <c r="BS20" i="6" s="1"/>
  <c r="AY21" i="6"/>
  <c r="BS21" i="6" s="1"/>
  <c r="AY19" i="6"/>
  <c r="BS19" i="6" s="1"/>
  <c r="AY17" i="6"/>
  <c r="BS17" i="6" s="1"/>
  <c r="AY15" i="6"/>
  <c r="AY18" i="6"/>
  <c r="BS18" i="6" s="1"/>
  <c r="AY16" i="6"/>
  <c r="BS16" i="6" s="1"/>
  <c r="AY12" i="6"/>
  <c r="BS12" i="6" s="1"/>
  <c r="AY14" i="6"/>
  <c r="BS14" i="6" s="1"/>
  <c r="AY10" i="6"/>
  <c r="BS10" i="6" s="1"/>
  <c r="AY13" i="6"/>
  <c r="BS13" i="6" s="1"/>
  <c r="AY11" i="6"/>
  <c r="BS11" i="6" s="1"/>
  <c r="AH6" i="6"/>
  <c r="AY9" i="6"/>
  <c r="BS9" i="6" s="1"/>
  <c r="AY8" i="6"/>
  <c r="BS8" i="6" s="1"/>
  <c r="CL8" i="6" s="1"/>
  <c r="CL13" i="6" l="1"/>
  <c r="CL9" i="6"/>
  <c r="CL21" i="6"/>
  <c r="CL18" i="6"/>
  <c r="AZ21" i="6"/>
  <c r="BT21" i="6" s="1"/>
  <c r="AZ19" i="6"/>
  <c r="BT19" i="6" s="1"/>
  <c r="AZ20" i="6"/>
  <c r="BT20" i="6" s="1"/>
  <c r="AZ18" i="6"/>
  <c r="BT18" i="6" s="1"/>
  <c r="AZ16" i="6"/>
  <c r="BT16" i="6" s="1"/>
  <c r="AZ17" i="6"/>
  <c r="BT17" i="6" s="1"/>
  <c r="AZ15" i="6"/>
  <c r="BT15" i="6" s="1"/>
  <c r="AZ13" i="6"/>
  <c r="BT13" i="6" s="1"/>
  <c r="AZ9" i="6"/>
  <c r="BT9" i="6" s="1"/>
  <c r="AZ11" i="6"/>
  <c r="BT11" i="6" s="1"/>
  <c r="AZ8" i="6"/>
  <c r="BT8" i="6" s="1"/>
  <c r="CM8" i="6" s="1"/>
  <c r="AZ14" i="6"/>
  <c r="BT14" i="6" s="1"/>
  <c r="AZ12" i="6"/>
  <c r="BT12" i="6" s="1"/>
  <c r="AZ10" i="6"/>
  <c r="BT10" i="6" s="1"/>
  <c r="AI6" i="6"/>
  <c r="BS15" i="6"/>
  <c r="CL15" i="6" s="1"/>
  <c r="R20" i="6"/>
  <c r="R21" i="6"/>
  <c r="R19" i="6"/>
  <c r="R18" i="6"/>
  <c r="R12" i="6"/>
  <c r="R8" i="6"/>
  <c r="CS8" i="6" s="1"/>
  <c r="R15" i="6"/>
  <c r="CL11" i="6"/>
  <c r="CL12" i="6"/>
  <c r="CL17" i="6"/>
  <c r="CL20" i="6"/>
  <c r="CL10" i="6"/>
  <c r="CL16" i="6"/>
  <c r="CL19" i="6"/>
  <c r="CL14" i="6"/>
  <c r="CS12" i="6" l="1"/>
  <c r="CM13" i="6"/>
  <c r="CM18" i="6"/>
  <c r="CM10" i="6"/>
  <c r="CM11" i="6"/>
  <c r="CM17" i="6"/>
  <c r="CM14" i="6"/>
  <c r="CM21" i="6"/>
  <c r="CS15" i="6"/>
  <c r="CS20" i="6"/>
  <c r="CM19" i="6"/>
  <c r="CS19" i="6"/>
  <c r="CM12" i="6"/>
  <c r="CM9" i="6"/>
  <c r="CM16" i="6"/>
  <c r="CS18" i="6"/>
  <c r="CS21" i="6"/>
  <c r="CM15" i="6"/>
  <c r="CM20" i="6"/>
  <c r="BA11" i="6" l="1"/>
  <c r="BU11" i="6" s="1"/>
  <c r="AK11" i="6"/>
  <c r="BA10" i="6"/>
  <c r="BU10" i="6" s="1"/>
  <c r="AK10" i="6"/>
  <c r="BA19" i="6"/>
  <c r="AK19" i="6"/>
  <c r="BA8" i="6"/>
  <c r="AK8" i="6"/>
  <c r="BA16" i="6"/>
  <c r="BU16" i="6" s="1"/>
  <c r="AK16" i="6"/>
  <c r="BA14" i="6"/>
  <c r="BU14" i="6" s="1"/>
  <c r="CN14" i="6" s="1"/>
  <c r="AK14" i="6"/>
  <c r="BA21" i="6"/>
  <c r="AK21" i="6"/>
  <c r="BA9" i="6"/>
  <c r="BU9" i="6" s="1"/>
  <c r="AK9" i="6"/>
  <c r="BA13" i="6"/>
  <c r="BU13" i="6" s="1"/>
  <c r="AK13" i="6"/>
  <c r="BA17" i="6"/>
  <c r="BU17" i="6" s="1"/>
  <c r="AK17" i="6"/>
  <c r="BA20" i="6"/>
  <c r="AK20" i="6"/>
  <c r="BA18" i="6"/>
  <c r="AK18" i="6"/>
  <c r="BA12" i="6"/>
  <c r="AK12" i="6"/>
  <c r="BA15" i="6"/>
  <c r="AK15" i="6"/>
  <c r="BA22" i="6"/>
  <c r="BU22" i="6" s="1"/>
  <c r="AK22" i="6"/>
  <c r="CN17" i="6" l="1"/>
  <c r="BU15" i="6"/>
  <c r="BC15" i="6"/>
  <c r="BE15" i="6"/>
  <c r="BU18" i="6"/>
  <c r="BE18" i="6"/>
  <c r="BC18" i="6"/>
  <c r="BU8" i="6"/>
  <c r="CN16" i="6" s="1"/>
  <c r="BE8" i="6"/>
  <c r="BC8" i="6"/>
  <c r="CN10" i="6"/>
  <c r="CN22" i="6"/>
  <c r="BU12" i="6"/>
  <c r="CN13" i="6" s="1"/>
  <c r="BE12" i="6"/>
  <c r="BC12" i="6"/>
  <c r="BU20" i="6"/>
  <c r="BC20" i="6"/>
  <c r="BE20" i="6"/>
  <c r="BU21" i="6"/>
  <c r="BE21" i="6"/>
  <c r="BC21" i="6"/>
  <c r="BU19" i="6"/>
  <c r="BC19" i="6"/>
  <c r="BE19" i="6"/>
  <c r="CN11" i="6"/>
  <c r="CN9" i="6" l="1"/>
  <c r="CN19" i="6"/>
  <c r="BW19" i="6"/>
  <c r="CN21" i="6"/>
  <c r="CP21" i="6" s="1"/>
  <c r="CT21" i="6" s="1"/>
  <c r="BW21" i="6"/>
  <c r="CN20" i="6"/>
  <c r="BW20" i="6"/>
  <c r="CN8" i="6"/>
  <c r="CP8" i="6" s="1"/>
  <c r="BW8" i="6"/>
  <c r="CN18" i="6"/>
  <c r="CP18" i="6" s="1"/>
  <c r="CT18" i="6" s="1"/>
  <c r="BW18" i="6"/>
  <c r="CN12" i="6"/>
  <c r="BW12" i="6"/>
  <c r="CN15" i="6"/>
  <c r="BW15" i="6"/>
  <c r="AR13" i="6" l="1"/>
  <c r="BL13" i="6" s="1"/>
  <c r="CE13" i="6" s="1"/>
  <c r="AP13" i="6" l="1"/>
  <c r="BJ13" i="6" s="1"/>
  <c r="CC13" i="6" s="1"/>
  <c r="AR14" i="6"/>
  <c r="BL14" i="6" s="1"/>
  <c r="AT16" i="6"/>
  <c r="BN16" i="6" s="1"/>
  <c r="CG16" i="6" s="1"/>
  <c r="AQ13" i="6"/>
  <c r="BK13" i="6" s="1"/>
  <c r="CD13" i="6" s="1"/>
  <c r="AO13" i="6"/>
  <c r="BI13" i="6" s="1"/>
  <c r="CB13" i="6" s="1"/>
  <c r="AP14" i="6"/>
  <c r="BJ14" i="6" s="1"/>
  <c r="CC14" i="6" s="1"/>
  <c r="AO14" i="6"/>
  <c r="BI14" i="6" s="1"/>
  <c r="CB14" i="6" s="1"/>
  <c r="R14" i="6" l="1"/>
  <c r="CS14" i="6" s="1"/>
  <c r="AN14" i="6"/>
  <c r="R13" i="6"/>
  <c r="CS13" i="6" s="1"/>
  <c r="AN13" i="6"/>
  <c r="AV17" i="6"/>
  <c r="BP17" i="6" s="1"/>
  <c r="CI17" i="6" s="1"/>
  <c r="AW22" i="6"/>
  <c r="BQ22" i="6" s="1"/>
  <c r="CJ22" i="6" s="1"/>
  <c r="AQ16" i="6"/>
  <c r="BK16" i="6" s="1"/>
  <c r="CD16" i="6" s="1"/>
  <c r="AS16" i="6"/>
  <c r="BM16" i="6" s="1"/>
  <c r="CF16" i="6" s="1"/>
  <c r="AR17" i="6"/>
  <c r="BL17" i="6" s="1"/>
  <c r="AQ17" i="6"/>
  <c r="BK17" i="6" s="1"/>
  <c r="AS22" i="6"/>
  <c r="BM22" i="6" s="1"/>
  <c r="CF22" i="6" s="1"/>
  <c r="AQ22" i="6"/>
  <c r="BK22" i="6" s="1"/>
  <c r="CD22" i="6" s="1"/>
  <c r="AV22" i="6"/>
  <c r="BP22" i="6" s="1"/>
  <c r="CI22" i="6" s="1"/>
  <c r="AY22" i="6"/>
  <c r="BS22" i="6" s="1"/>
  <c r="CL22" i="6" s="1"/>
  <c r="AR16" i="6"/>
  <c r="BL16" i="6" s="1"/>
  <c r="CE16" i="6" s="1"/>
  <c r="AT17" i="6"/>
  <c r="BN17" i="6" s="1"/>
  <c r="CG17" i="6" s="1"/>
  <c r="AP17" i="6"/>
  <c r="BJ17" i="6" s="1"/>
  <c r="AR22" i="6"/>
  <c r="BL22" i="6" s="1"/>
  <c r="CE22" i="6" s="1"/>
  <c r="AP22" i="6"/>
  <c r="BJ22" i="6" s="1"/>
  <c r="CC22" i="6" s="1"/>
  <c r="AX22" i="6"/>
  <c r="BR22" i="6" s="1"/>
  <c r="CK22" i="6" s="1"/>
  <c r="AP16" i="6"/>
  <c r="BJ16" i="6" s="1"/>
  <c r="CC16" i="6" s="1"/>
  <c r="AO16" i="6"/>
  <c r="BI16" i="6" s="1"/>
  <c r="CB16" i="6" s="1"/>
  <c r="AS17" i="6"/>
  <c r="BM17" i="6" s="1"/>
  <c r="AT22" i="6"/>
  <c r="BN22" i="6" s="1"/>
  <c r="CG22" i="6" s="1"/>
  <c r="AU17" i="6"/>
  <c r="BO17" i="6" s="1"/>
  <c r="AO17" i="6"/>
  <c r="BI17" i="6" s="1"/>
  <c r="CB17" i="6" s="1"/>
  <c r="AU22" i="6"/>
  <c r="BO22" i="6" s="1"/>
  <c r="CH22" i="6" s="1"/>
  <c r="AO22" i="6"/>
  <c r="BI22" i="6" s="1"/>
  <c r="CB22" i="6" s="1"/>
  <c r="AZ22" i="6"/>
  <c r="BT22" i="6" s="1"/>
  <c r="CM22" i="6" s="1"/>
  <c r="AU16" i="6"/>
  <c r="BO16" i="6" s="1"/>
  <c r="CH16" i="6" s="1"/>
  <c r="CF17" i="6" l="1"/>
  <c r="CH17" i="6"/>
  <c r="CC17" i="6"/>
  <c r="CD17" i="6"/>
  <c r="BE13" i="6"/>
  <c r="BC13" i="6"/>
  <c r="BH13" i="6"/>
  <c r="CE17" i="6"/>
  <c r="R22" i="6"/>
  <c r="CS22" i="6" s="1"/>
  <c r="AN22" i="6"/>
  <c r="R17" i="6"/>
  <c r="CS17" i="6" s="1"/>
  <c r="AN17" i="6"/>
  <c r="BC14" i="6"/>
  <c r="BH14" i="6"/>
  <c r="BE14" i="6"/>
  <c r="AN16" i="6"/>
  <c r="R16" i="6"/>
  <c r="CS16" i="6" s="1"/>
  <c r="BE16" i="6" l="1"/>
  <c r="BH16" i="6"/>
  <c r="BC16" i="6"/>
  <c r="BH17" i="6"/>
  <c r="BC17" i="6"/>
  <c r="BE17" i="6"/>
  <c r="BW13" i="6"/>
  <c r="CA13" i="6"/>
  <c r="CP13" i="6" s="1"/>
  <c r="CT13" i="6" s="1"/>
  <c r="BW14" i="6"/>
  <c r="CA14" i="6"/>
  <c r="BC22" i="6"/>
  <c r="BH22" i="6"/>
  <c r="BE22" i="6"/>
  <c r="CA17" i="6" l="1"/>
  <c r="CP17" i="6" s="1"/>
  <c r="CT17" i="6" s="1"/>
  <c r="BW17" i="6"/>
  <c r="BW22" i="6"/>
  <c r="CA22" i="6"/>
  <c r="CP22" i="6" s="1"/>
  <c r="CT22" i="6" s="1"/>
  <c r="CA16" i="6"/>
  <c r="CP16" i="6" s="1"/>
  <c r="CT16" i="6" s="1"/>
  <c r="BW16" i="6"/>
  <c r="R11" i="6" l="1"/>
  <c r="CS11" i="6" s="1"/>
  <c r="AR11" i="6"/>
  <c r="AR10" i="6"/>
  <c r="BL10" i="6" s="1"/>
  <c r="AP9" i="6"/>
  <c r="BJ9" i="6" s="1"/>
  <c r="CC9" i="6" l="1"/>
  <c r="CC20" i="6"/>
  <c r="CC10" i="6"/>
  <c r="CC11" i="6"/>
  <c r="R10" i="6"/>
  <c r="CS10" i="6" s="1"/>
  <c r="AQ10" i="6"/>
  <c r="CE12" i="6"/>
  <c r="CE14" i="6"/>
  <c r="BL11" i="6"/>
  <c r="BE11" i="6"/>
  <c r="BC11" i="6"/>
  <c r="AO9" i="6"/>
  <c r="BI9" i="6" s="1"/>
  <c r="AR9" i="6"/>
  <c r="BL9" i="6" s="1"/>
  <c r="R9" i="6" l="1"/>
  <c r="CS9" i="6" s="1"/>
  <c r="AN9" i="6"/>
  <c r="CE9" i="6"/>
  <c r="CE20" i="6"/>
  <c r="CE10" i="6"/>
  <c r="CB9" i="6"/>
  <c r="CB10" i="6"/>
  <c r="CB11" i="6"/>
  <c r="CB20" i="6"/>
  <c r="CE11" i="6"/>
  <c r="BW11" i="6"/>
  <c r="CE15" i="6"/>
  <c r="CP15" i="6" s="1"/>
  <c r="CT15" i="6" s="1"/>
  <c r="CE19" i="6"/>
  <c r="CP19" i="6" s="1"/>
  <c r="CT19" i="6" s="1"/>
  <c r="BK10" i="6"/>
  <c r="BE10" i="6"/>
  <c r="BC10" i="6"/>
  <c r="CD10" i="6" l="1"/>
  <c r="CD14" i="6"/>
  <c r="CP14" i="6" s="1"/>
  <c r="CT14" i="6" s="1"/>
  <c r="CD12" i="6"/>
  <c r="CP12" i="6" s="1"/>
  <c r="CT12" i="6" s="1"/>
  <c r="BW10" i="6"/>
  <c r="BE9" i="6"/>
  <c r="BC9" i="6"/>
  <c r="BH9" i="6"/>
  <c r="BW9" i="6" l="1"/>
  <c r="CA9" i="6"/>
  <c r="CP9" i="6" s="1"/>
  <c r="CT9" i="6" s="1"/>
  <c r="CA20" i="6"/>
  <c r="CP20" i="6" s="1"/>
  <c r="CT20" i="6" s="1"/>
  <c r="CA10" i="6"/>
  <c r="CP10" i="6" s="1"/>
  <c r="CT10" i="6" s="1"/>
  <c r="CA11" i="6"/>
  <c r="CP11" i="6" s="1"/>
  <c r="CT11" i="6" s="1"/>
  <c r="CU11" i="6" l="1"/>
  <c r="CU21" i="6" l="1"/>
  <c r="CU17" i="6"/>
  <c r="CU13" i="6"/>
  <c r="CU9" i="6"/>
  <c r="CU20" i="6"/>
  <c r="CU16" i="6"/>
  <c r="CV16" i="6" s="1"/>
  <c r="CV17" i="6" s="1"/>
  <c r="CU12" i="6"/>
  <c r="CU19" i="6"/>
  <c r="CU15" i="6"/>
  <c r="CU22" i="6"/>
  <c r="CU18" i="6"/>
  <c r="CU14" i="6"/>
  <c r="CU10" i="6"/>
  <c r="CU8" i="6"/>
  <c r="CV22" i="6" l="1"/>
  <c r="CV18" i="6"/>
  <c r="CV21" i="6"/>
  <c r="CV11" i="6"/>
  <c r="CV10" i="6"/>
  <c r="CV9" i="6"/>
  <c r="CV20" i="6" s="1"/>
  <c r="CV19" i="6" l="1"/>
  <c r="CV15" i="6"/>
  <c r="CV14" i="6"/>
  <c r="CV12" i="6"/>
  <c r="CV13" i="6" s="1"/>
</calcChain>
</file>

<file path=xl/sharedStrings.xml><?xml version="1.0" encoding="utf-8"?>
<sst xmlns="http://schemas.openxmlformats.org/spreadsheetml/2006/main" count="692" uniqueCount="133">
  <si>
    <t>Shock Standard Deviations</t>
  </si>
  <si>
    <t>(MW)</t>
  </si>
  <si>
    <t>(%)</t>
  </si>
  <si>
    <t>MAAC</t>
  </si>
  <si>
    <t>a</t>
  </si>
  <si>
    <t>b</t>
  </si>
  <si>
    <t>EMAAC</t>
  </si>
  <si>
    <t>SWMAAC</t>
  </si>
  <si>
    <t>ATSI</t>
  </si>
  <si>
    <t>PSEG</t>
  </si>
  <si>
    <t>PEPCO</t>
  </si>
  <si>
    <t>PS-North</t>
  </si>
  <si>
    <t>ATSI-Cleveland</t>
  </si>
  <si>
    <t>DPL-South</t>
  </si>
  <si>
    <t>-</t>
  </si>
  <si>
    <t>BGE</t>
  </si>
  <si>
    <t>COMED</t>
  </si>
  <si>
    <t>PPL</t>
  </si>
  <si>
    <t>DEOK</t>
  </si>
  <si>
    <t>Total Supply Offered by Delivery Year</t>
  </si>
  <si>
    <t>Standard Deviation of Historical Fluctuations</t>
  </si>
  <si>
    <t>Total Offers</t>
  </si>
  <si>
    <t>Annual Change in Offer</t>
  </si>
  <si>
    <t>Diff. from Trend</t>
  </si>
  <si>
    <t>Diff. from Spline</t>
  </si>
  <si>
    <t>RTO Including Subzones</t>
  </si>
  <si>
    <t>Total Offered (No Adjustments)</t>
  </si>
  <si>
    <t>Adjust for Expansions Only</t>
  </si>
  <si>
    <t>[A]</t>
  </si>
  <si>
    <t>Adjust for FRR Only</t>
  </si>
  <si>
    <t>[B]</t>
  </si>
  <si>
    <t>Adjust for Expansions and FRR</t>
  </si>
  <si>
    <t>[C]</t>
  </si>
  <si>
    <t>Parent LDAs Including Sub-LDAs</t>
  </si>
  <si>
    <t>n/a</t>
  </si>
  <si>
    <t>Average LDA Fluctuation</t>
  </si>
  <si>
    <t>RTO</t>
  </si>
  <si>
    <t>Smallest LDAs</t>
  </si>
  <si>
    <t>ComEd</t>
  </si>
  <si>
    <t>Dayton</t>
  </si>
  <si>
    <t>[A]:</t>
  </si>
  <si>
    <t>[B]:</t>
  </si>
  <si>
    <t>[C]:</t>
  </si>
  <si>
    <t>Standard deviation of total supply offers by delivery year.</t>
  </si>
  <si>
    <t>Standard deviation of year to year delta in total supply offer.</t>
  </si>
  <si>
    <t>Standard deviation of MW difference from a linear time trend of total supply offer.</t>
  </si>
  <si>
    <t>Column [1] divided by average total historical supply offer.</t>
  </si>
  <si>
    <t>Column [2] divided by average total historical supply offer.</t>
  </si>
  <si>
    <t>Column [3] divided by average total historical supply offer.</t>
  </si>
  <si>
    <t>Reliability Requirement - Historical</t>
  </si>
  <si>
    <t>Delivery Year&gt;</t>
  </si>
  <si>
    <t>Average</t>
  </si>
  <si>
    <t>StDev</t>
  </si>
  <si>
    <t>Parent</t>
  </si>
  <si>
    <t>PS-N</t>
  </si>
  <si>
    <t>DPL-S</t>
  </si>
  <si>
    <t>ATSI-C</t>
  </si>
  <si>
    <t>DAYTON</t>
  </si>
  <si>
    <t>Reliability Requirement - Spline Fitted Time Trend</t>
  </si>
  <si>
    <t>Difference from Spline Fitted Time Trend (MW)</t>
  </si>
  <si>
    <t>Percent Difference from Spline Fitted Time Trend (%)</t>
  </si>
  <si>
    <t>Percent Difference from Spline Fitted Time Trend Incremental to Parent (%)</t>
  </si>
  <si>
    <t>Average Size (% of RTO)</t>
  </si>
  <si>
    <t>Supply Shocks</t>
  </si>
  <si>
    <t>Plot Data For Comparison</t>
  </si>
  <si>
    <t>LDA</t>
  </si>
  <si>
    <t>Supply Offers</t>
  </si>
  <si>
    <t>Average across years</t>
  </si>
  <si>
    <t>St. Dev of Fluctuations</t>
  </si>
  <si>
    <t xml:space="preserve">Model Input Value </t>
  </si>
  <si>
    <t>Model Output in 1,000 Draws</t>
  </si>
  <si>
    <t>Notes:</t>
  </si>
  <si>
    <t>Supply from FRR added to Rest of RTO supply.</t>
  </si>
  <si>
    <t>Column [4] divided by average total historical supply offer.</t>
  </si>
  <si>
    <t>Exponential formula of column [8] and average total historical supply offer.</t>
  </si>
  <si>
    <t>Standard deviation of 1,000 actual modeled draws.</t>
  </si>
  <si>
    <t>Standard Deviation (CETL Shock) &gt;&gt;</t>
  </si>
  <si>
    <t>Calculate CETL Shock</t>
  </si>
  <si>
    <t>Year</t>
  </si>
  <si>
    <t>CETL in that Year</t>
  </si>
  <si>
    <t xml:space="preserve">CETL Average Across Years in LDA </t>
  </si>
  <si>
    <t>Absolute Delta of CETL from Average</t>
  </si>
  <si>
    <t>Percentage Delta</t>
  </si>
  <si>
    <t>PL</t>
  </si>
  <si>
    <t>Standard deviation of MW difference from a spline regression time trend of total supply offer.</t>
  </si>
  <si>
    <t>Supply located in ATSI, DEOK, and East Kentucky Power Cooperative, Inc. (EKPC) zones are subtracted from Rest of RTO Supply.</t>
  </si>
  <si>
    <t>The adjustments from [A] and [B] are combined. For the FRR, adjustment, the portion of the FRR obligation due to DEOK and EKPC are not included.</t>
  </si>
  <si>
    <t>AECO</t>
  </si>
  <si>
    <t>DPL</t>
  </si>
  <si>
    <t>JCPL</t>
  </si>
  <si>
    <t>PECO</t>
  </si>
  <si>
    <t>RECO</t>
  </si>
  <si>
    <t>AEP</t>
  </si>
  <si>
    <t>APS</t>
  </si>
  <si>
    <t>DAY</t>
  </si>
  <si>
    <t>DUQ</t>
  </si>
  <si>
    <t>METED</t>
  </si>
  <si>
    <t>PENELEC</t>
  </si>
  <si>
    <t>DOM</t>
  </si>
  <si>
    <t/>
  </si>
  <si>
    <t>Zone</t>
  </si>
  <si>
    <t>CC Residuals: % Difference from Linear Trend in CC Energy Margins Across Years</t>
  </si>
  <si>
    <t>Fitted a linear trend across years (one for each zone), and calculated the residual as a % of estimated value.</t>
  </si>
  <si>
    <t>Starting point was PJM confidential data on zonal E&amp;AS estimates for a CC.</t>
  </si>
  <si>
    <t>BLS Index Shocks</t>
  </si>
  <si>
    <t>BLS Index</t>
  </si>
  <si>
    <t>Line Estimates</t>
  </si>
  <si>
    <t>Residuals from Linear Estimate</t>
  </si>
  <si>
    <t>error bars</t>
  </si>
  <si>
    <t>Note: BLS index constructed using OH Annual Wages, Turbine and Generator Sets, and Materials and Components for Construction data from BLS according to PJM parameters.</t>
  </si>
  <si>
    <t>Source: Dayton and DEOK excluded because of insufficient CETL data.</t>
  </si>
  <si>
    <t>Fluctuations</t>
  </si>
  <si>
    <t>Modeled Shocks</t>
  </si>
  <si>
    <t>Absolute</t>
  </si>
  <si>
    <t>2020/21 Supply Offer</t>
  </si>
  <si>
    <t>Percent of 2020/21 Offer</t>
  </si>
  <si>
    <t>Difference from Linear Trend</t>
  </si>
  <si>
    <t>Difference from Spline</t>
  </si>
  <si>
    <t>Slope</t>
  </si>
  <si>
    <t>Intercept</t>
  </si>
  <si>
    <t>Linear</t>
  </si>
  <si>
    <t>Coefficients</t>
  </si>
  <si>
    <t>Average BLS Index&gt;</t>
  </si>
  <si>
    <t>Standard Deviation of Residuals&gt;</t>
  </si>
  <si>
    <t>Gross CONE Shock&gt;</t>
  </si>
  <si>
    <t>Data Source: PJM Planning Parameters, Available at: http://www.pjm.com/markets-and-operations/rpm.aspx</t>
  </si>
  <si>
    <t>Index value for 2015 = 1.00</t>
  </si>
  <si>
    <t>Standard Deviation of % Residuals (E&amp;AS Shock) &gt;</t>
  </si>
  <si>
    <t>Modeled Fluctuation Incremental to Parent</t>
  </si>
  <si>
    <t>Fluctuation Incremental to RTO</t>
  </si>
  <si>
    <t>Average as % of RTO</t>
  </si>
  <si>
    <t>Exponential Fit</t>
  </si>
  <si>
    <t>Modeled Fluctuation Incremental to 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</si>
</sst>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[&quot;#&quot;]&quot;"/>
    <numFmt numFmtId="165" formatCode="_(* #,##0_);_(* \(#,##0\);_(* &quot;-&quot;??_);_(@_)"/>
    <numFmt numFmtId="166" formatCode="0.0%"/>
    <numFmt numFmtId="167" formatCode="&quot;[&quot;#&quot;]:&quot;"/>
    <numFmt numFmtId="168" formatCode="0.E+00"/>
    <numFmt numFmtId="169" formatCode="0.000"/>
    <numFmt numFmtId="170" formatCode="0.0E+00"/>
    <numFmt numFmtId="171" formatCode="0.000%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</font>
    <font>
      <sz val="10"/>
      <color rgb="FF0000FF"/>
      <name val="Calibri"/>
      <family val="2"/>
    </font>
    <font>
      <sz val="10"/>
      <name val="Calibri"/>
      <family val="2"/>
    </font>
    <font>
      <sz val="10"/>
      <name val="Calibri"/>
      <family val="2"/>
      <scheme val="major"/>
    </font>
    <font>
      <i/>
      <sz val="10"/>
      <name val="Calibri"/>
      <family val="2"/>
      <scheme val="major"/>
    </font>
    <font>
      <sz val="10"/>
      <color rgb="FF7030A0"/>
      <name val="Calibri"/>
      <family val="2"/>
    </font>
    <font>
      <sz val="10"/>
      <color rgb="FF0000CC"/>
      <name val="Calibri"/>
      <family val="2"/>
    </font>
    <font>
      <sz val="10"/>
      <color rgb="FF008000"/>
      <name val="Calibri"/>
      <family val="2"/>
    </font>
    <font>
      <sz val="10"/>
      <color theme="7" tint="-0.249977111117893"/>
      <name val="Calibri"/>
      <family val="2"/>
    </font>
    <font>
      <sz val="10"/>
      <color rgb="FFFF0000"/>
      <name val="Calibri"/>
      <family val="2"/>
    </font>
    <font>
      <i/>
      <sz val="10"/>
      <name val="Calibri"/>
      <family val="2"/>
    </font>
    <font>
      <sz val="10"/>
      <color rgb="FF00B050"/>
      <name val="Calibri"/>
      <family val="2"/>
    </font>
    <font>
      <b/>
      <sz val="10"/>
      <name val="Calibri"/>
      <family val="2"/>
      <scheme val="major"/>
    </font>
    <font>
      <sz val="10"/>
      <color theme="1"/>
      <name val="Calibri"/>
      <family val="2"/>
      <scheme val="minor"/>
    </font>
    <font>
      <sz val="10"/>
      <color theme="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Times New Roman"/>
      <family val="2"/>
    </font>
    <font>
      <b/>
      <sz val="14"/>
      <color theme="2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0000CC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theme="7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ajor"/>
    </font>
    <font>
      <b/>
      <sz val="16"/>
      <color theme="0"/>
      <name val="Calibri"/>
      <family val="2"/>
    </font>
    <font>
      <b/>
      <sz val="10"/>
      <color rgb="FF0000CC"/>
      <name val="Calibri"/>
      <family val="2"/>
    </font>
    <font>
      <sz val="10"/>
      <color rgb="FF0000FF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00B050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rgb="FF0000CC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3" tint="-0.14999847407452621"/>
        <bgColor indexed="64"/>
      </patternFill>
    </fill>
    <fill>
      <patternFill patternType="solid">
        <fgColor theme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theme="6"/>
      </bottom>
      <diagonal/>
    </border>
    <border>
      <left/>
      <right/>
      <top/>
      <bottom style="thin">
        <color theme="6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9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" fillId="0" borderId="0"/>
    <xf numFmtId="0" fontId="20" fillId="0" borderId="0">
      <alignment wrapText="1"/>
    </xf>
    <xf numFmtId="0" fontId="20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0" fillId="11" borderId="0" applyFont="0" applyFill="0" applyBorder="0" applyAlignment="0" applyProtection="0"/>
    <xf numFmtId="5" fontId="20" fillId="11" borderId="0" applyFont="0" applyFill="0" applyBorder="0" applyAlignment="0" applyProtection="0"/>
    <xf numFmtId="0" fontId="20" fillId="11" borderId="0" applyFont="0" applyFill="0" applyBorder="0" applyAlignment="0" applyProtection="0"/>
    <xf numFmtId="2" fontId="20" fillId="11" borderId="0" applyFont="0" applyFill="0" applyBorder="0" applyAlignment="0" applyProtection="0"/>
    <xf numFmtId="0" fontId="20" fillId="0" borderId="0"/>
    <xf numFmtId="9" fontId="2" fillId="0" borderId="0" applyFont="0" applyFill="0" applyBorder="0" applyAlignment="0" applyProtection="0"/>
    <xf numFmtId="4" fontId="20" fillId="11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>
      <alignment vertical="top"/>
    </xf>
    <xf numFmtId="0" fontId="40" fillId="0" borderId="0"/>
    <xf numFmtId="0" fontId="20" fillId="0" borderId="0"/>
  </cellStyleXfs>
  <cellXfs count="255">
    <xf numFmtId="0" fontId="0" fillId="0" borderId="0" xfId="0"/>
    <xf numFmtId="0" fontId="3" fillId="6" borderId="0" xfId="2" applyFont="1" applyFill="1" applyAlignment="1">
      <alignment vertical="top"/>
    </xf>
    <xf numFmtId="0" fontId="7" fillId="0" borderId="0" xfId="2" applyFont="1" applyAlignment="1">
      <alignment horizontal="center" vertical="top" wrapText="1"/>
    </xf>
    <xf numFmtId="164" fontId="8" fillId="0" borderId="0" xfId="2" applyNumberFormat="1" applyFont="1" applyAlignment="1">
      <alignment horizontal="center" vertical="top"/>
    </xf>
    <xf numFmtId="0" fontId="3" fillId="0" borderId="0" xfId="2" applyFont="1" applyFill="1" applyAlignment="1">
      <alignment vertical="top"/>
    </xf>
    <xf numFmtId="0" fontId="3" fillId="0" borderId="0" xfId="2" applyFont="1" applyFill="1" applyAlignment="1">
      <alignment horizontal="right" vertical="top"/>
    </xf>
    <xf numFmtId="0" fontId="7" fillId="0" borderId="0" xfId="2" applyFont="1" applyFill="1" applyAlignment="1">
      <alignment horizontal="right" vertical="top"/>
    </xf>
    <xf numFmtId="3" fontId="12" fillId="0" borderId="0" xfId="2" applyNumberFormat="1" applyFont="1" applyFill="1" applyAlignment="1">
      <alignment vertical="top"/>
    </xf>
    <xf numFmtId="9" fontId="12" fillId="0" borderId="0" xfId="3" applyFont="1" applyFill="1" applyAlignment="1">
      <alignment vertical="top"/>
    </xf>
    <xf numFmtId="0" fontId="13" fillId="0" borderId="0" xfId="2" applyFont="1" applyFill="1" applyAlignment="1">
      <alignment vertical="top"/>
    </xf>
    <xf numFmtId="11" fontId="13" fillId="0" borderId="0" xfId="2" applyNumberFormat="1" applyFont="1" applyFill="1" applyAlignment="1">
      <alignment vertical="top"/>
    </xf>
    <xf numFmtId="165" fontId="12" fillId="0" borderId="0" xfId="4" applyNumberFormat="1" applyFont="1" applyFill="1" applyAlignment="1">
      <alignment vertical="top"/>
    </xf>
    <xf numFmtId="0" fontId="3" fillId="0" borderId="0" xfId="2" applyFont="1" applyFill="1" applyBorder="1" applyAlignment="1">
      <alignment vertical="top"/>
    </xf>
    <xf numFmtId="0" fontId="7" fillId="0" borderId="1" xfId="2" applyFont="1" applyBorder="1" applyAlignment="1">
      <alignment vertical="top"/>
    </xf>
    <xf numFmtId="0" fontId="7" fillId="0" borderId="1" xfId="2" applyFont="1" applyBorder="1" applyAlignment="1">
      <alignment horizontal="left" vertical="top"/>
    </xf>
    <xf numFmtId="0" fontId="7" fillId="0" borderId="0" xfId="2" applyFont="1" applyBorder="1" applyAlignment="1">
      <alignment vertical="top"/>
    </xf>
    <xf numFmtId="0" fontId="3" fillId="0" borderId="0" xfId="2" applyFont="1" applyAlignment="1">
      <alignment vertical="top"/>
    </xf>
    <xf numFmtId="0" fontId="7" fillId="0" borderId="0" xfId="2" applyFont="1" applyAlignment="1">
      <alignment vertical="top"/>
    </xf>
    <xf numFmtId="0" fontId="7" fillId="0" borderId="0" xfId="2" applyFont="1" applyAlignment="1">
      <alignment horizontal="left" vertical="top"/>
    </xf>
    <xf numFmtId="0" fontId="4" fillId="0" borderId="2" xfId="2" applyFont="1" applyBorder="1" applyAlignment="1">
      <alignment horizontal="centerContinuous" vertical="top"/>
    </xf>
    <xf numFmtId="0" fontId="7" fillId="0" borderId="2" xfId="2" applyFont="1" applyBorder="1" applyAlignment="1">
      <alignment horizontal="centerContinuous" vertical="top"/>
    </xf>
    <xf numFmtId="0" fontId="15" fillId="0" borderId="0" xfId="2" applyFont="1" applyBorder="1" applyAlignment="1">
      <alignment horizontal="left" vertical="top"/>
    </xf>
    <xf numFmtId="0" fontId="4" fillId="0" borderId="2" xfId="2" applyFont="1" applyBorder="1" applyAlignment="1">
      <alignment horizontal="centerContinuous" vertical="top" wrapText="1"/>
    </xf>
    <xf numFmtId="0" fontId="7" fillId="0" borderId="2" xfId="2" applyFont="1" applyBorder="1" applyAlignment="1">
      <alignment horizontal="centerContinuous" vertical="top" wrapText="1"/>
    </xf>
    <xf numFmtId="0" fontId="7" fillId="0" borderId="0" xfId="2" applyFont="1" applyAlignment="1">
      <alignment horizontal="right" vertical="top"/>
    </xf>
    <xf numFmtId="0" fontId="3" fillId="6" borderId="0" xfId="2" applyFont="1" applyFill="1" applyAlignment="1">
      <alignment horizontal="center" vertical="top"/>
    </xf>
    <xf numFmtId="0" fontId="7" fillId="0" borderId="0" xfId="2" applyFont="1" applyBorder="1" applyAlignment="1">
      <alignment horizontal="center" vertical="top"/>
    </xf>
    <xf numFmtId="0" fontId="15" fillId="0" borderId="0" xfId="2" applyFont="1" applyBorder="1" applyAlignment="1">
      <alignment horizontal="right" vertical="top"/>
    </xf>
    <xf numFmtId="0" fontId="15" fillId="0" borderId="0" xfId="2" applyFont="1" applyBorder="1" applyAlignment="1">
      <alignment horizontal="center" vertical="top"/>
    </xf>
    <xf numFmtId="0" fontId="15" fillId="0" borderId="0" xfId="2" applyFont="1" applyBorder="1" applyAlignment="1">
      <alignment horizontal="center" vertical="top" wrapText="1"/>
    </xf>
    <xf numFmtId="0" fontId="4" fillId="0" borderId="2" xfId="2" applyFont="1" applyBorder="1" applyAlignment="1">
      <alignment horizontal="center" vertical="top" wrapText="1"/>
    </xf>
    <xf numFmtId="0" fontId="4" fillId="0" borderId="2" xfId="2" applyFont="1" applyBorder="1" applyAlignment="1">
      <alignment horizontal="left" vertical="top" wrapText="1"/>
    </xf>
    <xf numFmtId="0" fontId="15" fillId="0" borderId="0" xfId="2" applyFont="1" applyBorder="1" applyAlignment="1">
      <alignment horizontal="right" vertical="top" wrapText="1"/>
    </xf>
    <xf numFmtId="0" fontId="7" fillId="0" borderId="0" xfId="2" applyFont="1" applyFill="1" applyBorder="1" applyAlignment="1">
      <alignment vertical="top"/>
    </xf>
    <xf numFmtId="0" fontId="4" fillId="0" borderId="0" xfId="2" applyFont="1" applyFill="1" applyBorder="1" applyAlignment="1">
      <alignment horizontal="center" vertical="top" wrapText="1"/>
    </xf>
    <xf numFmtId="0" fontId="7" fillId="6" borderId="0" xfId="2" applyFont="1" applyFill="1" applyAlignment="1">
      <alignment vertical="top"/>
    </xf>
    <xf numFmtId="0" fontId="4" fillId="0" borderId="0" xfId="2" applyFont="1" applyBorder="1"/>
    <xf numFmtId="0" fontId="15" fillId="0" borderId="0" xfId="2" applyFont="1" applyFill="1" applyBorder="1" applyAlignment="1">
      <alignment horizontal="right" vertical="top"/>
    </xf>
    <xf numFmtId="0" fontId="15" fillId="0" borderId="0" xfId="2" applyFont="1" applyFill="1" applyBorder="1" applyAlignment="1">
      <alignment horizontal="left" vertical="top"/>
    </xf>
    <xf numFmtId="0" fontId="15" fillId="0" borderId="0" xfId="2" applyFont="1" applyFill="1" applyBorder="1" applyAlignment="1">
      <alignment horizontal="right" vertical="top" wrapText="1"/>
    </xf>
    <xf numFmtId="3" fontId="11" fillId="6" borderId="0" xfId="2" applyNumberFormat="1" applyFont="1" applyFill="1" applyAlignment="1">
      <alignment vertical="top"/>
    </xf>
    <xf numFmtId="3" fontId="16" fillId="6" borderId="0" xfId="2" applyNumberFormat="1" applyFont="1" applyFill="1" applyAlignment="1">
      <alignment vertical="top"/>
    </xf>
    <xf numFmtId="0" fontId="8" fillId="0" borderId="0" xfId="2" applyFont="1" applyAlignment="1">
      <alignment horizontal="left" vertical="top" indent="1"/>
    </xf>
    <xf numFmtId="3" fontId="7" fillId="0" borderId="0" xfId="2" applyNumberFormat="1" applyFont="1" applyAlignment="1">
      <alignment vertical="top"/>
    </xf>
    <xf numFmtId="3" fontId="7" fillId="0" borderId="0" xfId="2" applyNumberFormat="1" applyFont="1" applyFill="1" applyAlignment="1">
      <alignment vertical="top"/>
    </xf>
    <xf numFmtId="3" fontId="7" fillId="0" borderId="0" xfId="2" applyNumberFormat="1" applyFont="1" applyFill="1" applyAlignment="1">
      <alignment horizontal="right" vertical="top"/>
    </xf>
    <xf numFmtId="9" fontId="7" fillId="0" borderId="0" xfId="2" applyNumberFormat="1" applyFont="1" applyFill="1" applyAlignment="1">
      <alignment horizontal="right" vertical="top"/>
    </xf>
    <xf numFmtId="9" fontId="7" fillId="0" borderId="0" xfId="2" applyNumberFormat="1" applyFont="1" applyFill="1" applyAlignment="1">
      <alignment horizontal="right" vertical="top" indent="1"/>
    </xf>
    <xf numFmtId="3" fontId="7" fillId="0" borderId="0" xfId="2" applyNumberFormat="1" applyFont="1" applyFill="1" applyAlignment="1">
      <alignment horizontal="right" vertical="top" indent="2"/>
    </xf>
    <xf numFmtId="9" fontId="7" fillId="0" borderId="0" xfId="3" applyFont="1" applyBorder="1" applyAlignment="1">
      <alignment vertical="top"/>
    </xf>
    <xf numFmtId="3" fontId="7" fillId="0" borderId="0" xfId="2" applyNumberFormat="1" applyFont="1" applyFill="1" applyAlignment="1">
      <alignment horizontal="right" vertical="top" indent="1"/>
    </xf>
    <xf numFmtId="9" fontId="7" fillId="0" borderId="0" xfId="2" applyNumberFormat="1" applyFont="1" applyFill="1" applyAlignment="1">
      <alignment horizontal="center" vertical="top"/>
    </xf>
    <xf numFmtId="10" fontId="7" fillId="0" borderId="0" xfId="2" applyNumberFormat="1" applyFont="1" applyFill="1" applyAlignment="1">
      <alignment horizontal="center" vertical="top"/>
    </xf>
    <xf numFmtId="0" fontId="7" fillId="0" borderId="0" xfId="2" applyFont="1" applyFill="1" applyAlignment="1">
      <alignment horizontal="left" vertical="top"/>
    </xf>
    <xf numFmtId="0" fontId="7" fillId="0" borderId="0" xfId="2" applyFont="1" applyFill="1" applyAlignment="1">
      <alignment vertical="top"/>
    </xf>
    <xf numFmtId="0" fontId="7" fillId="0" borderId="0" xfId="2" applyFont="1" applyFill="1" applyAlignment="1">
      <alignment horizontal="right" vertical="top" indent="1"/>
    </xf>
    <xf numFmtId="0" fontId="8" fillId="0" borderId="0" xfId="2" applyFont="1" applyAlignment="1">
      <alignment horizontal="left" vertical="top"/>
    </xf>
    <xf numFmtId="3" fontId="7" fillId="0" borderId="0" xfId="2" applyNumberFormat="1" applyFont="1" applyFill="1" applyAlignment="1">
      <alignment horizontal="left" vertical="top"/>
    </xf>
    <xf numFmtId="9" fontId="7" fillId="0" borderId="0" xfId="2" applyNumberFormat="1" applyFont="1" applyFill="1" applyAlignment="1">
      <alignment horizontal="right" vertical="top" indent="2"/>
    </xf>
    <xf numFmtId="3" fontId="7" fillId="6" borderId="0" xfId="2" applyNumberFormat="1" applyFont="1" applyFill="1" applyAlignment="1">
      <alignment vertical="top"/>
    </xf>
    <xf numFmtId="9" fontId="7" fillId="0" borderId="0" xfId="2" applyNumberFormat="1" applyFont="1" applyFill="1" applyAlignment="1">
      <alignment vertical="top"/>
    </xf>
    <xf numFmtId="0" fontId="17" fillId="0" borderId="0" xfId="2" applyFont="1" applyAlignment="1">
      <alignment horizontal="left" vertical="top"/>
    </xf>
    <xf numFmtId="3" fontId="7" fillId="0" borderId="0" xfId="2" applyNumberFormat="1" applyFont="1" applyAlignment="1">
      <alignment horizontal="right" vertical="top"/>
    </xf>
    <xf numFmtId="0" fontId="17" fillId="0" borderId="0" xfId="2" applyFont="1" applyBorder="1" applyAlignment="1">
      <alignment horizontal="left" vertical="top" indent="1"/>
    </xf>
    <xf numFmtId="3" fontId="4" fillId="0" borderId="0" xfId="2" applyNumberFormat="1" applyFont="1" applyFill="1" applyAlignment="1">
      <alignment vertical="top"/>
    </xf>
    <xf numFmtId="9" fontId="4" fillId="0" borderId="0" xfId="2" applyNumberFormat="1" applyFont="1" applyFill="1" applyBorder="1" applyAlignment="1">
      <alignment horizontal="right" vertical="top" indent="1"/>
    </xf>
    <xf numFmtId="3" fontId="4" fillId="0" borderId="0" xfId="2" applyNumberFormat="1" applyFont="1" applyFill="1" applyAlignment="1">
      <alignment horizontal="right" vertical="top" indent="2"/>
    </xf>
    <xf numFmtId="3" fontId="4" fillId="0" borderId="0" xfId="2" applyNumberFormat="1" applyFont="1" applyFill="1" applyAlignment="1">
      <alignment horizontal="right" vertical="top" indent="1"/>
    </xf>
    <xf numFmtId="9" fontId="4" fillId="0" borderId="0" xfId="2" applyNumberFormat="1" applyFont="1" applyFill="1" applyBorder="1" applyAlignment="1">
      <alignment horizontal="center" vertical="top"/>
    </xf>
    <xf numFmtId="0" fontId="8" fillId="0" borderId="0" xfId="2" applyFont="1" applyBorder="1" applyAlignment="1">
      <alignment horizontal="left" vertical="top" indent="1"/>
    </xf>
    <xf numFmtId="0" fontId="8" fillId="0" borderId="0" xfId="2" applyFont="1" applyBorder="1" applyAlignment="1">
      <alignment horizontal="left" vertical="top"/>
    </xf>
    <xf numFmtId="0" fontId="8" fillId="0" borderId="0" xfId="2" applyFont="1" applyAlignment="1">
      <alignment horizontal="left" indent="1"/>
    </xf>
    <xf numFmtId="166" fontId="7" fillId="0" borderId="0" xfId="2" applyNumberFormat="1" applyFont="1" applyFill="1" applyAlignment="1">
      <alignment horizontal="center" vertical="top"/>
    </xf>
    <xf numFmtId="0" fontId="7" fillId="0" borderId="1" xfId="2" applyFont="1" applyBorder="1" applyAlignment="1">
      <alignment horizontal="right" vertical="top" indent="1"/>
    </xf>
    <xf numFmtId="164" fontId="8" fillId="0" borderId="0" xfId="2" applyNumberFormat="1" applyFont="1" applyAlignment="1">
      <alignment horizontal="right" vertical="top"/>
    </xf>
    <xf numFmtId="164" fontId="8" fillId="0" borderId="0" xfId="2" applyNumberFormat="1" applyFont="1" applyAlignment="1">
      <alignment horizontal="left" vertical="top"/>
    </xf>
    <xf numFmtId="0" fontId="18" fillId="0" borderId="0" xfId="5" applyFont="1" applyFill="1" applyAlignment="1">
      <alignment horizontal="left" vertical="top" indent="1"/>
    </xf>
    <xf numFmtId="167" fontId="8" fillId="0" borderId="0" xfId="2" applyNumberFormat="1" applyFont="1" applyAlignment="1">
      <alignment horizontal="right" vertical="top"/>
    </xf>
    <xf numFmtId="0" fontId="4" fillId="0" borderId="0" xfId="2" applyFont="1" applyAlignment="1">
      <alignment vertical="top"/>
    </xf>
    <xf numFmtId="11" fontId="6" fillId="0" borderId="0" xfId="2" applyNumberFormat="1" applyFont="1" applyAlignment="1">
      <alignment vertical="top"/>
    </xf>
    <xf numFmtId="3" fontId="6" fillId="0" borderId="0" xfId="2" applyNumberFormat="1" applyFont="1" applyAlignment="1">
      <alignment vertical="top"/>
    </xf>
    <xf numFmtId="168" fontId="12" fillId="0" borderId="0" xfId="2" applyNumberFormat="1" applyFont="1" applyAlignment="1">
      <alignment vertical="top"/>
    </xf>
    <xf numFmtId="3" fontId="12" fillId="0" borderId="0" xfId="2" applyNumberFormat="1" applyFont="1" applyAlignment="1">
      <alignment vertical="top"/>
    </xf>
    <xf numFmtId="0" fontId="3" fillId="0" borderId="0" xfId="2" applyFont="1" applyAlignment="1">
      <alignment horizontal="left" vertical="top"/>
    </xf>
    <xf numFmtId="0" fontId="12" fillId="0" borderId="0" xfId="2" applyFont="1" applyAlignment="1">
      <alignment vertical="top"/>
    </xf>
    <xf numFmtId="0" fontId="0" fillId="6" borderId="0" xfId="0" applyFill="1"/>
    <xf numFmtId="0" fontId="0" fillId="0" borderId="3" xfId="0" applyBorder="1"/>
    <xf numFmtId="3" fontId="25" fillId="0" borderId="0" xfId="0" applyNumberFormat="1" applyFont="1"/>
    <xf numFmtId="10" fontId="25" fillId="0" borderId="0" xfId="0" applyNumberFormat="1" applyFont="1"/>
    <xf numFmtId="10" fontId="25" fillId="7" borderId="0" xfId="0" applyNumberFormat="1" applyFont="1" applyFill="1"/>
    <xf numFmtId="9" fontId="0" fillId="0" borderId="0" xfId="1" applyFont="1"/>
    <xf numFmtId="10" fontId="24" fillId="0" borderId="0" xfId="0" applyNumberFormat="1" applyFont="1"/>
    <xf numFmtId="10" fontId="0" fillId="0" borderId="0" xfId="1" applyNumberFormat="1" applyFont="1"/>
    <xf numFmtId="10" fontId="27" fillId="0" borderId="0" xfId="0" applyNumberFormat="1" applyFont="1"/>
    <xf numFmtId="0" fontId="0" fillId="0" borderId="0" xfId="0" applyBorder="1"/>
    <xf numFmtId="3" fontId="25" fillId="0" borderId="0" xfId="0" applyNumberFormat="1" applyFont="1" applyBorder="1"/>
    <xf numFmtId="10" fontId="25" fillId="0" borderId="0" xfId="0" applyNumberFormat="1" applyFont="1" applyBorder="1"/>
    <xf numFmtId="10" fontId="24" fillId="0" borderId="0" xfId="0" applyNumberFormat="1" applyFont="1" applyBorder="1"/>
    <xf numFmtId="3" fontId="26" fillId="0" borderId="0" xfId="0" applyNumberFormat="1" applyFont="1"/>
    <xf numFmtId="3" fontId="26" fillId="0" borderId="0" xfId="0" applyNumberFormat="1" applyFont="1" applyBorder="1"/>
    <xf numFmtId="10" fontId="28" fillId="7" borderId="0" xfId="0" applyNumberFormat="1" applyFont="1" applyFill="1"/>
    <xf numFmtId="0" fontId="29" fillId="0" borderId="4" xfId="0" applyFont="1" applyBorder="1"/>
    <xf numFmtId="0" fontId="29" fillId="0" borderId="4" xfId="0" applyFont="1" applyBorder="1" applyAlignment="1">
      <alignment horizontal="center"/>
    </xf>
    <xf numFmtId="0" fontId="29" fillId="0" borderId="0" xfId="0" applyFont="1"/>
    <xf numFmtId="0" fontId="29" fillId="0" borderId="0" xfId="0" applyFont="1" applyBorder="1"/>
    <xf numFmtId="0" fontId="30" fillId="0" borderId="0" xfId="28" applyFont="1" applyFill="1" applyBorder="1" applyAlignment="1">
      <alignment horizontal="left" vertical="center"/>
    </xf>
    <xf numFmtId="166" fontId="25" fillId="0" borderId="0" xfId="1" applyNumberFormat="1" applyFont="1"/>
    <xf numFmtId="0" fontId="4" fillId="0" borderId="0" xfId="2" applyFont="1" applyFill="1" applyBorder="1" applyAlignment="1">
      <alignment horizontal="centerContinuous" vertical="top"/>
    </xf>
    <xf numFmtId="0" fontId="3" fillId="0" borderId="1" xfId="2" applyFont="1" applyFill="1" applyBorder="1" applyAlignment="1">
      <alignment vertical="top"/>
    </xf>
    <xf numFmtId="0" fontId="3" fillId="0" borderId="2" xfId="2" applyFont="1" applyFill="1" applyBorder="1" applyAlignment="1">
      <alignment vertical="top"/>
    </xf>
    <xf numFmtId="0" fontId="7" fillId="0" borderId="0" xfId="2" applyFont="1" applyFill="1" applyBorder="1" applyAlignment="1">
      <alignment horizontal="center" wrapText="1"/>
    </xf>
    <xf numFmtId="0" fontId="7" fillId="0" borderId="0" xfId="2" applyFont="1" applyFill="1" applyBorder="1" applyAlignment="1">
      <alignment horizontal="center" vertical="top" wrapText="1"/>
    </xf>
    <xf numFmtId="0" fontId="15" fillId="0" borderId="0" xfId="2" applyFont="1" applyFill="1" applyBorder="1" applyAlignment="1">
      <alignment horizontal="center" vertical="top"/>
    </xf>
    <xf numFmtId="0" fontId="15" fillId="0" borderId="0" xfId="2" applyFont="1" applyFill="1" applyBorder="1" applyAlignment="1">
      <alignment horizontal="center" vertical="top" wrapText="1"/>
    </xf>
    <xf numFmtId="0" fontId="7" fillId="0" borderId="0" xfId="2" applyFont="1" applyFill="1" applyBorder="1" applyAlignment="1">
      <alignment horizontal="center" vertical="top"/>
    </xf>
    <xf numFmtId="164" fontId="8" fillId="0" borderId="0" xfId="2" applyNumberFormat="1" applyFont="1" applyFill="1" applyAlignment="1">
      <alignment horizontal="center" vertical="top"/>
    </xf>
    <xf numFmtId="0" fontId="4" fillId="0" borderId="0" xfId="2" applyFont="1" applyFill="1" applyBorder="1"/>
    <xf numFmtId="9" fontId="7" fillId="0" borderId="0" xfId="3" applyFont="1" applyFill="1" applyBorder="1" applyAlignment="1">
      <alignment vertical="top"/>
    </xf>
    <xf numFmtId="0" fontId="8" fillId="0" borderId="0" xfId="2" applyFont="1" applyFill="1" applyAlignment="1">
      <alignment horizontal="left" vertical="top" indent="1"/>
    </xf>
    <xf numFmtId="0" fontId="8" fillId="0" borderId="0" xfId="2" applyFont="1" applyFill="1" applyAlignment="1">
      <alignment horizontal="left" vertical="top"/>
    </xf>
    <xf numFmtId="0" fontId="17" fillId="0" borderId="0" xfId="2" applyFont="1" applyFill="1" applyAlignment="1">
      <alignment horizontal="left" vertical="top"/>
    </xf>
    <xf numFmtId="0" fontId="17" fillId="0" borderId="0" xfId="2" applyFont="1" applyFill="1" applyBorder="1" applyAlignment="1">
      <alignment horizontal="left" vertical="top" indent="1"/>
    </xf>
    <xf numFmtId="0" fontId="2" fillId="0" borderId="0" xfId="2" applyFill="1"/>
    <xf numFmtId="0" fontId="8" fillId="0" borderId="0" xfId="2" applyFont="1" applyFill="1" applyBorder="1" applyAlignment="1">
      <alignment horizontal="left" vertical="top" indent="1"/>
    </xf>
    <xf numFmtId="0" fontId="8" fillId="0" borderId="0" xfId="2" applyFont="1" applyFill="1" applyBorder="1" applyAlignment="1">
      <alignment horizontal="left" vertical="top"/>
    </xf>
    <xf numFmtId="0" fontId="8" fillId="0" borderId="0" xfId="2" applyFont="1" applyFill="1" applyAlignment="1">
      <alignment horizontal="left" indent="1"/>
    </xf>
    <xf numFmtId="0" fontId="18" fillId="0" borderId="0" xfId="5" applyFont="1" applyFill="1" applyBorder="1" applyAlignment="1">
      <alignment horizontal="left" vertical="top" indent="1"/>
    </xf>
    <xf numFmtId="168" fontId="12" fillId="0" borderId="0" xfId="2" applyNumberFormat="1" applyFont="1" applyFill="1" applyAlignment="1">
      <alignment vertical="top"/>
    </xf>
    <xf numFmtId="0" fontId="12" fillId="0" borderId="0" xfId="2" applyFont="1" applyFill="1" applyAlignment="1">
      <alignment vertical="top"/>
    </xf>
    <xf numFmtId="0" fontId="7" fillId="0" borderId="0" xfId="2" applyFont="1" applyFill="1" applyBorder="1" applyAlignment="1">
      <alignment horizontal="right" vertical="top"/>
    </xf>
    <xf numFmtId="0" fontId="7" fillId="0" borderId="0" xfId="2" applyFont="1" applyFill="1" applyBorder="1" applyAlignment="1">
      <alignment horizontal="centerContinuous" vertical="top"/>
    </xf>
    <xf numFmtId="0" fontId="4" fillId="0" borderId="0" xfId="2" applyFont="1" applyFill="1" applyBorder="1" applyAlignment="1">
      <alignment horizontal="centerContinuous" vertical="top" wrapText="1"/>
    </xf>
    <xf numFmtId="0" fontId="7" fillId="0" borderId="0" xfId="2" applyFont="1" applyFill="1" applyBorder="1" applyAlignment="1">
      <alignment horizontal="centerContinuous" vertical="top" wrapText="1"/>
    </xf>
    <xf numFmtId="0" fontId="7" fillId="0" borderId="0" xfId="2" applyFont="1" applyFill="1" applyBorder="1" applyAlignment="1">
      <alignment horizontal="left" vertical="top"/>
    </xf>
    <xf numFmtId="0" fontId="3" fillId="0" borderId="0" xfId="2" applyFont="1" applyFill="1" applyBorder="1" applyAlignment="1">
      <alignment horizontal="center" vertical="top"/>
    </xf>
    <xf numFmtId="164" fontId="8" fillId="0" borderId="0" xfId="2" applyNumberFormat="1" applyFont="1" applyFill="1" applyBorder="1" applyAlignment="1">
      <alignment horizontal="center" vertical="top"/>
    </xf>
    <xf numFmtId="0" fontId="3" fillId="0" borderId="0" xfId="2" applyFont="1" applyFill="1" applyAlignment="1">
      <alignment horizontal="left" vertical="top"/>
    </xf>
    <xf numFmtId="164" fontId="9" fillId="0" borderId="0" xfId="2" applyNumberFormat="1" applyFont="1" applyFill="1" applyAlignment="1">
      <alignment horizontal="right" vertical="top"/>
    </xf>
    <xf numFmtId="3" fontId="10" fillId="0" borderId="0" xfId="2" applyNumberFormat="1" applyFont="1" applyFill="1" applyAlignment="1">
      <alignment horizontal="right" vertical="top"/>
    </xf>
    <xf numFmtId="11" fontId="11" fillId="0" borderId="0" xfId="2" applyNumberFormat="1" applyFont="1" applyFill="1" applyAlignment="1">
      <alignment vertical="top"/>
    </xf>
    <xf numFmtId="0" fontId="14" fillId="0" borderId="0" xfId="2" applyFont="1" applyFill="1" applyAlignment="1">
      <alignment vertical="top"/>
    </xf>
    <xf numFmtId="0" fontId="3" fillId="9" borderId="0" xfId="2" applyFont="1" applyFill="1" applyAlignment="1">
      <alignment vertical="top"/>
    </xf>
    <xf numFmtId="0" fontId="3" fillId="9" borderId="0" xfId="2" applyFont="1" applyFill="1" applyAlignment="1">
      <alignment horizontal="left" vertical="top"/>
    </xf>
    <xf numFmtId="0" fontId="31" fillId="9" borderId="0" xfId="2" applyFont="1" applyFill="1" applyAlignment="1">
      <alignment vertical="center"/>
    </xf>
    <xf numFmtId="3" fontId="11" fillId="0" borderId="0" xfId="2" applyNumberFormat="1" applyFont="1" applyFill="1" applyAlignment="1">
      <alignment horizontal="right" vertical="top"/>
    </xf>
    <xf numFmtId="3" fontId="32" fillId="0" borderId="0" xfId="2" applyNumberFormat="1" applyFont="1" applyFill="1" applyAlignment="1">
      <alignment horizontal="right" vertical="top"/>
    </xf>
    <xf numFmtId="9" fontId="11" fillId="0" borderId="0" xfId="2" applyNumberFormat="1" applyFont="1" applyFill="1" applyAlignment="1">
      <alignment horizontal="right" vertical="top"/>
    </xf>
    <xf numFmtId="9" fontId="32" fillId="0" borderId="0" xfId="1" applyFont="1" applyFill="1" applyAlignment="1">
      <alignment horizontal="right" vertical="top"/>
    </xf>
    <xf numFmtId="9" fontId="32" fillId="0" borderId="0" xfId="2" applyNumberFormat="1" applyFont="1" applyFill="1" applyBorder="1" applyAlignment="1">
      <alignment horizontal="right" vertical="top"/>
    </xf>
    <xf numFmtId="0" fontId="17" fillId="9" borderId="0" xfId="2" applyFont="1" applyFill="1" applyAlignment="1">
      <alignment horizontal="left" vertical="top"/>
    </xf>
    <xf numFmtId="0" fontId="12" fillId="9" borderId="0" xfId="2" applyFont="1" applyFill="1" applyAlignment="1">
      <alignment vertical="top"/>
    </xf>
    <xf numFmtId="0" fontId="5" fillId="0" borderId="0" xfId="2" applyFont="1" applyFill="1" applyAlignment="1">
      <alignment horizontal="centerContinuous" wrapText="1"/>
    </xf>
    <xf numFmtId="0" fontId="3" fillId="0" borderId="0" xfId="2" applyFont="1" applyFill="1" applyAlignment="1">
      <alignment horizontal="center" wrapText="1"/>
    </xf>
    <xf numFmtId="0" fontId="31" fillId="0" borderId="0" xfId="2" applyFont="1" applyFill="1" applyAlignment="1">
      <alignment vertical="center"/>
    </xf>
    <xf numFmtId="0" fontId="5" fillId="0" borderId="4" xfId="2" applyFont="1" applyFill="1" applyBorder="1" applyAlignment="1">
      <alignment horizontal="centerContinuous" vertical="top"/>
    </xf>
    <xf numFmtId="0" fontId="3" fillId="0" borderId="4" xfId="2" applyFont="1" applyFill="1" applyBorder="1" applyAlignment="1">
      <alignment horizontal="centerContinuous" vertical="top"/>
    </xf>
    <xf numFmtId="164" fontId="9" fillId="0" borderId="0" xfId="2" applyNumberFormat="1" applyFont="1" applyFill="1" applyAlignment="1">
      <alignment horizontal="center" vertical="top"/>
    </xf>
    <xf numFmtId="9" fontId="10" fillId="0" borderId="0" xfId="1" applyFont="1" applyFill="1" applyAlignment="1">
      <alignment horizontal="right" vertical="top"/>
    </xf>
    <xf numFmtId="0" fontId="4" fillId="0" borderId="4" xfId="2" applyFont="1" applyBorder="1" applyAlignment="1">
      <alignment horizontal="centerContinuous"/>
    </xf>
    <xf numFmtId="0" fontId="7" fillId="0" borderId="4" xfId="2" applyFont="1" applyBorder="1" applyAlignment="1">
      <alignment horizontal="centerContinuous" wrapText="1"/>
    </xf>
    <xf numFmtId="0" fontId="7" fillId="0" borderId="0" xfId="41" applyFont="1" applyAlignment="1">
      <alignment horizontal="center" vertical="top" wrapText="1"/>
    </xf>
    <xf numFmtId="3" fontId="32" fillId="0" borderId="0" xfId="2" applyNumberFormat="1" applyFont="1" applyFill="1" applyAlignment="1">
      <alignment horizontal="right" vertical="top" indent="2"/>
    </xf>
    <xf numFmtId="164" fontId="8" fillId="0" borderId="0" xfId="2" applyNumberFormat="1" applyFont="1" applyFill="1" applyAlignment="1">
      <alignment horizontal="left" vertical="top"/>
    </xf>
    <xf numFmtId="0" fontId="18" fillId="0" borderId="0" xfId="0" applyFont="1" applyFill="1"/>
    <xf numFmtId="3" fontId="18" fillId="0" borderId="0" xfId="0" applyNumberFormat="1" applyFont="1" applyFill="1"/>
    <xf numFmtId="0" fontId="18" fillId="0" borderId="0" xfId="0" applyFont="1" applyFill="1" applyAlignment="1">
      <alignment horizontal="right"/>
    </xf>
    <xf numFmtId="166" fontId="33" fillId="8" borderId="0" xfId="0" applyNumberFormat="1" applyFont="1" applyFill="1"/>
    <xf numFmtId="0" fontId="34" fillId="10" borderId="0" xfId="0" applyFont="1" applyFill="1"/>
    <xf numFmtId="3" fontId="34" fillId="10" borderId="0" xfId="0" applyNumberFormat="1" applyFont="1" applyFill="1" applyAlignment="1">
      <alignment horizontal="right"/>
    </xf>
    <xf numFmtId="0" fontId="34" fillId="0" borderId="0" xfId="0" applyFont="1" applyFill="1"/>
    <xf numFmtId="0" fontId="35" fillId="0" borderId="0" xfId="0" applyFont="1" applyFill="1" applyBorder="1" applyAlignment="1">
      <alignment horizontal="center" vertical="top" wrapText="1"/>
    </xf>
    <xf numFmtId="3" fontId="35" fillId="0" borderId="0" xfId="0" applyNumberFormat="1" applyFont="1" applyFill="1" applyBorder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0" fontId="36" fillId="0" borderId="0" xfId="0" applyFont="1" applyFill="1" applyBorder="1" applyAlignment="1">
      <alignment vertical="top" wrapText="1"/>
    </xf>
    <xf numFmtId="0" fontId="36" fillId="0" borderId="0" xfId="0" applyFont="1" applyFill="1" applyBorder="1" applyAlignment="1">
      <alignment horizontal="center" vertical="top" wrapText="1"/>
    </xf>
    <xf numFmtId="3" fontId="36" fillId="0" borderId="0" xfId="0" applyNumberFormat="1" applyFont="1" applyFill="1" applyBorder="1" applyAlignment="1">
      <alignment horizontal="center" vertical="top" wrapText="1"/>
    </xf>
    <xf numFmtId="0" fontId="37" fillId="0" borderId="0" xfId="0" applyFont="1" applyAlignment="1">
      <alignment horizontal="center" vertical="top" wrapText="1"/>
    </xf>
    <xf numFmtId="0" fontId="35" fillId="0" borderId="0" xfId="0" applyFont="1" applyFill="1" applyBorder="1" applyAlignment="1">
      <alignment vertical="top" wrapText="1"/>
    </xf>
    <xf numFmtId="3" fontId="35" fillId="0" borderId="0" xfId="0" applyNumberFormat="1" applyFont="1" applyFill="1" applyBorder="1" applyAlignment="1">
      <alignment vertical="top" wrapText="1"/>
    </xf>
    <xf numFmtId="3" fontId="18" fillId="0" borderId="0" xfId="0" applyNumberFormat="1" applyFont="1" applyFill="1" applyAlignment="1">
      <alignment horizontal="left"/>
    </xf>
    <xf numFmtId="0" fontId="18" fillId="0" borderId="0" xfId="0" applyFont="1" applyFill="1" applyAlignment="1">
      <alignment horizontal="center"/>
    </xf>
    <xf numFmtId="3" fontId="18" fillId="0" borderId="0" xfId="0" applyNumberFormat="1" applyFont="1" applyFill="1" applyAlignment="1">
      <alignment horizontal="center"/>
    </xf>
    <xf numFmtId="3" fontId="33" fillId="0" borderId="0" xfId="0" applyNumberFormat="1" applyFont="1" applyFill="1" applyAlignment="1">
      <alignment horizontal="center"/>
    </xf>
    <xf numFmtId="1" fontId="33" fillId="0" borderId="0" xfId="0" applyNumberFormat="1" applyFont="1" applyFill="1" applyAlignment="1">
      <alignment horizontal="center"/>
    </xf>
    <xf numFmtId="9" fontId="33" fillId="0" borderId="0" xfId="0" applyNumberFormat="1" applyFont="1" applyFill="1" applyAlignment="1">
      <alignment horizontal="center"/>
    </xf>
    <xf numFmtId="0" fontId="18" fillId="0" borderId="0" xfId="0" applyFont="1"/>
    <xf numFmtId="3" fontId="38" fillId="0" borderId="0" xfId="0" applyNumberFormat="1" applyFont="1" applyFill="1"/>
    <xf numFmtId="0" fontId="33" fillId="0" borderId="0" xfId="0" applyFont="1" applyFill="1" applyAlignment="1">
      <alignment horizontal="right"/>
    </xf>
    <xf numFmtId="3" fontId="33" fillId="0" borderId="0" xfId="0" applyNumberFormat="1" applyFont="1" applyFill="1" applyAlignment="1">
      <alignment horizontal="right"/>
    </xf>
    <xf numFmtId="0" fontId="23" fillId="0" borderId="0" xfId="0" applyFont="1"/>
    <xf numFmtId="0" fontId="23" fillId="0" borderId="0" xfId="0" applyFont="1" applyAlignment="1">
      <alignment horizontal="centerContinuous"/>
    </xf>
    <xf numFmtId="0" fontId="23" fillId="0" borderId="3" xfId="0" applyFont="1" applyBorder="1"/>
    <xf numFmtId="0" fontId="23" fillId="0" borderId="3" xfId="0" applyFont="1" applyBorder="1" applyAlignment="1">
      <alignment horizontal="centerContinuous"/>
    </xf>
    <xf numFmtId="0" fontId="0" fillId="0" borderId="0" xfId="0" applyFont="1"/>
    <xf numFmtId="0" fontId="0" fillId="0" borderId="0" xfId="0" applyFont="1" applyBorder="1"/>
    <xf numFmtId="0" fontId="0" fillId="0" borderId="0" xfId="0" applyFont="1" applyFill="1"/>
    <xf numFmtId="9" fontId="39" fillId="0" borderId="0" xfId="1" applyFont="1" applyFill="1"/>
    <xf numFmtId="0" fontId="0" fillId="0" borderId="0" xfId="0" applyFont="1" applyFill="1" applyBorder="1"/>
    <xf numFmtId="0" fontId="29" fillId="0" borderId="0" xfId="0" applyFont="1" applyFill="1" applyBorder="1" applyAlignment="1">
      <alignment horizontal="center"/>
    </xf>
    <xf numFmtId="0" fontId="0" fillId="0" borderId="0" xfId="0" applyNumberFormat="1" applyFill="1" applyBorder="1" applyAlignment="1"/>
    <xf numFmtId="0" fontId="0" fillId="0" borderId="0" xfId="0" applyFill="1" applyBorder="1" applyAlignment="1"/>
    <xf numFmtId="0" fontId="0" fillId="0" borderId="0" xfId="0" applyFill="1"/>
    <xf numFmtId="166" fontId="39" fillId="0" borderId="0" xfId="0" applyNumberFormat="1" applyFont="1"/>
    <xf numFmtId="9" fontId="26" fillId="0" borderId="0" xfId="1" applyFont="1" applyFill="1" applyAlignment="1">
      <alignment horizontal="right"/>
    </xf>
    <xf numFmtId="9" fontId="26" fillId="0" borderId="0" xfId="1" applyFont="1" applyFill="1"/>
    <xf numFmtId="1" fontId="0" fillId="0" borderId="0" xfId="0" applyNumberFormat="1" applyFont="1" applyAlignment="1">
      <alignment horizontal="center"/>
    </xf>
    <xf numFmtId="0" fontId="0" fillId="6" borderId="0" xfId="0" applyFill="1" applyAlignment="1">
      <alignment horizontal="left" indent="1"/>
    </xf>
    <xf numFmtId="0" fontId="0" fillId="0" borderId="0" xfId="0" applyFill="1" applyAlignment="1">
      <alignment horizontal="left" indent="1"/>
    </xf>
    <xf numFmtId="169" fontId="25" fillId="0" borderId="0" xfId="0" applyNumberFormat="1" applyFont="1"/>
    <xf numFmtId="0" fontId="23" fillId="0" borderId="0" xfId="0" applyFont="1" applyFill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0" xfId="0" applyAlignment="1">
      <alignment horizontal="center"/>
    </xf>
    <xf numFmtId="2" fontId="41" fillId="0" borderId="0" xfId="57" applyNumberFormat="1" applyFont="1" applyFill="1" applyAlignment="1">
      <alignment horizontal="center"/>
    </xf>
    <xf numFmtId="166" fontId="0" fillId="0" borderId="0" xfId="1" applyNumberFormat="1" applyFont="1"/>
    <xf numFmtId="0" fontId="35" fillId="0" borderId="0" xfId="57" applyFont="1" applyFill="1" applyAlignment="1">
      <alignment horizontal="right"/>
    </xf>
    <xf numFmtId="2" fontId="35" fillId="0" borderId="0" xfId="57" applyNumberFormat="1" applyFont="1" applyFill="1" applyAlignment="1">
      <alignment horizontal="center"/>
    </xf>
    <xf numFmtId="0" fontId="0" fillId="12" borderId="0" xfId="0" applyFill="1"/>
    <xf numFmtId="166" fontId="25" fillId="0" borderId="0" xfId="1" applyNumberFormat="1" applyFont="1" applyFill="1"/>
    <xf numFmtId="0" fontId="0" fillId="0" borderId="4" xfId="0" applyFont="1" applyBorder="1" applyAlignment="1">
      <alignment horizontal="center" vertical="top" wrapText="1"/>
    </xf>
    <xf numFmtId="170" fontId="25" fillId="0" borderId="0" xfId="0" applyNumberFormat="1" applyFont="1"/>
    <xf numFmtId="170" fontId="0" fillId="0" borderId="0" xfId="0" applyNumberFormat="1"/>
    <xf numFmtId="0" fontId="18" fillId="6" borderId="0" xfId="0" applyFont="1" applyFill="1"/>
    <xf numFmtId="3" fontId="18" fillId="6" borderId="0" xfId="0" applyNumberFormat="1" applyFont="1" applyFill="1"/>
    <xf numFmtId="0" fontId="5" fillId="0" borderId="0" xfId="2" applyFont="1" applyFill="1" applyAlignment="1">
      <alignment horizontal="left" wrapText="1"/>
    </xf>
    <xf numFmtId="9" fontId="11" fillId="0" borderId="0" xfId="1" applyFont="1" applyFill="1" applyAlignment="1">
      <alignment horizontal="right" vertical="top"/>
    </xf>
    <xf numFmtId="0" fontId="7" fillId="0" borderId="0" xfId="2" applyFont="1" applyFill="1" applyAlignment="1">
      <alignment horizontal="center" vertical="top" wrapText="1"/>
    </xf>
    <xf numFmtId="165" fontId="7" fillId="0" borderId="5" xfId="46" applyNumberFormat="1" applyFont="1" applyFill="1" applyBorder="1" applyAlignment="1">
      <alignment horizontal="right" vertical="top"/>
    </xf>
    <xf numFmtId="0" fontId="3" fillId="0" borderId="5" xfId="41" applyFont="1" applyFill="1" applyBorder="1" applyAlignment="1">
      <alignment vertical="top"/>
    </xf>
    <xf numFmtId="0" fontId="3" fillId="8" borderId="5" xfId="41" applyFont="1" applyFill="1" applyBorder="1" applyAlignment="1">
      <alignment vertical="top"/>
    </xf>
    <xf numFmtId="11" fontId="3" fillId="8" borderId="5" xfId="41" applyNumberFormat="1" applyFont="1" applyFill="1" applyBorder="1" applyAlignment="1">
      <alignment vertical="top"/>
    </xf>
    <xf numFmtId="3" fontId="11" fillId="8" borderId="0" xfId="2" applyNumberFormat="1" applyFont="1" applyFill="1" applyAlignment="1">
      <alignment horizontal="right" vertical="top" indent="2"/>
    </xf>
    <xf numFmtId="171" fontId="0" fillId="0" borderId="0" xfId="1" applyNumberFormat="1" applyFont="1"/>
    <xf numFmtId="169" fontId="25" fillId="8" borderId="0" xfId="0" applyNumberFormat="1" applyFont="1" applyFill="1"/>
    <xf numFmtId="0" fontId="0" fillId="0" borderId="0" xfId="0" applyAlignment="1">
      <alignment horizontal="right"/>
    </xf>
    <xf numFmtId="9" fontId="25" fillId="0" borderId="0" xfId="1" applyFont="1"/>
    <xf numFmtId="2" fontId="25" fillId="0" borderId="0" xfId="0" applyNumberFormat="1" applyFont="1"/>
    <xf numFmtId="9" fontId="25" fillId="0" borderId="0" xfId="1" applyNumberFormat="1" applyFont="1"/>
    <xf numFmtId="9" fontId="26" fillId="0" borderId="0" xfId="1" applyFont="1" applyFill="1" applyBorder="1" applyAlignment="1">
      <alignment horizontal="right"/>
    </xf>
    <xf numFmtId="166" fontId="39" fillId="8" borderId="0" xfId="1" applyNumberFormat="1" applyFont="1" applyFill="1" applyBorder="1"/>
    <xf numFmtId="0" fontId="29" fillId="0" borderId="0" xfId="0" applyFont="1" applyFill="1"/>
    <xf numFmtId="11" fontId="25" fillId="0" borderId="0" xfId="0" applyNumberFormat="1" applyFont="1"/>
    <xf numFmtId="0" fontId="0" fillId="0" borderId="4" xfId="0" applyBorder="1" applyAlignment="1">
      <alignment vertical="top"/>
    </xf>
    <xf numFmtId="0" fontId="0" fillId="0" borderId="0" xfId="0" applyAlignment="1">
      <alignment vertical="top"/>
    </xf>
    <xf numFmtId="0" fontId="0" fillId="6" borderId="0" xfId="0" applyFill="1" applyAlignment="1">
      <alignment vertical="top"/>
    </xf>
    <xf numFmtId="0" fontId="0" fillId="0" borderId="4" xfId="0" applyBorder="1" applyAlignment="1">
      <alignment horizontal="center" vertical="top" wrapText="1"/>
    </xf>
    <xf numFmtId="166" fontId="26" fillId="0" borderId="0" xfId="1" applyNumberFormat="1" applyFont="1" applyFill="1"/>
    <xf numFmtId="170" fontId="24" fillId="8" borderId="0" xfId="0" applyNumberFormat="1" applyFont="1" applyFill="1"/>
    <xf numFmtId="11" fontId="24" fillId="8" borderId="0" xfId="0" applyNumberFormat="1" applyFont="1" applyFill="1"/>
    <xf numFmtId="0" fontId="0" fillId="13" borderId="0" xfId="0" applyFill="1"/>
    <xf numFmtId="0" fontId="43" fillId="10" borderId="0" xfId="0" applyFont="1" applyFill="1" applyAlignment="1">
      <alignment horizontal="centerContinuous"/>
    </xf>
    <xf numFmtId="0" fontId="34" fillId="10" borderId="0" xfId="0" applyFont="1" applyFill="1" applyAlignment="1">
      <alignment horizontal="centerContinuous"/>
    </xf>
    <xf numFmtId="0" fontId="43" fillId="10" borderId="0" xfId="0" applyFont="1" applyFill="1" applyBorder="1" applyAlignment="1">
      <alignment horizontal="centerContinuous"/>
    </xf>
    <xf numFmtId="0" fontId="42" fillId="10" borderId="0" xfId="0" applyFont="1" applyFill="1" applyAlignment="1">
      <alignment horizontal="centerContinuous"/>
    </xf>
  </cellXfs>
  <cellStyles count="59">
    <cellStyle name="Accent1 2" xfId="6"/>
    <cellStyle name="Accent2 2" xfId="7"/>
    <cellStyle name="Accent3 2" xfId="8"/>
    <cellStyle name="Accent6 2" xfId="9"/>
    <cellStyle name="Comma 2" xfId="4"/>
    <cellStyle name="Comma 2 2" xfId="10"/>
    <cellStyle name="Comma 2 2 2" xfId="11"/>
    <cellStyle name="Comma 2 2 3" xfId="12"/>
    <cellStyle name="Comma 2 3" xfId="53"/>
    <cellStyle name="Comma 2 4" xfId="54"/>
    <cellStyle name="Comma 3" xfId="13"/>
    <cellStyle name="Comma 4" xfId="44"/>
    <cellStyle name="Comma 5" xfId="46"/>
    <cellStyle name="Comma0" xfId="47"/>
    <cellStyle name="Currency 2" xfId="14"/>
    <cellStyle name="Currency 3" xfId="15"/>
    <cellStyle name="Currency 4" xfId="45"/>
    <cellStyle name="Currency0" xfId="48"/>
    <cellStyle name="Date" xfId="49"/>
    <cellStyle name="Fixed" xfId="50"/>
    <cellStyle name="Normal" xfId="0" builtinId="0"/>
    <cellStyle name="Normal 10 2" xfId="16"/>
    <cellStyle name="Normal 2" xfId="2"/>
    <cellStyle name="Normal 2 2" xfId="17"/>
    <cellStyle name="Normal 2 2 2" xfId="18"/>
    <cellStyle name="Normal 2 2 3" xfId="55"/>
    <cellStyle name="Normal 2 3" xfId="19"/>
    <cellStyle name="Normal 2 4" xfId="56"/>
    <cellStyle name="Normal 3" xfId="20"/>
    <cellStyle name="Normal 3 2" xfId="51"/>
    <cellStyle name="Normal 3 7" xfId="21"/>
    <cellStyle name="Normal 4" xfId="5"/>
    <cellStyle name="Normal 4 2" xfId="22"/>
    <cellStyle name="Normal 4 2 2" xfId="23"/>
    <cellStyle name="Normal 4 2 3" xfId="24"/>
    <cellStyle name="Normal 4 3" xfId="25"/>
    <cellStyle name="Normal 4 4" xfId="26"/>
    <cellStyle name="Normal 4 5" xfId="27"/>
    <cellStyle name="Normal 5" xfId="28"/>
    <cellStyle name="Normal 5 2" xfId="29"/>
    <cellStyle name="Normal 5 2 2" xfId="30"/>
    <cellStyle name="Normal 5 2 3" xfId="31"/>
    <cellStyle name="Normal 5 3" xfId="32"/>
    <cellStyle name="Normal 5 4" xfId="33"/>
    <cellStyle name="Normal 6" xfId="34"/>
    <cellStyle name="Normal 6 2" xfId="35"/>
    <cellStyle name="Normal 6 2 2" xfId="36"/>
    <cellStyle name="Normal 6 2 3" xfId="37"/>
    <cellStyle name="Normal 6 7" xfId="38"/>
    <cellStyle name="Normal 6 7 2" xfId="39"/>
    <cellStyle name="Normal 6 7 3" xfId="40"/>
    <cellStyle name="Normal 7" xfId="41"/>
    <cellStyle name="Normal 7 2" xfId="57"/>
    <cellStyle name="Normal 7 3" xfId="58"/>
    <cellStyle name="Percent" xfId="1" builtinId="5"/>
    <cellStyle name="Percent 2" xfId="3"/>
    <cellStyle name="Percent 3" xfId="42"/>
    <cellStyle name="Percent 4" xfId="43"/>
    <cellStyle name="Percent 5" xf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19161082518316"/>
          <c:y val="3.0246372693556761E-2"/>
          <c:w val="0.83371838296749223"/>
          <c:h val="0.86037033918505934"/>
        </c:manualLayout>
      </c:layout>
      <c:scatterChart>
        <c:scatterStyle val="lineMarker"/>
        <c:varyColors val="0"/>
        <c:ser>
          <c:idx val="0"/>
          <c:order val="0"/>
          <c:tx>
            <c:strRef>
              <c:f>'BLS Index Shock'!$B$7</c:f>
              <c:strCache>
                <c:ptCount val="1"/>
                <c:pt idx="0">
                  <c:v>BLS Index Shocks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6"/>
          </c:marker>
          <c:trendline>
            <c:trendlineType val="linear"/>
            <c:dispRSqr val="0"/>
            <c:dispEq val="0"/>
          </c:trendline>
          <c:errBars>
            <c:errDir val="y"/>
            <c:errBarType val="minus"/>
            <c:errValType val="cust"/>
            <c:noEndCap val="0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'BLS Index Shock'!$G$12:$G$28</c:f>
                <c:numCache>
                  <c:formatCode>General</c:formatCode>
                  <c:ptCount val="17"/>
                  <c:pt idx="0">
                    <c:v>1.4752707322498522E-3</c:v>
                  </c:pt>
                  <c:pt idx="1">
                    <c:v>-9.6306738093826141E-3</c:v>
                  </c:pt>
                  <c:pt idx="2">
                    <c:v>-1.8014542245788582E-2</c:v>
                  </c:pt>
                  <c:pt idx="3">
                    <c:v>-1.3529824399565861E-2</c:v>
                  </c:pt>
                  <c:pt idx="4">
                    <c:v>-1.1011083168798784E-2</c:v>
                  </c:pt>
                  <c:pt idx="5">
                    <c:v>-2.235816152976901E-3</c:v>
                  </c:pt>
                  <c:pt idx="6">
                    <c:v>-4.8399230042577539E-4</c:v>
                  </c:pt>
                  <c:pt idx="7">
                    <c:v>2.7750252314924419E-2</c:v>
                  </c:pt>
                  <c:pt idx="8">
                    <c:v>4.8901191987030641E-2</c:v>
                  </c:pt>
                  <c:pt idx="9">
                    <c:v>6.4458470882603411E-3</c:v>
                  </c:pt>
                  <c:pt idx="10">
                    <c:v>7.1809770818958181E-3</c:v>
                  </c:pt>
                  <c:pt idx="11">
                    <c:v>5.4342686620866771E-3</c:v>
                  </c:pt>
                  <c:pt idx="12">
                    <c:v>1.6720961620830518E-2</c:v>
                  </c:pt>
                  <c:pt idx="13">
                    <c:v>2.0151576215909295E-2</c:v>
                  </c:pt>
                  <c:pt idx="14">
                    <c:v>1.5750791319558072E-3</c:v>
                  </c:pt>
                  <c:pt idx="15">
                    <c:v>-3.0913774832079272E-2</c:v>
                  </c:pt>
                  <c:pt idx="16">
                    <c:v>-4.9815717926150638E-2</c:v>
                  </c:pt>
                </c:numCache>
              </c:numRef>
            </c:minus>
            <c:spPr>
              <a:ln w="25400">
                <a:solidFill>
                  <a:schemeClr val="accent4"/>
                </a:solidFill>
              </a:ln>
            </c:spPr>
          </c:errBars>
          <c:xVal>
            <c:numRef>
              <c:f>'BLS Index Shock'!$B$12:$B$28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xVal>
          <c:yVal>
            <c:numRef>
              <c:f>'BLS Index Shock'!$D$12:$D$28</c:f>
              <c:numCache>
                <c:formatCode>0.00</c:formatCode>
                <c:ptCount val="17"/>
                <c:pt idx="0">
                  <c:v>0.64650701729548321</c:v>
                </c:pt>
                <c:pt idx="1">
                  <c:v>0.6550391035249219</c:v>
                </c:pt>
                <c:pt idx="2">
                  <c:v>0.66870030364540967</c:v>
                </c:pt>
                <c:pt idx="3">
                  <c:v>0.70104721349720278</c:v>
                </c:pt>
                <c:pt idx="4">
                  <c:v>0.73027236409178586</c:v>
                </c:pt>
                <c:pt idx="5">
                  <c:v>0.76735722767558079</c:v>
                </c:pt>
                <c:pt idx="6">
                  <c:v>0.79486005032857932</c:v>
                </c:pt>
                <c:pt idx="7">
                  <c:v>0.8544909202315053</c:v>
                </c:pt>
                <c:pt idx="8">
                  <c:v>0.90369629223617565</c:v>
                </c:pt>
                <c:pt idx="9">
                  <c:v>0.87849394549998527</c:v>
                </c:pt>
                <c:pt idx="10">
                  <c:v>0.90431459031131789</c:v>
                </c:pt>
                <c:pt idx="11">
                  <c:v>0.92740852235486482</c:v>
                </c:pt>
                <c:pt idx="12">
                  <c:v>0.96438197138905457</c:v>
                </c:pt>
                <c:pt idx="13">
                  <c:v>0.992662158446045</c:v>
                </c:pt>
                <c:pt idx="14">
                  <c:v>0.9987167434636256</c:v>
                </c:pt>
                <c:pt idx="15">
                  <c:v>0.99210764106184335</c:v>
                </c:pt>
                <c:pt idx="16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6689408"/>
        <c:axId val="396690944"/>
      </c:scatterChart>
      <c:valAx>
        <c:axId val="396689408"/>
        <c:scaling>
          <c:orientation val="minMax"/>
          <c:max val="2017"/>
          <c:min val="2001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200"/>
            </a:pPr>
            <a:endParaRPr lang="en-US"/>
          </a:p>
        </c:txPr>
        <c:crossAx val="396690944"/>
        <c:crosses val="autoZero"/>
        <c:crossBetween val="midCat"/>
      </c:valAx>
      <c:valAx>
        <c:axId val="396690944"/>
        <c:scaling>
          <c:orientation val="minMax"/>
        </c:scaling>
        <c:delete val="0"/>
        <c:axPos val="l"/>
        <c:majorGridlines>
          <c:spPr>
            <a:ln w="3175"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BLS Index </a:t>
                </a:r>
              </a:p>
            </c:rich>
          </c:tx>
          <c:layout>
            <c:manualLayout>
              <c:xMode val="edge"/>
              <c:yMode val="edge"/>
              <c:x val="0"/>
              <c:y val="0.37422989301813153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200"/>
            </a:pPr>
            <a:endParaRPr lang="en-US"/>
          </a:p>
        </c:txPr>
        <c:crossAx val="39668940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142546268716227"/>
          <c:y val="8.9433772096780037E-2"/>
          <c:w val="0.7535606071101647"/>
          <c:h val="0.74886955559444524"/>
        </c:manualLayout>
      </c:layout>
      <c:scatterChart>
        <c:scatterStyle val="lineMarker"/>
        <c:varyColors val="0"/>
        <c:ser>
          <c:idx val="0"/>
          <c:order val="0"/>
          <c:tx>
            <c:strRef>
              <c:f>'Rel Req'!$CS$6</c:f>
              <c:strCache>
                <c:ptCount val="1"/>
                <c:pt idx="0">
                  <c:v>Average Size (% of RTO)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8"/>
          </c:marker>
          <c:dLbls>
            <c:dLbl>
              <c:idx val="0"/>
              <c:tx>
                <c:strRef>
                  <c:f>'Rel Req'!$BZ$8</c:f>
                  <c:strCache>
                    <c:ptCount val="1"/>
                    <c:pt idx="0">
                      <c:v>RTO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u="none" strike="noStrike">
                      <a:latin typeface="Calibri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strRef>
                  <c:f>'Rel Req'!$BZ$9</c:f>
                  <c:strCache>
                    <c:ptCount val="1"/>
                    <c:pt idx="0">
                      <c:v>MAAC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u="none" strike="noStrike">
                      <a:latin typeface="Calibri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146806010342841E-2"/>
                  <c:y val="-4.9637897489217455E-3"/>
                </c:manualLayout>
              </c:layout>
              <c:tx>
                <c:strRef>
                  <c:f>'Rel Req'!$BZ$10</c:f>
                  <c:strCache>
                    <c:ptCount val="1"/>
                    <c:pt idx="0">
                      <c:v>EMAAC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u="none" strike="noStrike">
                      <a:latin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0857075535930402E-2"/>
                  <c:y val="-1.7193948395587192E-2"/>
                </c:manualLayout>
              </c:layout>
              <c:tx>
                <c:strRef>
                  <c:f>'Rel Req'!$BZ$11</c:f>
                  <c:strCache>
                    <c:ptCount val="1"/>
                    <c:pt idx="0">
                      <c:v>SWMAAC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u="none" strike="noStrike">
                      <a:latin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8002260075172649E-2"/>
                  <c:y val="4.4062882819818613E-2"/>
                </c:manualLayout>
              </c:layout>
              <c:tx>
                <c:strRef>
                  <c:f>'Rel Req'!$BZ$12</c:f>
                  <c:strCache>
                    <c:ptCount val="1"/>
                    <c:pt idx="0">
                      <c:v>PSEG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u="none" strike="noStrike">
                      <a:latin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8.2183135118263487E-2"/>
                  <c:y val="-3.767503205408234E-2"/>
                </c:manualLayout>
              </c:layout>
              <c:tx>
                <c:strRef>
                  <c:f>'Rel Req'!$BZ$13</c:f>
                  <c:strCache>
                    <c:ptCount val="1"/>
                    <c:pt idx="0">
                      <c:v>PS-N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u="none" strike="noStrike">
                      <a:latin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7932740502085157E-2"/>
                  <c:y val="5.2233994914608659E-2"/>
                </c:manualLayout>
              </c:layout>
              <c:tx>
                <c:strRef>
                  <c:f>'Rel Req'!$BZ$14</c:f>
                  <c:strCache>
                    <c:ptCount val="1"/>
                    <c:pt idx="0">
                      <c:v>DPL-S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u="none" strike="noStrike">
                      <a:latin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0.12692458341174725"/>
                  <c:y val="-1.3108241727596634E-2"/>
                </c:manualLayout>
              </c:layout>
              <c:tx>
                <c:strRef>
                  <c:f>'Rel Req'!$BZ$15</c:f>
                  <c:strCache>
                    <c:ptCount val="1"/>
                    <c:pt idx="0">
                      <c:v>PEPCO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u="none" strike="noStrike">
                      <a:latin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6171695102228769E-2"/>
                  <c:y val="-4.5918661778734861E-2"/>
                </c:manualLayout>
              </c:layout>
              <c:tx>
                <c:strRef>
                  <c:f>'Rel Req'!$BZ$16</c:f>
                  <c:strCache>
                    <c:ptCount val="1"/>
                    <c:pt idx="0">
                      <c:v>ATSI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u="none" strike="noStrike">
                      <a:latin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8.3536635744809767E-2"/>
                  <c:y val="-6.2296307066663788E-2"/>
                </c:manualLayout>
              </c:layout>
              <c:tx>
                <c:strRef>
                  <c:f>'Rel Req'!$BZ$17</c:f>
                  <c:strCache>
                    <c:ptCount val="1"/>
                    <c:pt idx="0">
                      <c:v>ATSI-C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u="none" strike="noStrike">
                      <a:latin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4.2463431825659273E-2"/>
                  <c:y val="-3.7648238128081934E-2"/>
                </c:manualLayout>
              </c:layout>
              <c:tx>
                <c:strRef>
                  <c:f>'Rel Req'!$BZ$18</c:f>
                  <c:strCache>
                    <c:ptCount val="1"/>
                    <c:pt idx="0">
                      <c:v>COMED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u="none" strike="noStrike">
                      <a:latin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6.9067356403088821E-3"/>
                  <c:y val="-2.1332527776712011E-2"/>
                </c:manualLayout>
              </c:layout>
              <c:tx>
                <c:strRef>
                  <c:f>'Rel Req'!$BZ$19</c:f>
                  <c:strCache>
                    <c:ptCount val="1"/>
                    <c:pt idx="0">
                      <c:v>BGE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u="none" strike="noStrike">
                      <a:latin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2.1854339846660617E-2"/>
                  <c:y val="-2.9541016490805788E-2"/>
                </c:manualLayout>
              </c:layout>
              <c:tx>
                <c:strRef>
                  <c:f>'Rel Req'!$BZ$20</c:f>
                  <c:strCache>
                    <c:ptCount val="1"/>
                    <c:pt idx="0">
                      <c:v>PPL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u="none" strike="noStrike">
                      <a:latin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0.12281607691754529"/>
                  <c:y val="-3.7728227161808917E-2"/>
                </c:manualLayout>
              </c:layout>
              <c:tx>
                <c:strRef>
                  <c:f>'Rel Req'!$BZ$21</c:f>
                  <c:strCache>
                    <c:ptCount val="1"/>
                    <c:pt idx="0">
                      <c:v>DAYTON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u="none" strike="noStrike">
                      <a:latin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8.1539184770717726E-2"/>
                  <c:y val="-3.3635427812788041E-2"/>
                </c:manualLayout>
              </c:layout>
              <c:tx>
                <c:strRef>
                  <c:f>'Rel Req'!$BZ$22</c:f>
                  <c:strCache>
                    <c:ptCount val="1"/>
                    <c:pt idx="0">
                      <c:v>DEOK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100" b="0" i="0" u="none" strike="noStrike">
                      <a:latin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trendline>
            <c:spPr>
              <a:ln w="28575"/>
            </c:spPr>
            <c:trendlineType val="exp"/>
            <c:dispRSqr val="0"/>
            <c:dispEq val="0"/>
          </c:trendline>
          <c:xVal>
            <c:numRef>
              <c:f>'Rel Req'!$CS$8:$CS$22</c:f>
              <c:numCache>
                <c:formatCode>0.00%</c:formatCode>
                <c:ptCount val="15"/>
                <c:pt idx="0">
                  <c:v>1</c:v>
                </c:pt>
                <c:pt idx="1">
                  <c:v>0.42573314680111113</c:v>
                </c:pt>
                <c:pt idx="2">
                  <c:v>0.2352298959989495</c:v>
                </c:pt>
                <c:pt idx="3">
                  <c:v>0.10127193402245102</c:v>
                </c:pt>
                <c:pt idx="4">
                  <c:v>7.7542895521693578E-2</c:v>
                </c:pt>
                <c:pt idx="5">
                  <c:v>3.82280298917613E-2</c:v>
                </c:pt>
                <c:pt idx="6">
                  <c:v>1.8525778677153132E-2</c:v>
                </c:pt>
                <c:pt idx="7">
                  <c:v>5.3077662577667856E-2</c:v>
                </c:pt>
                <c:pt idx="8">
                  <c:v>9.7215089627275889E-2</c:v>
                </c:pt>
                <c:pt idx="9">
                  <c:v>3.6501522362990674E-2</c:v>
                </c:pt>
                <c:pt idx="10">
                  <c:v>0.1708718205143358</c:v>
                </c:pt>
                <c:pt idx="11">
                  <c:v>5.3383244609100301E-2</c:v>
                </c:pt>
                <c:pt idx="12">
                  <c:v>6.3175702206698409E-2</c:v>
                </c:pt>
                <c:pt idx="13">
                  <c:v>2.5530322934722037E-2</c:v>
                </c:pt>
                <c:pt idx="14">
                  <c:v>4.6809302897469804E-2</c:v>
                </c:pt>
              </c:numCache>
            </c:numRef>
          </c:xVal>
          <c:yVal>
            <c:numRef>
              <c:f>'Rel Req'!$CT$8:$CT$22</c:f>
              <c:numCache>
                <c:formatCode>0.00%</c:formatCode>
                <c:ptCount val="15"/>
                <c:pt idx="0">
                  <c:v>1E-8</c:v>
                </c:pt>
                <c:pt idx="1">
                  <c:v>2.020096451991428E-2</c:v>
                </c:pt>
                <c:pt idx="2">
                  <c:v>7.142094305195008E-3</c:v>
                </c:pt>
                <c:pt idx="3">
                  <c:v>8.8024763869285882E-3</c:v>
                </c:pt>
                <c:pt idx="4">
                  <c:v>5.2055317335172662E-3</c:v>
                </c:pt>
                <c:pt idx="5">
                  <c:v>1.1533020750079797E-2</c:v>
                </c:pt>
                <c:pt idx="6">
                  <c:v>8.1231673274684696E-3</c:v>
                </c:pt>
                <c:pt idx="7">
                  <c:v>7.834969711616107E-3</c:v>
                </c:pt>
                <c:pt idx="8">
                  <c:v>1.4586743736085329E-2</c:v>
                </c:pt>
                <c:pt idx="9">
                  <c:v>1.4049407738723395E-2</c:v>
                </c:pt>
                <c:pt idx="10">
                  <c:v>2.1267345749610794E-2</c:v>
                </c:pt>
                <c:pt idx="11">
                  <c:v>1.0807630047212493E-2</c:v>
                </c:pt>
                <c:pt idx="12">
                  <c:v>1.8802511981050062E-2</c:v>
                </c:pt>
                <c:pt idx="13">
                  <c:v>2.0575396579337348E-2</c:v>
                </c:pt>
                <c:pt idx="14">
                  <c:v>8.481372147244164E-3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5987456"/>
        <c:axId val="445989632"/>
      </c:scatterChart>
      <c:valAx>
        <c:axId val="445987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Zone Size (% of RTO)</a:t>
                </a:r>
              </a:p>
            </c:rich>
          </c:tx>
          <c:layout>
            <c:manualLayout>
              <c:xMode val="edge"/>
              <c:yMode val="edge"/>
              <c:x val="0.43077156144673334"/>
              <c:y val="0.9354038202200925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spPr>
          <a:ln>
            <a:solidFill>
              <a:srgbClr val="CAC9CF"/>
            </a:solidFill>
            <a:prstDash val="sysDot"/>
          </a:ln>
        </c:spPr>
        <c:txPr>
          <a:bodyPr/>
          <a:lstStyle/>
          <a:p>
            <a:pPr>
              <a:defRPr sz="1200">
                <a:solidFill>
                  <a:sysClr val="windowText" lastClr="000000"/>
                </a:solidFill>
                <a:latin typeface="+mj-lt"/>
              </a:defRPr>
            </a:pPr>
            <a:endParaRPr lang="en-US"/>
          </a:p>
        </c:txPr>
        <c:crossAx val="445989632"/>
        <c:crosses val="autoZero"/>
        <c:crossBetween val="midCat"/>
      </c:valAx>
      <c:valAx>
        <c:axId val="445989632"/>
        <c:scaling>
          <c:orientation val="minMax"/>
        </c:scaling>
        <c:delete val="0"/>
        <c:axPos val="l"/>
        <c:majorGridlines>
          <c:spPr>
            <a:ln>
              <a:solidFill>
                <a:srgbClr val="CAC9CF"/>
              </a:solidFill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400"/>
                  <a:t> Fluctuation</a:t>
                </a:r>
                <a:r>
                  <a:rPr lang="en-US" sz="1400" baseline="0"/>
                  <a:t> </a:t>
                </a:r>
                <a:r>
                  <a:rPr lang="en-US" sz="1400"/>
                  <a:t>Incremental to Parent (%)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>
                <a:solidFill>
                  <a:sysClr val="windowText" lastClr="000000"/>
                </a:solidFill>
                <a:latin typeface="+mj-lt"/>
              </a:defRPr>
            </a:pPr>
            <a:endParaRPr lang="en-US"/>
          </a:p>
        </c:txPr>
        <c:crossAx val="445987456"/>
        <c:crosses val="autoZero"/>
        <c:crossBetween val="midCat"/>
      </c:valAx>
    </c:plotArea>
    <c:legend>
      <c:legendPos val="t"/>
      <c:layout>
        <c:manualLayout>
          <c:xMode val="edge"/>
          <c:yMode val="edge"/>
          <c:x val="0.52166586390245939"/>
          <c:y val="0.10892571464233866"/>
          <c:w val="0.47833413781131179"/>
          <c:h val="6.8248146007708191E-2"/>
        </c:manualLayout>
      </c:layout>
      <c:overlay val="0"/>
      <c:txPr>
        <a:bodyPr/>
        <a:lstStyle/>
        <a:p>
          <a:pPr>
            <a:defRPr sz="1200">
              <a:solidFill>
                <a:sysClr val="windowText" lastClr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566253983331497"/>
          <c:y val="8.9433772096780037E-2"/>
          <c:w val="0.84522564411309842"/>
          <c:h val="0.74125855790503747"/>
        </c:manualLayout>
      </c:layout>
      <c:scatterChart>
        <c:scatterStyle val="lineMarker"/>
        <c:varyColors val="0"/>
        <c:ser>
          <c:idx val="0"/>
          <c:order val="0"/>
          <c:tx>
            <c:strRef>
              <c:f>Supply!$M$59</c:f>
              <c:strCache>
                <c:ptCount val="1"/>
                <c:pt idx="0">
                  <c:v>Total Offers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</c:marker>
          <c:trendline>
            <c:spPr>
              <a:ln w="12700">
                <a:solidFill>
                  <a:srgbClr val="302F35"/>
                </a:solidFill>
                <a:prstDash val="solid"/>
              </a:ln>
            </c:spPr>
            <c:trendlineType val="exp"/>
            <c:dispRSqr val="0"/>
            <c:dispEq val="0"/>
          </c:trendline>
          <c:xVal>
            <c:numRef>
              <c:f>Supply!$E$64:$E$78</c:f>
              <c:numCache>
                <c:formatCode>#,##0</c:formatCode>
                <c:ptCount val="15"/>
                <c:pt idx="0">
                  <c:v>163475.84166666665</c:v>
                </c:pt>
                <c:pt idx="1">
                  <c:v>69959.083333333343</c:v>
                </c:pt>
                <c:pt idx="2">
                  <c:v>33190.466666666682</c:v>
                </c:pt>
                <c:pt idx="3">
                  <c:v>12173.516666666668</c:v>
                </c:pt>
                <c:pt idx="4">
                  <c:v>12174.250000000002</c:v>
                </c:pt>
                <c:pt idx="5">
                  <c:v>7272.5499999999993</c:v>
                </c:pt>
                <c:pt idx="6">
                  <c:v>5915.9250000000029</c:v>
                </c:pt>
                <c:pt idx="7">
                  <c:v>3874.4500000000003</c:v>
                </c:pt>
                <c:pt idx="8">
                  <c:v>2401.2124999999987</c:v>
                </c:pt>
                <c:pt idx="9">
                  <c:v>1633.6499999999999</c:v>
                </c:pt>
                <c:pt idx="10">
                  <c:v>4323.041666666667</c:v>
                </c:pt>
                <c:pt idx="11">
                  <c:v>26063.624999999989</c:v>
                </c:pt>
                <c:pt idx="12">
                  <c:v>3160.7916666666674</c:v>
                </c:pt>
                <c:pt idx="13">
                  <c:v>10035.833333333334</c:v>
                </c:pt>
                <c:pt idx="14">
                  <c:v>3055.7166666666653</c:v>
                </c:pt>
              </c:numCache>
            </c:numRef>
          </c:xVal>
          <c:yVal>
            <c:numRef>
              <c:f>Supply!$M$64:$M$78</c:f>
              <c:numCache>
                <c:formatCode>0%</c:formatCode>
                <c:ptCount val="15"/>
                <c:pt idx="0">
                  <c:v>0.12881552228805709</c:v>
                </c:pt>
                <c:pt idx="1">
                  <c:v>5.7564314952293173E-2</c:v>
                </c:pt>
                <c:pt idx="2">
                  <c:v>5.2132935543969611E-2</c:v>
                </c:pt>
                <c:pt idx="3">
                  <c:v>7.0677486587756508E-2</c:v>
                </c:pt>
                <c:pt idx="4">
                  <c:v>5.9334704465726487E-2</c:v>
                </c:pt>
                <c:pt idx="5">
                  <c:v>0.11672117779549858</c:v>
                </c:pt>
                <c:pt idx="6">
                  <c:v>9.7370292009585288E-2</c:v>
                </c:pt>
                <c:pt idx="7">
                  <c:v>0.11156316953797935</c:v>
                </c:pt>
                <c:pt idx="8">
                  <c:v>0.14796033499876676</c:v>
                </c:pt>
                <c:pt idx="9">
                  <c:v>6.820921378037062E-2</c:v>
                </c:pt>
                <c:pt idx="10">
                  <c:v>0.13063575916645784</c:v>
                </c:pt>
                <c:pt idx="11">
                  <c:v>4.2286998140927901E-2</c:v>
                </c:pt>
                <c:pt idx="12">
                  <c:v>0.310329352014517</c:v>
                </c:pt>
                <c:pt idx="13">
                  <c:v>0.12126332339959602</c:v>
                </c:pt>
                <c:pt idx="14">
                  <c:v>4.6412595478848226E-2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Supply!$N$59</c:f>
              <c:strCache>
                <c:ptCount val="1"/>
                <c:pt idx="0">
                  <c:v>Annual Change in Offer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</c:marker>
          <c:trendline>
            <c:spPr>
              <a:ln w="12700">
                <a:solidFill>
                  <a:srgbClr val="7FB9C2"/>
                </a:solidFill>
                <a:prstDash val="solid"/>
              </a:ln>
            </c:spPr>
            <c:trendlineType val="exp"/>
            <c:dispRSqr val="0"/>
            <c:dispEq val="0"/>
          </c:trendline>
          <c:xVal>
            <c:numRef>
              <c:f>Supply!$E$64:$E$78</c:f>
              <c:numCache>
                <c:formatCode>#,##0</c:formatCode>
                <c:ptCount val="15"/>
                <c:pt idx="0">
                  <c:v>163475.84166666665</c:v>
                </c:pt>
                <c:pt idx="1">
                  <c:v>69959.083333333343</c:v>
                </c:pt>
                <c:pt idx="2">
                  <c:v>33190.466666666682</c:v>
                </c:pt>
                <c:pt idx="3">
                  <c:v>12173.516666666668</c:v>
                </c:pt>
                <c:pt idx="4">
                  <c:v>12174.250000000002</c:v>
                </c:pt>
                <c:pt idx="5">
                  <c:v>7272.5499999999993</c:v>
                </c:pt>
                <c:pt idx="6">
                  <c:v>5915.9250000000029</c:v>
                </c:pt>
                <c:pt idx="7">
                  <c:v>3874.4500000000003</c:v>
                </c:pt>
                <c:pt idx="8">
                  <c:v>2401.2124999999987</c:v>
                </c:pt>
                <c:pt idx="9">
                  <c:v>1633.6499999999999</c:v>
                </c:pt>
                <c:pt idx="10">
                  <c:v>4323.041666666667</c:v>
                </c:pt>
                <c:pt idx="11">
                  <c:v>26063.624999999989</c:v>
                </c:pt>
                <c:pt idx="12">
                  <c:v>3160.7916666666674</c:v>
                </c:pt>
                <c:pt idx="13">
                  <c:v>10035.833333333334</c:v>
                </c:pt>
                <c:pt idx="14">
                  <c:v>3055.7166666666653</c:v>
                </c:pt>
              </c:numCache>
            </c:numRef>
          </c:xVal>
          <c:yVal>
            <c:numRef>
              <c:f>Supply!$N$64:$N$78</c:f>
              <c:numCache>
                <c:formatCode>0%</c:formatCode>
                <c:ptCount val="15"/>
                <c:pt idx="0">
                  <c:v>4.434960359510863E-2</c:v>
                </c:pt>
                <c:pt idx="1">
                  <c:v>2.6223348604840123E-2</c:v>
                </c:pt>
                <c:pt idx="2">
                  <c:v>4.9175187566920089E-2</c:v>
                </c:pt>
                <c:pt idx="3">
                  <c:v>4.1840062888340177E-2</c:v>
                </c:pt>
                <c:pt idx="4">
                  <c:v>6.7553541873519418E-2</c:v>
                </c:pt>
                <c:pt idx="5">
                  <c:v>0.11148209467013352</c:v>
                </c:pt>
                <c:pt idx="6">
                  <c:v>5.7361227966375126E-2</c:v>
                </c:pt>
                <c:pt idx="7">
                  <c:v>0.10472578266105191</c:v>
                </c:pt>
                <c:pt idx="8">
                  <c:v>0.24437483563249671</c:v>
                </c:pt>
                <c:pt idx="9">
                  <c:v>4.7675381560170649E-2</c:v>
                </c:pt>
                <c:pt idx="10">
                  <c:v>0.11216350730077966</c:v>
                </c:pt>
                <c:pt idx="11">
                  <c:v>3.0501830828639345E-2</c:v>
                </c:pt>
                <c:pt idx="12">
                  <c:v>0.30164544545176858</c:v>
                </c:pt>
                <c:pt idx="13">
                  <c:v>3.4514820705210322E-2</c:v>
                </c:pt>
                <c:pt idx="14">
                  <c:v>7.6783494672040181E-2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Supply!$O$59</c:f>
              <c:strCache>
                <c:ptCount val="1"/>
                <c:pt idx="0">
                  <c:v>Difference from Linear Trend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</c:marker>
          <c:trendline>
            <c:spPr>
              <a:ln w="12700">
                <a:solidFill>
                  <a:srgbClr val="6A7277"/>
                </a:solidFill>
                <a:prstDash val="solid"/>
              </a:ln>
            </c:spPr>
            <c:trendlineType val="exp"/>
            <c:dispRSqr val="0"/>
            <c:dispEq val="0"/>
          </c:trendline>
          <c:xVal>
            <c:numRef>
              <c:f>Supply!$E$64:$E$78</c:f>
              <c:numCache>
                <c:formatCode>#,##0</c:formatCode>
                <c:ptCount val="15"/>
                <c:pt idx="0">
                  <c:v>163475.84166666665</c:v>
                </c:pt>
                <c:pt idx="1">
                  <c:v>69959.083333333343</c:v>
                </c:pt>
                <c:pt idx="2">
                  <c:v>33190.466666666682</c:v>
                </c:pt>
                <c:pt idx="3">
                  <c:v>12173.516666666668</c:v>
                </c:pt>
                <c:pt idx="4">
                  <c:v>12174.250000000002</c:v>
                </c:pt>
                <c:pt idx="5">
                  <c:v>7272.5499999999993</c:v>
                </c:pt>
                <c:pt idx="6">
                  <c:v>5915.9250000000029</c:v>
                </c:pt>
                <c:pt idx="7">
                  <c:v>3874.4500000000003</c:v>
                </c:pt>
                <c:pt idx="8">
                  <c:v>2401.2124999999987</c:v>
                </c:pt>
                <c:pt idx="9">
                  <c:v>1633.6499999999999</c:v>
                </c:pt>
                <c:pt idx="10">
                  <c:v>4323.041666666667</c:v>
                </c:pt>
                <c:pt idx="11">
                  <c:v>26063.624999999989</c:v>
                </c:pt>
                <c:pt idx="12">
                  <c:v>3160.7916666666674</c:v>
                </c:pt>
                <c:pt idx="13">
                  <c:v>10035.833333333334</c:v>
                </c:pt>
                <c:pt idx="14">
                  <c:v>3055.7166666666653</c:v>
                </c:pt>
              </c:numCache>
            </c:numRef>
          </c:xVal>
          <c:yVal>
            <c:numRef>
              <c:f>Supply!$O$64:$O$78</c:f>
              <c:numCache>
                <c:formatCode>0%</c:formatCode>
                <c:ptCount val="15"/>
                <c:pt idx="0">
                  <c:v>4.3791909765262108E-2</c:v>
                </c:pt>
                <c:pt idx="1">
                  <c:v>2.2927989679614277E-2</c:v>
                </c:pt>
                <c:pt idx="2">
                  <c:v>5.0275574926755294E-2</c:v>
                </c:pt>
                <c:pt idx="3">
                  <c:v>3.3833877072983222E-2</c:v>
                </c:pt>
                <c:pt idx="4">
                  <c:v>4.0095261038371195E-2</c:v>
                </c:pt>
                <c:pt idx="5">
                  <c:v>0.10505641440921161</c:v>
                </c:pt>
                <c:pt idx="6">
                  <c:v>4.2412857158382847E-2</c:v>
                </c:pt>
                <c:pt idx="7">
                  <c:v>0.11111948904896418</c:v>
                </c:pt>
                <c:pt idx="8">
                  <c:v>0.13566708319249116</c:v>
                </c:pt>
                <c:pt idx="9">
                  <c:v>3.9648813446163653E-2</c:v>
                </c:pt>
                <c:pt idx="10">
                  <c:v>0.13021907217101397</c:v>
                </c:pt>
                <c:pt idx="11">
                  <c:v>2.4440367688677852E-2</c:v>
                </c:pt>
                <c:pt idx="12">
                  <c:v>0.27979389694066836</c:v>
                </c:pt>
                <c:pt idx="13">
                  <c:v>4.5507850148008115E-2</c:v>
                </c:pt>
                <c:pt idx="14">
                  <c:v>4.6264625195763881E-2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Supply!$P$59</c:f>
              <c:strCache>
                <c:ptCount val="1"/>
                <c:pt idx="0">
                  <c:v>Difference from Spline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</c:marker>
          <c:trendline>
            <c:spPr>
              <a:ln w="19050">
                <a:solidFill>
                  <a:srgbClr val="EF4623"/>
                </a:solidFill>
              </a:ln>
            </c:spPr>
            <c:trendlineType val="exp"/>
            <c:dispRSqr val="0"/>
            <c:dispEq val="0"/>
          </c:trendline>
          <c:xVal>
            <c:numRef>
              <c:f>Supply!$E$64:$E$78</c:f>
              <c:numCache>
                <c:formatCode>#,##0</c:formatCode>
                <c:ptCount val="15"/>
                <c:pt idx="0">
                  <c:v>163475.84166666665</c:v>
                </c:pt>
                <c:pt idx="1">
                  <c:v>69959.083333333343</c:v>
                </c:pt>
                <c:pt idx="2">
                  <c:v>33190.466666666682</c:v>
                </c:pt>
                <c:pt idx="3">
                  <c:v>12173.516666666668</c:v>
                </c:pt>
                <c:pt idx="4">
                  <c:v>12174.250000000002</c:v>
                </c:pt>
                <c:pt idx="5">
                  <c:v>7272.5499999999993</c:v>
                </c:pt>
                <c:pt idx="6">
                  <c:v>5915.9250000000029</c:v>
                </c:pt>
                <c:pt idx="7">
                  <c:v>3874.4500000000003</c:v>
                </c:pt>
                <c:pt idx="8">
                  <c:v>2401.2124999999987</c:v>
                </c:pt>
                <c:pt idx="9">
                  <c:v>1633.6499999999999</c:v>
                </c:pt>
                <c:pt idx="10">
                  <c:v>4323.041666666667</c:v>
                </c:pt>
                <c:pt idx="11">
                  <c:v>26063.624999999989</c:v>
                </c:pt>
                <c:pt idx="12">
                  <c:v>3160.7916666666674</c:v>
                </c:pt>
                <c:pt idx="13">
                  <c:v>10035.833333333334</c:v>
                </c:pt>
                <c:pt idx="14">
                  <c:v>3055.7166666666653</c:v>
                </c:pt>
              </c:numCache>
            </c:numRef>
          </c:xVal>
          <c:yVal>
            <c:numRef>
              <c:f>Supply!$P$64:$P$78</c:f>
              <c:numCache>
                <c:formatCode>0%</c:formatCode>
                <c:ptCount val="15"/>
                <c:pt idx="0">
                  <c:v>3.2725078803910977E-2</c:v>
                </c:pt>
                <c:pt idx="1">
                  <c:v>1.5347855550780084E-2</c:v>
                </c:pt>
                <c:pt idx="2">
                  <c:v>3.0846280786241492E-2</c:v>
                </c:pt>
                <c:pt idx="3">
                  <c:v>2.555531423099016E-2</c:v>
                </c:pt>
                <c:pt idx="4">
                  <c:v>4.0094670999061714E-2</c:v>
                </c:pt>
                <c:pt idx="5">
                  <c:v>6.4746280187329308E-2</c:v>
                </c:pt>
                <c:pt idx="6">
                  <c:v>4.241035072987568E-2</c:v>
                </c:pt>
                <c:pt idx="7">
                  <c:v>6.025191357181077E-2</c:v>
                </c:pt>
                <c:pt idx="8">
                  <c:v>0.13566656546358152</c:v>
                </c:pt>
                <c:pt idx="9">
                  <c:v>3.703085721519149E-2</c:v>
                </c:pt>
                <c:pt idx="10">
                  <c:v>6.5047850309245064E-2</c:v>
                </c:pt>
                <c:pt idx="11">
                  <c:v>2.0022027863026291E-2</c:v>
                </c:pt>
                <c:pt idx="12">
                  <c:v>0.23739440093195138</c:v>
                </c:pt>
                <c:pt idx="13">
                  <c:v>3.2310399138798289E-2</c:v>
                </c:pt>
                <c:pt idx="14">
                  <c:v>4.0981681548762236E-2</c:v>
                </c:pt>
              </c:numCache>
            </c:numRef>
          </c:yVal>
          <c:smooth val="0"/>
        </c:ser>
        <c:ser>
          <c:idx val="4"/>
          <c:order val="4"/>
          <c:tx>
            <c:v>Modeled Shocks</c:v>
          </c:tx>
          <c:spPr>
            <a:ln w="28575">
              <a:solidFill>
                <a:srgbClr val="EF4623"/>
              </a:solidFill>
            </a:ln>
          </c:spPr>
          <c:marker>
            <c:symbol val="diamond"/>
            <c:size val="12"/>
            <c:spPr>
              <a:solidFill>
                <a:srgbClr val="EF4623"/>
              </a:solidFill>
              <a:ln>
                <a:noFill/>
              </a:ln>
            </c:spPr>
          </c:marker>
          <c:xVal>
            <c:numRef>
              <c:f>Supply!$F$64:$F$78</c:f>
              <c:numCache>
                <c:formatCode>#,##0</c:formatCode>
                <c:ptCount val="15"/>
                <c:pt idx="0">
                  <c:v>183351.50000000015</c:v>
                </c:pt>
                <c:pt idx="1">
                  <c:v>72972.7</c:v>
                </c:pt>
                <c:pt idx="2">
                  <c:v>31044.999999999993</c:v>
                </c:pt>
                <c:pt idx="3">
                  <c:v>12895.400000000009</c:v>
                </c:pt>
                <c:pt idx="4">
                  <c:v>11705.199999999997</c:v>
                </c:pt>
                <c:pt idx="5">
                  <c:v>5699.5000000000027</c:v>
                </c:pt>
                <c:pt idx="6">
                  <c:v>6941.1000000000085</c:v>
                </c:pt>
                <c:pt idx="7">
                  <c:v>3359.1000000000045</c:v>
                </c:pt>
                <c:pt idx="8">
                  <c:v>2467.3999999999996</c:v>
                </c:pt>
                <c:pt idx="9">
                  <c:v>1687.9000000000015</c:v>
                </c:pt>
                <c:pt idx="10">
                  <c:v>3543.2999999999993</c:v>
                </c:pt>
                <c:pt idx="11">
                  <c:v>27436.799999999959</c:v>
                </c:pt>
                <c:pt idx="12">
                  <c:v>1669.2000000000032</c:v>
                </c:pt>
                <c:pt idx="13">
                  <c:v>10929.700000000006</c:v>
                </c:pt>
                <c:pt idx="14">
                  <c:v>3166.6999999999994</c:v>
                </c:pt>
              </c:numCache>
            </c:numRef>
          </c:xVal>
          <c:yVal>
            <c:numRef>
              <c:f>Supply!$S$64:$S$78</c:f>
              <c:numCache>
                <c:formatCode>0%</c:formatCode>
                <c:ptCount val="15"/>
                <c:pt idx="0">
                  <c:v>1.6644021240465427E-2</c:v>
                </c:pt>
                <c:pt idx="1">
                  <c:v>3.2905671891869506E-2</c:v>
                </c:pt>
                <c:pt idx="2">
                  <c:v>4.262966802434584E-2</c:v>
                </c:pt>
                <c:pt idx="3">
                  <c:v>4.7685388317147602E-2</c:v>
                </c:pt>
                <c:pt idx="4">
                  <c:v>4.8037144915175592E-2</c:v>
                </c:pt>
                <c:pt idx="5">
                  <c:v>4.9852070355569489E-2</c:v>
                </c:pt>
                <c:pt idx="6">
                  <c:v>4.9471319238009764E-2</c:v>
                </c:pt>
                <c:pt idx="7">
                  <c:v>5.0577767425712405E-2</c:v>
                </c:pt>
                <c:pt idx="8">
                  <c:v>5.0857031274407508E-2</c:v>
                </c:pt>
                <c:pt idx="9">
                  <c:v>5.1102419005037841E-2</c:v>
                </c:pt>
                <c:pt idx="10">
                  <c:v>5.0520270796400694E-2</c:v>
                </c:pt>
                <c:pt idx="11">
                  <c:v>4.3590151334485037E-2</c:v>
                </c:pt>
                <c:pt idx="12">
                  <c:v>5.1108320312111516E-2</c:v>
                </c:pt>
                <c:pt idx="13">
                  <c:v>4.8267734316165677E-2</c:v>
                </c:pt>
                <c:pt idx="14">
                  <c:v>5.0637893494572532E-2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3806720"/>
        <c:axId val="433817472"/>
      </c:scatterChart>
      <c:valAx>
        <c:axId val="433806720"/>
        <c:scaling>
          <c:orientation val="minMax"/>
          <c:max val="2000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200"/>
                  <a:t>Supply Offer (MW)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>
            <a:solidFill>
              <a:srgbClr val="CAC9CF"/>
            </a:solidFill>
            <a:prstDash val="sysDot"/>
          </a:ln>
        </c:spPr>
        <c:txPr>
          <a:bodyPr/>
          <a:lstStyle/>
          <a:p>
            <a:pPr>
              <a:defRPr sz="1200">
                <a:solidFill>
                  <a:sysClr val="windowText" lastClr="000000"/>
                </a:solidFill>
                <a:latin typeface="+mj-lt"/>
              </a:defRPr>
            </a:pPr>
            <a:endParaRPr lang="en-US"/>
          </a:p>
        </c:txPr>
        <c:crossAx val="433817472"/>
        <c:crosses val="autoZero"/>
        <c:crossBetween val="midCat"/>
        <c:majorUnit val="50000"/>
      </c:valAx>
      <c:valAx>
        <c:axId val="433817472"/>
        <c:scaling>
          <c:orientation val="minMax"/>
        </c:scaling>
        <c:delete val="0"/>
        <c:axPos val="l"/>
        <c:majorGridlines>
          <c:spPr>
            <a:ln>
              <a:solidFill>
                <a:srgbClr val="CAC9CF"/>
              </a:solidFill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200" b="1" i="0" u="none" strike="noStrike" baseline="0">
                    <a:effectLst/>
                  </a:rPr>
                  <a:t>Shock St. Dev (% of MW Offered)</a:t>
                </a:r>
                <a:endParaRPr lang="en-US"/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>
                <a:solidFill>
                  <a:sysClr val="windowText" lastClr="000000"/>
                </a:solidFill>
                <a:latin typeface="+mj-lt"/>
              </a:defRPr>
            </a:pPr>
            <a:endParaRPr lang="en-US"/>
          </a:p>
        </c:txPr>
        <c:crossAx val="433806720"/>
        <c:crosses val="autoZero"/>
        <c:crossBetween val="midCat"/>
      </c:valAx>
    </c:plotArea>
    <c:legend>
      <c:legendPos val="tr"/>
      <c:layout>
        <c:manualLayout>
          <c:xMode val="edge"/>
          <c:yMode val="edge"/>
          <c:x val="0.53320142674473381"/>
          <c:y val="8.8031485194526679E-2"/>
          <c:w val="0.37831189653329533"/>
          <c:h val="0.23173738469035732"/>
        </c:manualLayout>
      </c:layout>
      <c:overlay val="1"/>
      <c:spPr>
        <a:solidFill>
          <a:srgbClr val="FFFFFF"/>
        </a:solidFill>
      </c:spPr>
      <c:txPr>
        <a:bodyPr/>
        <a:lstStyle/>
        <a:p>
          <a:pPr>
            <a:defRPr sz="1000">
              <a:solidFill>
                <a:sysClr val="windowText" lastClr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1131795</xdr:colOff>
      <xdr:row>9</xdr:row>
      <xdr:rowOff>145677</xdr:rowOff>
    </xdr:from>
    <xdr:to>
      <xdr:col>15</xdr:col>
      <xdr:colOff>430867</xdr:colOff>
      <xdr:row>27</xdr:row>
      <xdr:rowOff>44761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0.5025</cdr:x>
      <cdr:y>0.33899</cdr:y>
    </cdr:from>
    <cdr:to>
      <cdr:x>0.8708</cdr:x>
      <cdr:y>0.60798</cdr:y>
    </cdr:to>
    <cdr:sp macro="" textlink="">
      <cdr:nvSpPr>
        <cdr:cNvPr id="2" name="TextBox 2"/>
        <cdr:cNvSpPr txBox="1"/>
      </cdr:nvSpPr>
      <cdr:spPr>
        <a:xfrm xmlns:a="http://schemas.openxmlformats.org/drawingml/2006/main">
          <a:off x="2570255" y="1143374"/>
          <a:ext cx="1883832" cy="9073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accent4"/>
              </a:solidFill>
            </a:rPr>
            <a:t>Historical</a:t>
          </a:r>
          <a:r>
            <a:rPr lang="en-US" sz="1200" b="1" baseline="0">
              <a:solidFill>
                <a:schemeClr val="accent4"/>
              </a:solidFill>
            </a:rPr>
            <a:t> Gross CONE Fluctuation as BLS Index Deviation from Expected Value</a:t>
          </a:r>
          <a:endParaRPr lang="en-US" sz="1200" b="1">
            <a:solidFill>
              <a:schemeClr val="accent4"/>
            </a:solidFill>
          </a:endParaRPr>
        </a:p>
      </cdr:txBody>
    </cdr:sp>
  </cdr:relSizeAnchor>
  <cdr:relSizeAnchor xmlns:cdr="http://schemas.openxmlformats.org/drawingml/2006/chartDrawing">
    <cdr:from>
      <cdr:x>0.5423</cdr:x>
      <cdr:y>0.29081</cdr:y>
    </cdr:from>
    <cdr:to>
      <cdr:x>0.60231</cdr:x>
      <cdr:y>0.34729</cdr:y>
    </cdr:to>
    <cdr:cxnSp macro="">
      <cdr:nvCxnSpPr>
        <cdr:cNvPr id="3" name="Straight Connector 2"/>
        <cdr:cNvCxnSpPr/>
      </cdr:nvCxnSpPr>
      <cdr:spPr>
        <a:xfrm xmlns:a="http://schemas.openxmlformats.org/drawingml/2006/main">
          <a:off x="2773830" y="980888"/>
          <a:ext cx="306918" cy="19050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accent4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101</xdr:col>
      <xdr:colOff>188412</xdr:colOff>
      <xdr:row>3</xdr:row>
      <xdr:rowOff>42057</xdr:rowOff>
    </xdr:from>
    <xdr:to>
      <xdr:col>108</xdr:col>
      <xdr:colOff>80479</xdr:colOff>
      <xdr:row>25</xdr:row>
      <xdr:rowOff>36266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352425</xdr:colOff>
      <xdr:row>58</xdr:row>
      <xdr:rowOff>339468</xdr:rowOff>
    </xdr:from>
    <xdr:to>
      <xdr:col>31</xdr:col>
      <xdr:colOff>47625</xdr:colOff>
      <xdr:row>78</xdr:row>
      <xdr:rowOff>85724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Brattle 2015">
  <a:themeElements>
    <a:clrScheme name="Brattle 2015">
      <a:dk1>
        <a:srgbClr val="000000"/>
      </a:dk1>
      <a:lt1>
        <a:srgbClr val="FFFFFF"/>
      </a:lt1>
      <a:dk2>
        <a:srgbClr val="FFFFFF"/>
      </a:dk2>
      <a:lt2>
        <a:srgbClr val="00467F"/>
      </a:lt2>
      <a:accent1>
        <a:srgbClr val="002B54"/>
      </a:accent1>
      <a:accent2>
        <a:srgbClr val="7FB9C2"/>
      </a:accent2>
      <a:accent3>
        <a:srgbClr val="6A7277"/>
      </a:accent3>
      <a:accent4>
        <a:srgbClr val="EF4623"/>
      </a:accent4>
      <a:accent5>
        <a:srgbClr val="00467F"/>
      </a:accent5>
      <a:accent6>
        <a:srgbClr val="CCCDC3"/>
      </a:accent6>
      <a:hlink>
        <a:srgbClr val="7FB9C2"/>
      </a:hlink>
      <a:folHlink>
        <a:srgbClr val="00467F"/>
      </a:folHlink>
    </a:clrScheme>
    <a:fontScheme name="Brattle 2015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Brattle Theme">
    <a:dk1>
      <a:srgbClr val="302F35"/>
    </a:dk1>
    <a:lt1>
      <a:srgbClr val="FFFFFF"/>
    </a:lt1>
    <a:dk2>
      <a:srgbClr val="FFFFFF"/>
    </a:dk2>
    <a:lt2>
      <a:srgbClr val="00467F"/>
    </a:lt2>
    <a:accent1>
      <a:srgbClr val="002B54"/>
    </a:accent1>
    <a:accent2>
      <a:srgbClr val="7FB9C2"/>
    </a:accent2>
    <a:accent3>
      <a:srgbClr val="6A7277"/>
    </a:accent3>
    <a:accent4>
      <a:srgbClr val="EF4623"/>
    </a:accent4>
    <a:accent5>
      <a:srgbClr val="00467F"/>
    </a:accent5>
    <a:accent6>
      <a:srgbClr val="CCCDC3"/>
    </a:accent6>
    <a:hlink>
      <a:srgbClr val="7FB9C2"/>
    </a:hlink>
    <a:folHlink>
      <a:srgbClr val="00467F"/>
    </a:folHlink>
  </a:clrScheme>
  <a:fontScheme name="Extended Fonts">
    <a:majorFont>
      <a:latin typeface="Calibri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Brattle Theme">
    <a:dk1>
      <a:srgbClr val="302F35"/>
    </a:dk1>
    <a:lt1>
      <a:srgbClr val="FFFFFF"/>
    </a:lt1>
    <a:dk2>
      <a:srgbClr val="FFFFFF"/>
    </a:dk2>
    <a:lt2>
      <a:srgbClr val="00467F"/>
    </a:lt2>
    <a:accent1>
      <a:srgbClr val="002B54"/>
    </a:accent1>
    <a:accent2>
      <a:srgbClr val="7FB9C2"/>
    </a:accent2>
    <a:accent3>
      <a:srgbClr val="6A7277"/>
    </a:accent3>
    <a:accent4>
      <a:srgbClr val="EF4623"/>
    </a:accent4>
    <a:accent5>
      <a:srgbClr val="00467F"/>
    </a:accent5>
    <a:accent6>
      <a:srgbClr val="CCCDC3"/>
    </a:accent6>
    <a:hlink>
      <a:srgbClr val="7FB9C2"/>
    </a:hlink>
    <a:folHlink>
      <a:srgbClr val="00467F"/>
    </a:folHlink>
  </a:clrScheme>
  <a:fontScheme name="Extended Fonts">
    <a:majorFont>
      <a:latin typeface="Calibri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/>
  </sheetPr>
  <dimension ref="A1:J204"/>
  <sheetViews>
    <sheetView tabSelected="1" zoomScaleNormal="100" workbookViewId="0">
      <pane ySplit="9" topLeftCell="A10" activePane="bottomLeft" state="frozen"/>
      <selection activeCell="Q104" sqref="Q104"/>
      <selection pane="bottomLeft"/>
    </sheetView>
  </sheetViews>
  <sheetFormatPr defaultColWidth="9.33203125" defaultRowHeight="13.8" x14ac:dyDescent="0.3"/>
  <cols>
    <col min="1" max="2" width="9.33203125" style="163" customWidth="1"/>
    <col min="3" max="4" width="9.33203125" style="164" customWidth="1"/>
    <col min="5" max="5" width="9.33203125" style="163" customWidth="1"/>
    <col min="6" max="6" width="11.33203125" style="163" customWidth="1"/>
    <col min="7" max="16384" width="9.33203125" style="185"/>
  </cols>
  <sheetData>
    <row r="1" spans="1:6" s="223" customFormat="1" ht="12.75" x14ac:dyDescent="0.2">
      <c r="A1" s="223" t="s">
        <v>125</v>
      </c>
      <c r="C1" s="224"/>
      <c r="D1" s="224"/>
    </row>
    <row r="2" spans="1:6" s="223" customFormat="1" ht="12.75" x14ac:dyDescent="0.2">
      <c r="A2" s="223" t="s">
        <v>110</v>
      </c>
      <c r="C2" s="224"/>
      <c r="D2" s="224"/>
    </row>
    <row r="3" spans="1:6" s="163" customFormat="1" ht="13.95" x14ac:dyDescent="0.3">
      <c r="C3" s="164"/>
      <c r="D3" s="164"/>
    </row>
    <row r="4" spans="1:6" s="163" customFormat="1" ht="13.2" x14ac:dyDescent="0.3">
      <c r="C4" s="164"/>
      <c r="D4" s="164"/>
      <c r="E4" s="165" t="s">
        <v>76</v>
      </c>
      <c r="F4" s="166">
        <f>STDEV(F10:F177)</f>
        <v>0.15329314133451805</v>
      </c>
    </row>
    <row r="6" spans="1:6" s="169" customFormat="1" ht="13.2" x14ac:dyDescent="0.3">
      <c r="A6" s="167" t="s">
        <v>77</v>
      </c>
      <c r="B6" s="168"/>
      <c r="C6" s="168"/>
      <c r="D6" s="168"/>
      <c r="E6" s="168"/>
      <c r="F6" s="168"/>
    </row>
    <row r="7" spans="1:6" s="172" customFormat="1" ht="64.95" x14ac:dyDescent="0.35">
      <c r="A7" s="170" t="s">
        <v>65</v>
      </c>
      <c r="B7" s="170" t="s">
        <v>78</v>
      </c>
      <c r="C7" s="171" t="s">
        <v>79</v>
      </c>
      <c r="D7" s="171" t="s">
        <v>80</v>
      </c>
      <c r="E7" s="170" t="s">
        <v>81</v>
      </c>
      <c r="F7" s="170" t="s">
        <v>82</v>
      </c>
    </row>
    <row r="8" spans="1:6" s="176" customFormat="1" ht="13.2" x14ac:dyDescent="0.35">
      <c r="A8" s="173"/>
      <c r="B8" s="174"/>
      <c r="C8" s="175" t="s">
        <v>1</v>
      </c>
      <c r="D8" s="175" t="s">
        <v>1</v>
      </c>
      <c r="E8" s="175" t="s">
        <v>1</v>
      </c>
      <c r="F8" s="174" t="s">
        <v>2</v>
      </c>
    </row>
    <row r="9" spans="1:6" s="172" customFormat="1" ht="5.25" customHeight="1" x14ac:dyDescent="0.3">
      <c r="A9" s="177"/>
      <c r="B9" s="177"/>
      <c r="C9" s="178"/>
      <c r="D9" s="178"/>
      <c r="E9" s="177"/>
      <c r="F9" s="177"/>
    </row>
    <row r="10" spans="1:6" ht="12.75" x14ac:dyDescent="0.2">
      <c r="A10" s="179" t="s">
        <v>3</v>
      </c>
      <c r="B10" s="180">
        <v>2007</v>
      </c>
      <c r="C10" s="181" t="s">
        <v>34</v>
      </c>
      <c r="D10" s="182">
        <f t="shared" ref="D10:D41" si="0">AVERAGEIFS($C$10:$C$177, $A$10:$A$177, A10)</f>
        <v>6257.4</v>
      </c>
      <c r="E10" s="183" t="str">
        <f>IF(ISNUMBER(C10),C10-D10,"n/a")</f>
        <v>n/a</v>
      </c>
      <c r="F10" s="184" t="str">
        <f>IF(ISNUMBER(E10),E10/D10,"n/a")</f>
        <v>n/a</v>
      </c>
    </row>
    <row r="11" spans="1:6" ht="12.75" x14ac:dyDescent="0.2">
      <c r="A11" s="179" t="s">
        <v>6</v>
      </c>
      <c r="B11" s="180">
        <v>2007</v>
      </c>
      <c r="C11" s="181">
        <v>5845</v>
      </c>
      <c r="D11" s="182">
        <f t="shared" si="0"/>
        <v>8375.8461538461543</v>
      </c>
      <c r="E11" s="183">
        <f t="shared" ref="E11:E66" si="1">IF(ISNUMBER(C11),C11-D11,"n/a")</f>
        <v>-2530.8461538461543</v>
      </c>
      <c r="F11" s="184">
        <f t="shared" ref="F11:F66" si="2">IF(ISNUMBER(E11),E11/D11,"n/a")</f>
        <v>-0.30216005730764289</v>
      </c>
    </row>
    <row r="12" spans="1:6" ht="12.75" x14ac:dyDescent="0.2">
      <c r="A12" s="179" t="s">
        <v>7</v>
      </c>
      <c r="B12" s="180">
        <v>2007</v>
      </c>
      <c r="C12" s="181">
        <v>5699</v>
      </c>
      <c r="D12" s="182">
        <f t="shared" si="0"/>
        <v>7729.876923076923</v>
      </c>
      <c r="E12" s="183">
        <f t="shared" si="1"/>
        <v>-2030.876923076923</v>
      </c>
      <c r="F12" s="184">
        <f t="shared" si="2"/>
        <v>-0.26273082266211822</v>
      </c>
    </row>
    <row r="13" spans="1:6" ht="12.75" x14ac:dyDescent="0.2">
      <c r="A13" s="179" t="s">
        <v>9</v>
      </c>
      <c r="B13" s="180">
        <v>2007</v>
      </c>
      <c r="C13" s="181" t="s">
        <v>34</v>
      </c>
      <c r="D13" s="182">
        <f t="shared" si="0"/>
        <v>6803.2333333333336</v>
      </c>
      <c r="E13" s="183" t="str">
        <f t="shared" si="1"/>
        <v>n/a</v>
      </c>
      <c r="F13" s="184" t="str">
        <f t="shared" si="2"/>
        <v>n/a</v>
      </c>
    </row>
    <row r="14" spans="1:6" ht="12.75" x14ac:dyDescent="0.2">
      <c r="A14" s="179" t="s">
        <v>11</v>
      </c>
      <c r="B14" s="180">
        <v>2007</v>
      </c>
      <c r="C14" s="181" t="s">
        <v>34</v>
      </c>
      <c r="D14" s="182">
        <f t="shared" si="0"/>
        <v>3139.1111111111113</v>
      </c>
      <c r="E14" s="183" t="str">
        <f t="shared" si="1"/>
        <v>n/a</v>
      </c>
      <c r="F14" s="184" t="str">
        <f t="shared" si="2"/>
        <v>n/a</v>
      </c>
    </row>
    <row r="15" spans="1:6" ht="12.75" x14ac:dyDescent="0.2">
      <c r="A15" s="179" t="s">
        <v>13</v>
      </c>
      <c r="B15" s="180">
        <v>2007</v>
      </c>
      <c r="C15" s="181" t="s">
        <v>34</v>
      </c>
      <c r="D15" s="182">
        <f t="shared" si="0"/>
        <v>1832.909090909091</v>
      </c>
      <c r="E15" s="183" t="str">
        <f t="shared" si="1"/>
        <v>n/a</v>
      </c>
      <c r="F15" s="184" t="str">
        <f t="shared" si="2"/>
        <v>n/a</v>
      </c>
    </row>
    <row r="16" spans="1:6" ht="12.75" x14ac:dyDescent="0.2">
      <c r="A16" s="179" t="s">
        <v>10</v>
      </c>
      <c r="B16" s="180">
        <v>2007</v>
      </c>
      <c r="C16" s="181" t="s">
        <v>34</v>
      </c>
      <c r="D16" s="182">
        <f t="shared" si="0"/>
        <v>6290.0375000000004</v>
      </c>
      <c r="E16" s="183" t="str">
        <f t="shared" si="1"/>
        <v>n/a</v>
      </c>
      <c r="F16" s="184" t="str">
        <f t="shared" si="2"/>
        <v>n/a</v>
      </c>
    </row>
    <row r="17" spans="1:6" ht="12.75" x14ac:dyDescent="0.2">
      <c r="A17" s="179" t="s">
        <v>8</v>
      </c>
      <c r="B17" s="180">
        <v>2007</v>
      </c>
      <c r="C17" s="181" t="s">
        <v>34</v>
      </c>
      <c r="D17" s="182">
        <f t="shared" si="0"/>
        <v>8351.6333333333332</v>
      </c>
      <c r="E17" s="183" t="str">
        <f t="shared" si="1"/>
        <v>n/a</v>
      </c>
      <c r="F17" s="184" t="str">
        <f t="shared" si="2"/>
        <v>n/a</v>
      </c>
    </row>
    <row r="18" spans="1:6" ht="12.75" x14ac:dyDescent="0.2">
      <c r="A18" s="179" t="s">
        <v>56</v>
      </c>
      <c r="B18" s="180">
        <v>2007</v>
      </c>
      <c r="C18" s="181" t="s">
        <v>34</v>
      </c>
      <c r="D18" s="182">
        <f t="shared" si="0"/>
        <v>5169.6000000000004</v>
      </c>
      <c r="E18" s="183" t="str">
        <f t="shared" si="1"/>
        <v>n/a</v>
      </c>
      <c r="F18" s="184" t="str">
        <f t="shared" si="2"/>
        <v>n/a</v>
      </c>
    </row>
    <row r="19" spans="1:6" ht="12.75" x14ac:dyDescent="0.2">
      <c r="A19" s="179" t="s">
        <v>16</v>
      </c>
      <c r="B19" s="180">
        <v>2007</v>
      </c>
      <c r="C19" s="181" t="s">
        <v>34</v>
      </c>
      <c r="D19" s="182">
        <f t="shared" si="0"/>
        <v>5367.75</v>
      </c>
      <c r="E19" s="183" t="str">
        <f t="shared" si="1"/>
        <v>n/a</v>
      </c>
      <c r="F19" s="184" t="str">
        <f t="shared" si="2"/>
        <v>n/a</v>
      </c>
    </row>
    <row r="20" spans="1:6" ht="12.75" x14ac:dyDescent="0.2">
      <c r="A20" s="179" t="s">
        <v>15</v>
      </c>
      <c r="B20" s="180">
        <v>2007</v>
      </c>
      <c r="C20" s="181" t="s">
        <v>34</v>
      </c>
      <c r="D20" s="182">
        <f t="shared" si="0"/>
        <v>6272.9250000000002</v>
      </c>
      <c r="E20" s="183" t="str">
        <f t="shared" si="1"/>
        <v>n/a</v>
      </c>
      <c r="F20" s="184" t="str">
        <f t="shared" si="2"/>
        <v>n/a</v>
      </c>
    </row>
    <row r="21" spans="1:6" ht="12.75" x14ac:dyDescent="0.2">
      <c r="A21" s="179" t="s">
        <v>83</v>
      </c>
      <c r="B21" s="180">
        <v>2007</v>
      </c>
      <c r="C21" s="181" t="s">
        <v>34</v>
      </c>
      <c r="D21" s="182">
        <f t="shared" si="0"/>
        <v>5531.5</v>
      </c>
      <c r="E21" s="183" t="str">
        <f t="shared" si="1"/>
        <v>n/a</v>
      </c>
      <c r="F21" s="184" t="str">
        <f t="shared" si="2"/>
        <v>n/a</v>
      </c>
    </row>
    <row r="22" spans="1:6" ht="12.75" x14ac:dyDescent="0.2">
      <c r="A22" s="179" t="s">
        <v>3</v>
      </c>
      <c r="B22" s="180">
        <v>2008</v>
      </c>
      <c r="C22" s="181" t="s">
        <v>34</v>
      </c>
      <c r="D22" s="182">
        <f t="shared" si="0"/>
        <v>6257.4</v>
      </c>
      <c r="E22" s="183" t="str">
        <f t="shared" si="1"/>
        <v>n/a</v>
      </c>
      <c r="F22" s="184" t="str">
        <f t="shared" si="2"/>
        <v>n/a</v>
      </c>
    </row>
    <row r="23" spans="1:6" ht="12.75" x14ac:dyDescent="0.2">
      <c r="A23" s="179" t="s">
        <v>6</v>
      </c>
      <c r="B23" s="180">
        <v>2008</v>
      </c>
      <c r="C23" s="181">
        <v>7930</v>
      </c>
      <c r="D23" s="182">
        <f t="shared" si="0"/>
        <v>8375.8461538461543</v>
      </c>
      <c r="E23" s="183">
        <f t="shared" si="1"/>
        <v>-445.84615384615427</v>
      </c>
      <c r="F23" s="184">
        <f t="shared" si="2"/>
        <v>-5.3229983652627565E-2</v>
      </c>
    </row>
    <row r="24" spans="1:6" ht="12.75" x14ac:dyDescent="0.2">
      <c r="A24" s="179" t="s">
        <v>7</v>
      </c>
      <c r="B24" s="180">
        <v>2008</v>
      </c>
      <c r="C24" s="181">
        <v>5610</v>
      </c>
      <c r="D24" s="182">
        <f t="shared" si="0"/>
        <v>7729.876923076923</v>
      </c>
      <c r="E24" s="183">
        <f t="shared" si="1"/>
        <v>-2119.876923076923</v>
      </c>
      <c r="F24" s="184">
        <f t="shared" si="2"/>
        <v>-0.2742445894252471</v>
      </c>
    </row>
    <row r="25" spans="1:6" ht="12.75" x14ac:dyDescent="0.2">
      <c r="A25" s="179" t="s">
        <v>9</v>
      </c>
      <c r="B25" s="180">
        <v>2008</v>
      </c>
      <c r="C25" s="181" t="s">
        <v>34</v>
      </c>
      <c r="D25" s="182">
        <f t="shared" si="0"/>
        <v>6803.2333333333336</v>
      </c>
      <c r="E25" s="183" t="str">
        <f t="shared" si="1"/>
        <v>n/a</v>
      </c>
      <c r="F25" s="184" t="str">
        <f t="shared" si="2"/>
        <v>n/a</v>
      </c>
    </row>
    <row r="26" spans="1:6" ht="12.75" x14ac:dyDescent="0.2">
      <c r="A26" s="179" t="s">
        <v>11</v>
      </c>
      <c r="B26" s="180">
        <v>2008</v>
      </c>
      <c r="C26" s="181" t="s">
        <v>34</v>
      </c>
      <c r="D26" s="182">
        <f t="shared" si="0"/>
        <v>3139.1111111111113</v>
      </c>
      <c r="E26" s="183" t="str">
        <f t="shared" si="1"/>
        <v>n/a</v>
      </c>
      <c r="F26" s="184" t="str">
        <f t="shared" si="2"/>
        <v>n/a</v>
      </c>
    </row>
    <row r="27" spans="1:6" ht="12.75" x14ac:dyDescent="0.2">
      <c r="A27" s="179" t="s">
        <v>13</v>
      </c>
      <c r="B27" s="180">
        <v>2008</v>
      </c>
      <c r="C27" s="181" t="s">
        <v>34</v>
      </c>
      <c r="D27" s="182">
        <f t="shared" si="0"/>
        <v>1832.909090909091</v>
      </c>
      <c r="E27" s="183" t="str">
        <f t="shared" si="1"/>
        <v>n/a</v>
      </c>
      <c r="F27" s="184" t="str">
        <f t="shared" si="2"/>
        <v>n/a</v>
      </c>
    </row>
    <row r="28" spans="1:6" ht="12.75" x14ac:dyDescent="0.2">
      <c r="A28" s="179" t="s">
        <v>10</v>
      </c>
      <c r="B28" s="180">
        <v>2008</v>
      </c>
      <c r="C28" s="181" t="s">
        <v>34</v>
      </c>
      <c r="D28" s="182">
        <f t="shared" si="0"/>
        <v>6290.0375000000004</v>
      </c>
      <c r="E28" s="183" t="str">
        <f t="shared" si="1"/>
        <v>n/a</v>
      </c>
      <c r="F28" s="184" t="str">
        <f t="shared" si="2"/>
        <v>n/a</v>
      </c>
    </row>
    <row r="29" spans="1:6" ht="12.75" x14ac:dyDescent="0.2">
      <c r="A29" s="179" t="s">
        <v>8</v>
      </c>
      <c r="B29" s="180">
        <v>2008</v>
      </c>
      <c r="C29" s="181" t="s">
        <v>34</v>
      </c>
      <c r="D29" s="182">
        <f t="shared" si="0"/>
        <v>8351.6333333333332</v>
      </c>
      <c r="E29" s="183" t="str">
        <f t="shared" si="1"/>
        <v>n/a</v>
      </c>
      <c r="F29" s="184" t="str">
        <f t="shared" si="2"/>
        <v>n/a</v>
      </c>
    </row>
    <row r="30" spans="1:6" ht="12.75" x14ac:dyDescent="0.2">
      <c r="A30" s="179" t="s">
        <v>56</v>
      </c>
      <c r="B30" s="180">
        <v>2008</v>
      </c>
      <c r="C30" s="181" t="s">
        <v>34</v>
      </c>
      <c r="D30" s="182">
        <f t="shared" si="0"/>
        <v>5169.6000000000004</v>
      </c>
      <c r="E30" s="183" t="str">
        <f t="shared" si="1"/>
        <v>n/a</v>
      </c>
      <c r="F30" s="184" t="str">
        <f t="shared" si="2"/>
        <v>n/a</v>
      </c>
    </row>
    <row r="31" spans="1:6" ht="12.75" x14ac:dyDescent="0.2">
      <c r="A31" s="179" t="s">
        <v>16</v>
      </c>
      <c r="B31" s="180">
        <v>2008</v>
      </c>
      <c r="C31" s="181" t="s">
        <v>34</v>
      </c>
      <c r="D31" s="182">
        <f t="shared" si="0"/>
        <v>5367.75</v>
      </c>
      <c r="E31" s="183" t="str">
        <f t="shared" si="1"/>
        <v>n/a</v>
      </c>
      <c r="F31" s="184" t="str">
        <f t="shared" si="2"/>
        <v>n/a</v>
      </c>
    </row>
    <row r="32" spans="1:6" ht="12.75" x14ac:dyDescent="0.2">
      <c r="A32" s="179" t="s">
        <v>15</v>
      </c>
      <c r="B32" s="180">
        <v>2008</v>
      </c>
      <c r="C32" s="181" t="s">
        <v>34</v>
      </c>
      <c r="D32" s="182">
        <f t="shared" si="0"/>
        <v>6272.9250000000002</v>
      </c>
      <c r="E32" s="183" t="str">
        <f t="shared" si="1"/>
        <v>n/a</v>
      </c>
      <c r="F32" s="184" t="str">
        <f t="shared" si="2"/>
        <v>n/a</v>
      </c>
    </row>
    <row r="33" spans="1:10" s="163" customFormat="1" ht="12.75" x14ac:dyDescent="0.2">
      <c r="A33" s="179" t="s">
        <v>83</v>
      </c>
      <c r="B33" s="180">
        <v>2008</v>
      </c>
      <c r="C33" s="181" t="s">
        <v>34</v>
      </c>
      <c r="D33" s="182">
        <f t="shared" si="0"/>
        <v>5531.5</v>
      </c>
      <c r="E33" s="183" t="str">
        <f t="shared" si="1"/>
        <v>n/a</v>
      </c>
      <c r="F33" s="184" t="str">
        <f t="shared" si="2"/>
        <v>n/a</v>
      </c>
      <c r="G33" s="185"/>
      <c r="J33" s="185"/>
    </row>
    <row r="34" spans="1:10" s="163" customFormat="1" ht="12.75" x14ac:dyDescent="0.2">
      <c r="A34" s="179" t="s">
        <v>3</v>
      </c>
      <c r="B34" s="180">
        <v>2009</v>
      </c>
      <c r="C34" s="181" t="s">
        <v>34</v>
      </c>
      <c r="D34" s="182">
        <f t="shared" si="0"/>
        <v>6257.4</v>
      </c>
      <c r="E34" s="183" t="str">
        <f t="shared" si="1"/>
        <v>n/a</v>
      </c>
      <c r="F34" s="184" t="str">
        <f t="shared" si="2"/>
        <v>n/a</v>
      </c>
      <c r="G34" s="185"/>
      <c r="J34" s="185"/>
    </row>
    <row r="35" spans="1:10" s="163" customFormat="1" ht="12.75" x14ac:dyDescent="0.2">
      <c r="A35" s="179" t="s">
        <v>6</v>
      </c>
      <c r="B35" s="180">
        <v>2009</v>
      </c>
      <c r="C35" s="181">
        <v>8505</v>
      </c>
      <c r="D35" s="182">
        <f t="shared" si="0"/>
        <v>8375.8461538461543</v>
      </c>
      <c r="E35" s="183">
        <f t="shared" si="1"/>
        <v>129.15384615384573</v>
      </c>
      <c r="F35" s="184">
        <f t="shared" si="2"/>
        <v>1.5419796851753159E-2</v>
      </c>
      <c r="G35" s="185"/>
      <c r="J35" s="185"/>
    </row>
    <row r="36" spans="1:10" s="163" customFormat="1" ht="12.75" x14ac:dyDescent="0.2">
      <c r="A36" s="179" t="s">
        <v>7</v>
      </c>
      <c r="B36" s="180">
        <v>2009</v>
      </c>
      <c r="C36" s="181">
        <v>6391</v>
      </c>
      <c r="D36" s="182">
        <f t="shared" si="0"/>
        <v>7729.876923076923</v>
      </c>
      <c r="E36" s="183">
        <f t="shared" si="1"/>
        <v>-1338.876923076923</v>
      </c>
      <c r="F36" s="184">
        <f t="shared" si="2"/>
        <v>-0.17320805187464425</v>
      </c>
      <c r="G36" s="185"/>
      <c r="J36" s="185"/>
    </row>
    <row r="37" spans="1:10" s="163" customFormat="1" ht="12.75" x14ac:dyDescent="0.2">
      <c r="A37" s="179" t="s">
        <v>9</v>
      </c>
      <c r="B37" s="180">
        <v>2009</v>
      </c>
      <c r="C37" s="181" t="s">
        <v>34</v>
      </c>
      <c r="D37" s="182">
        <f t="shared" si="0"/>
        <v>6803.2333333333336</v>
      </c>
      <c r="E37" s="183" t="str">
        <f t="shared" si="1"/>
        <v>n/a</v>
      </c>
      <c r="F37" s="184" t="str">
        <f t="shared" si="2"/>
        <v>n/a</v>
      </c>
      <c r="G37" s="185"/>
      <c r="J37" s="185"/>
    </row>
    <row r="38" spans="1:10" s="163" customFormat="1" ht="12.75" x14ac:dyDescent="0.2">
      <c r="A38" s="179" t="s">
        <v>11</v>
      </c>
      <c r="B38" s="180">
        <v>2009</v>
      </c>
      <c r="C38" s="181" t="s">
        <v>34</v>
      </c>
      <c r="D38" s="182">
        <f t="shared" si="0"/>
        <v>3139.1111111111113</v>
      </c>
      <c r="E38" s="183" t="str">
        <f t="shared" si="1"/>
        <v>n/a</v>
      </c>
      <c r="F38" s="184" t="str">
        <f t="shared" si="2"/>
        <v>n/a</v>
      </c>
      <c r="G38" s="185"/>
      <c r="J38" s="185"/>
    </row>
    <row r="39" spans="1:10" s="163" customFormat="1" ht="12.75" x14ac:dyDescent="0.2">
      <c r="A39" s="179" t="s">
        <v>13</v>
      </c>
      <c r="B39" s="180">
        <v>2009</v>
      </c>
      <c r="C39" s="181" t="s">
        <v>34</v>
      </c>
      <c r="D39" s="182">
        <f t="shared" si="0"/>
        <v>1832.909090909091</v>
      </c>
      <c r="E39" s="183" t="str">
        <f t="shared" si="1"/>
        <v>n/a</v>
      </c>
      <c r="F39" s="184" t="str">
        <f t="shared" si="2"/>
        <v>n/a</v>
      </c>
      <c r="G39" s="185"/>
      <c r="J39" s="185"/>
    </row>
    <row r="40" spans="1:10" s="163" customFormat="1" ht="12.75" x14ac:dyDescent="0.2">
      <c r="A40" s="179" t="s">
        <v>10</v>
      </c>
      <c r="B40" s="180">
        <v>2009</v>
      </c>
      <c r="C40" s="181" t="s">
        <v>34</v>
      </c>
      <c r="D40" s="182">
        <f t="shared" si="0"/>
        <v>6290.0375000000004</v>
      </c>
      <c r="E40" s="183" t="str">
        <f t="shared" si="1"/>
        <v>n/a</v>
      </c>
      <c r="F40" s="184" t="str">
        <f t="shared" si="2"/>
        <v>n/a</v>
      </c>
      <c r="G40" s="185"/>
      <c r="J40" s="185"/>
    </row>
    <row r="41" spans="1:10" s="163" customFormat="1" ht="12.75" x14ac:dyDescent="0.2">
      <c r="A41" s="179" t="s">
        <v>8</v>
      </c>
      <c r="B41" s="180">
        <v>2009</v>
      </c>
      <c r="C41" s="181" t="s">
        <v>34</v>
      </c>
      <c r="D41" s="182">
        <f t="shared" si="0"/>
        <v>8351.6333333333332</v>
      </c>
      <c r="E41" s="183" t="str">
        <f t="shared" si="1"/>
        <v>n/a</v>
      </c>
      <c r="F41" s="184" t="str">
        <f t="shared" si="2"/>
        <v>n/a</v>
      </c>
      <c r="G41" s="185"/>
      <c r="J41" s="185"/>
    </row>
    <row r="42" spans="1:10" s="163" customFormat="1" ht="12.75" x14ac:dyDescent="0.2">
      <c r="A42" s="179" t="s">
        <v>56</v>
      </c>
      <c r="B42" s="180">
        <v>2009</v>
      </c>
      <c r="C42" s="181" t="s">
        <v>34</v>
      </c>
      <c r="D42" s="182">
        <f t="shared" ref="D42:D73" si="3">AVERAGEIFS($C$10:$C$177, $A$10:$A$177, A42)</f>
        <v>5169.6000000000004</v>
      </c>
      <c r="E42" s="183" t="str">
        <f t="shared" si="1"/>
        <v>n/a</v>
      </c>
      <c r="F42" s="184" t="str">
        <f t="shared" si="2"/>
        <v>n/a</v>
      </c>
      <c r="G42" s="185"/>
      <c r="J42" s="185"/>
    </row>
    <row r="43" spans="1:10" s="163" customFormat="1" ht="12.75" x14ac:dyDescent="0.2">
      <c r="A43" s="179" t="s">
        <v>16</v>
      </c>
      <c r="B43" s="180">
        <v>2009</v>
      </c>
      <c r="C43" s="181" t="s">
        <v>34</v>
      </c>
      <c r="D43" s="182">
        <f t="shared" si="3"/>
        <v>5367.75</v>
      </c>
      <c r="E43" s="183" t="str">
        <f t="shared" si="1"/>
        <v>n/a</v>
      </c>
      <c r="F43" s="184" t="str">
        <f t="shared" si="2"/>
        <v>n/a</v>
      </c>
      <c r="G43" s="185"/>
      <c r="J43" s="185"/>
    </row>
    <row r="44" spans="1:10" s="163" customFormat="1" ht="12.75" x14ac:dyDescent="0.2">
      <c r="A44" s="179" t="s">
        <v>15</v>
      </c>
      <c r="B44" s="180">
        <v>2009</v>
      </c>
      <c r="C44" s="181" t="s">
        <v>34</v>
      </c>
      <c r="D44" s="182">
        <f t="shared" si="3"/>
        <v>6272.9250000000002</v>
      </c>
      <c r="E44" s="183" t="str">
        <f t="shared" si="1"/>
        <v>n/a</v>
      </c>
      <c r="F44" s="184" t="str">
        <f t="shared" si="2"/>
        <v>n/a</v>
      </c>
      <c r="G44" s="185"/>
      <c r="J44" s="185"/>
    </row>
    <row r="45" spans="1:10" s="163" customFormat="1" ht="12.75" x14ac:dyDescent="0.2">
      <c r="A45" s="179" t="s">
        <v>83</v>
      </c>
      <c r="B45" s="180">
        <v>2009</v>
      </c>
      <c r="C45" s="181" t="s">
        <v>34</v>
      </c>
      <c r="D45" s="182">
        <f t="shared" si="3"/>
        <v>5531.5</v>
      </c>
      <c r="E45" s="183" t="str">
        <f t="shared" si="1"/>
        <v>n/a</v>
      </c>
      <c r="F45" s="184" t="str">
        <f t="shared" si="2"/>
        <v>n/a</v>
      </c>
      <c r="G45" s="185"/>
      <c r="J45" s="185"/>
    </row>
    <row r="46" spans="1:10" ht="12.75" x14ac:dyDescent="0.2">
      <c r="A46" s="179" t="s">
        <v>3</v>
      </c>
      <c r="B46" s="180">
        <v>2010</v>
      </c>
      <c r="C46" s="181">
        <v>6645</v>
      </c>
      <c r="D46" s="182">
        <f t="shared" si="3"/>
        <v>6257.4</v>
      </c>
      <c r="E46" s="183">
        <f t="shared" si="1"/>
        <v>387.60000000000036</v>
      </c>
      <c r="F46" s="184">
        <f t="shared" si="2"/>
        <v>6.1942659890689485E-2</v>
      </c>
    </row>
    <row r="47" spans="1:10" x14ac:dyDescent="0.3">
      <c r="A47" s="179" t="s">
        <v>6</v>
      </c>
      <c r="B47" s="180">
        <v>2010</v>
      </c>
      <c r="C47" s="181" t="s">
        <v>34</v>
      </c>
      <c r="D47" s="182">
        <f t="shared" si="3"/>
        <v>8375.8461538461543</v>
      </c>
      <c r="E47" s="183" t="str">
        <f t="shared" si="1"/>
        <v>n/a</v>
      </c>
      <c r="F47" s="184" t="str">
        <f t="shared" si="2"/>
        <v>n/a</v>
      </c>
    </row>
    <row r="48" spans="1:10" x14ac:dyDescent="0.3">
      <c r="A48" s="179" t="s">
        <v>7</v>
      </c>
      <c r="B48" s="180">
        <v>2010</v>
      </c>
      <c r="C48" s="181">
        <v>6667</v>
      </c>
      <c r="D48" s="182">
        <f t="shared" si="3"/>
        <v>7729.876923076923</v>
      </c>
      <c r="E48" s="183">
        <f t="shared" si="1"/>
        <v>-1062.876923076923</v>
      </c>
      <c r="F48" s="184">
        <f t="shared" si="2"/>
        <v>-0.13750243809235693</v>
      </c>
    </row>
    <row r="49" spans="1:6" x14ac:dyDescent="0.3">
      <c r="A49" s="179" t="s">
        <v>9</v>
      </c>
      <c r="B49" s="180">
        <v>2010</v>
      </c>
      <c r="C49" s="181" t="s">
        <v>34</v>
      </c>
      <c r="D49" s="182">
        <f t="shared" si="3"/>
        <v>6803.2333333333336</v>
      </c>
      <c r="E49" s="183" t="str">
        <f t="shared" si="1"/>
        <v>n/a</v>
      </c>
      <c r="F49" s="184" t="str">
        <f t="shared" si="2"/>
        <v>n/a</v>
      </c>
    </row>
    <row r="50" spans="1:6" x14ac:dyDescent="0.3">
      <c r="A50" s="179" t="s">
        <v>11</v>
      </c>
      <c r="B50" s="180">
        <v>2010</v>
      </c>
      <c r="C50" s="181" t="s">
        <v>34</v>
      </c>
      <c r="D50" s="182">
        <f t="shared" si="3"/>
        <v>3139.1111111111113</v>
      </c>
      <c r="E50" s="183" t="str">
        <f t="shared" si="1"/>
        <v>n/a</v>
      </c>
      <c r="F50" s="184" t="str">
        <f t="shared" si="2"/>
        <v>n/a</v>
      </c>
    </row>
    <row r="51" spans="1:6" x14ac:dyDescent="0.3">
      <c r="A51" s="179" t="s">
        <v>13</v>
      </c>
      <c r="B51" s="180">
        <v>2010</v>
      </c>
      <c r="C51" s="181">
        <v>1447</v>
      </c>
      <c r="D51" s="182">
        <f t="shared" si="3"/>
        <v>1832.909090909091</v>
      </c>
      <c r="E51" s="183">
        <f t="shared" si="1"/>
        <v>-385.90909090909099</v>
      </c>
      <c r="F51" s="184">
        <f t="shared" si="2"/>
        <v>-0.21054458883047319</v>
      </c>
    </row>
    <row r="52" spans="1:6" x14ac:dyDescent="0.3">
      <c r="A52" s="179" t="s">
        <v>10</v>
      </c>
      <c r="B52" s="180">
        <v>2010</v>
      </c>
      <c r="C52" s="181" t="s">
        <v>34</v>
      </c>
      <c r="D52" s="182">
        <f t="shared" si="3"/>
        <v>6290.0375000000004</v>
      </c>
      <c r="E52" s="183" t="str">
        <f t="shared" si="1"/>
        <v>n/a</v>
      </c>
      <c r="F52" s="184" t="str">
        <f t="shared" si="2"/>
        <v>n/a</v>
      </c>
    </row>
    <row r="53" spans="1:6" x14ac:dyDescent="0.3">
      <c r="A53" s="179" t="s">
        <v>8</v>
      </c>
      <c r="B53" s="180">
        <v>2010</v>
      </c>
      <c r="C53" s="181" t="s">
        <v>34</v>
      </c>
      <c r="D53" s="182">
        <f t="shared" si="3"/>
        <v>8351.6333333333332</v>
      </c>
      <c r="E53" s="183" t="str">
        <f t="shared" si="1"/>
        <v>n/a</v>
      </c>
      <c r="F53" s="184" t="str">
        <f t="shared" si="2"/>
        <v>n/a</v>
      </c>
    </row>
    <row r="54" spans="1:6" x14ac:dyDescent="0.3">
      <c r="A54" s="179" t="s">
        <v>56</v>
      </c>
      <c r="B54" s="180">
        <v>2010</v>
      </c>
      <c r="C54" s="181" t="s">
        <v>34</v>
      </c>
      <c r="D54" s="182">
        <f t="shared" si="3"/>
        <v>5169.6000000000004</v>
      </c>
      <c r="E54" s="183" t="str">
        <f t="shared" si="1"/>
        <v>n/a</v>
      </c>
      <c r="F54" s="184" t="str">
        <f t="shared" si="2"/>
        <v>n/a</v>
      </c>
    </row>
    <row r="55" spans="1:6" x14ac:dyDescent="0.3">
      <c r="A55" s="179" t="s">
        <v>16</v>
      </c>
      <c r="B55" s="180">
        <v>2010</v>
      </c>
      <c r="C55" s="181" t="s">
        <v>34</v>
      </c>
      <c r="D55" s="182">
        <f t="shared" si="3"/>
        <v>5367.75</v>
      </c>
      <c r="E55" s="183" t="str">
        <f t="shared" si="1"/>
        <v>n/a</v>
      </c>
      <c r="F55" s="184" t="str">
        <f t="shared" si="2"/>
        <v>n/a</v>
      </c>
    </row>
    <row r="56" spans="1:6" x14ac:dyDescent="0.3">
      <c r="A56" s="179" t="s">
        <v>15</v>
      </c>
      <c r="B56" s="180">
        <v>2010</v>
      </c>
      <c r="C56" s="181" t="s">
        <v>34</v>
      </c>
      <c r="D56" s="182">
        <f t="shared" si="3"/>
        <v>6272.9250000000002</v>
      </c>
      <c r="E56" s="183" t="str">
        <f t="shared" si="1"/>
        <v>n/a</v>
      </c>
      <c r="F56" s="184" t="str">
        <f t="shared" si="2"/>
        <v>n/a</v>
      </c>
    </row>
    <row r="57" spans="1:6" x14ac:dyDescent="0.3">
      <c r="A57" s="179" t="s">
        <v>83</v>
      </c>
      <c r="B57" s="180">
        <v>2010</v>
      </c>
      <c r="C57" s="181" t="s">
        <v>34</v>
      </c>
      <c r="D57" s="182">
        <f t="shared" si="3"/>
        <v>5531.5</v>
      </c>
      <c r="E57" s="183" t="str">
        <f t="shared" si="1"/>
        <v>n/a</v>
      </c>
      <c r="F57" s="184" t="str">
        <f t="shared" si="2"/>
        <v>n/a</v>
      </c>
    </row>
    <row r="58" spans="1:6" x14ac:dyDescent="0.3">
      <c r="A58" s="179" t="s">
        <v>3</v>
      </c>
      <c r="B58" s="180">
        <v>2011</v>
      </c>
      <c r="C58" s="181" t="s">
        <v>34</v>
      </c>
      <c r="D58" s="182">
        <f t="shared" si="3"/>
        <v>6257.4</v>
      </c>
      <c r="E58" s="183" t="str">
        <f t="shared" si="1"/>
        <v>n/a</v>
      </c>
      <c r="F58" s="184" t="str">
        <f t="shared" si="2"/>
        <v>n/a</v>
      </c>
    </row>
    <row r="59" spans="1:6" x14ac:dyDescent="0.3">
      <c r="A59" s="179" t="s">
        <v>6</v>
      </c>
      <c r="B59" s="180">
        <v>2011</v>
      </c>
      <c r="C59" s="181">
        <v>8804</v>
      </c>
      <c r="D59" s="182">
        <f t="shared" si="3"/>
        <v>8375.8461538461543</v>
      </c>
      <c r="E59" s="183">
        <f t="shared" si="1"/>
        <v>428.15384615384573</v>
      </c>
      <c r="F59" s="184">
        <f t="shared" si="2"/>
        <v>5.1117682714031137E-2</v>
      </c>
    </row>
    <row r="60" spans="1:6" x14ac:dyDescent="0.3">
      <c r="A60" s="179" t="s">
        <v>7</v>
      </c>
      <c r="B60" s="180">
        <v>2011</v>
      </c>
      <c r="C60" s="181" t="s">
        <v>34</v>
      </c>
      <c r="D60" s="182">
        <f t="shared" si="3"/>
        <v>7729.876923076923</v>
      </c>
      <c r="E60" s="183" t="str">
        <f t="shared" si="1"/>
        <v>n/a</v>
      </c>
      <c r="F60" s="184" t="str">
        <f t="shared" si="2"/>
        <v>n/a</v>
      </c>
    </row>
    <row r="61" spans="1:6" x14ac:dyDescent="0.3">
      <c r="A61" s="179" t="s">
        <v>9</v>
      </c>
      <c r="B61" s="180">
        <v>2011</v>
      </c>
      <c r="C61" s="181" t="s">
        <v>34</v>
      </c>
      <c r="D61" s="182">
        <f t="shared" si="3"/>
        <v>6803.2333333333336</v>
      </c>
      <c r="E61" s="183" t="str">
        <f t="shared" si="1"/>
        <v>n/a</v>
      </c>
      <c r="F61" s="184" t="str">
        <f t="shared" si="2"/>
        <v>n/a</v>
      </c>
    </row>
    <row r="62" spans="1:6" x14ac:dyDescent="0.3">
      <c r="A62" s="179" t="s">
        <v>11</v>
      </c>
      <c r="B62" s="180">
        <v>2011</v>
      </c>
      <c r="C62" s="181" t="s">
        <v>34</v>
      </c>
      <c r="D62" s="182">
        <f t="shared" si="3"/>
        <v>3139.1111111111113</v>
      </c>
      <c r="E62" s="183" t="str">
        <f t="shared" si="1"/>
        <v>n/a</v>
      </c>
      <c r="F62" s="184" t="str">
        <f t="shared" si="2"/>
        <v>n/a</v>
      </c>
    </row>
    <row r="63" spans="1:6" x14ac:dyDescent="0.3">
      <c r="A63" s="179" t="s">
        <v>13</v>
      </c>
      <c r="B63" s="180">
        <v>2011</v>
      </c>
      <c r="C63" s="181">
        <v>1857</v>
      </c>
      <c r="D63" s="182">
        <f t="shared" si="3"/>
        <v>1832.909090909091</v>
      </c>
      <c r="E63" s="183">
        <f t="shared" si="1"/>
        <v>24.090909090909008</v>
      </c>
      <c r="F63" s="184">
        <f t="shared" si="2"/>
        <v>1.3143537347485322E-2</v>
      </c>
    </row>
    <row r="64" spans="1:6" x14ac:dyDescent="0.3">
      <c r="A64" s="179" t="s">
        <v>10</v>
      </c>
      <c r="B64" s="180">
        <v>2011</v>
      </c>
      <c r="C64" s="181" t="s">
        <v>34</v>
      </c>
      <c r="D64" s="182">
        <f t="shared" si="3"/>
        <v>6290.0375000000004</v>
      </c>
      <c r="E64" s="183" t="str">
        <f t="shared" si="1"/>
        <v>n/a</v>
      </c>
      <c r="F64" s="184" t="str">
        <f t="shared" si="2"/>
        <v>n/a</v>
      </c>
    </row>
    <row r="65" spans="1:6" x14ac:dyDescent="0.3">
      <c r="A65" s="179" t="s">
        <v>8</v>
      </c>
      <c r="B65" s="180">
        <v>2011</v>
      </c>
      <c r="C65" s="181" t="s">
        <v>34</v>
      </c>
      <c r="D65" s="182">
        <f t="shared" si="3"/>
        <v>8351.6333333333332</v>
      </c>
      <c r="E65" s="183" t="str">
        <f t="shared" si="1"/>
        <v>n/a</v>
      </c>
      <c r="F65" s="184" t="str">
        <f t="shared" si="2"/>
        <v>n/a</v>
      </c>
    </row>
    <row r="66" spans="1:6" x14ac:dyDescent="0.3">
      <c r="A66" s="179" t="s">
        <v>56</v>
      </c>
      <c r="B66" s="180">
        <v>2011</v>
      </c>
      <c r="C66" s="181" t="s">
        <v>34</v>
      </c>
      <c r="D66" s="182">
        <f t="shared" si="3"/>
        <v>5169.6000000000004</v>
      </c>
      <c r="E66" s="183" t="str">
        <f t="shared" si="1"/>
        <v>n/a</v>
      </c>
      <c r="F66" s="184" t="str">
        <f t="shared" si="2"/>
        <v>n/a</v>
      </c>
    </row>
    <row r="67" spans="1:6" x14ac:dyDescent="0.3">
      <c r="A67" s="179" t="s">
        <v>16</v>
      </c>
      <c r="B67" s="180">
        <v>2011</v>
      </c>
      <c r="C67" s="181" t="s">
        <v>34</v>
      </c>
      <c r="D67" s="182">
        <f t="shared" si="3"/>
        <v>5367.75</v>
      </c>
      <c r="E67" s="183" t="str">
        <f t="shared" ref="E67:E120" si="4">IF(ISNUMBER(C67),C67-D67,"n/a")</f>
        <v>n/a</v>
      </c>
      <c r="F67" s="184" t="str">
        <f t="shared" ref="F67:F120" si="5">IF(ISNUMBER(E67),E67/D67,"n/a")</f>
        <v>n/a</v>
      </c>
    </row>
    <row r="68" spans="1:6" x14ac:dyDescent="0.3">
      <c r="A68" s="179" t="s">
        <v>15</v>
      </c>
      <c r="B68" s="180">
        <v>2011</v>
      </c>
      <c r="C68" s="181" t="s">
        <v>34</v>
      </c>
      <c r="D68" s="182">
        <f t="shared" si="3"/>
        <v>6272.9250000000002</v>
      </c>
      <c r="E68" s="183" t="str">
        <f t="shared" si="4"/>
        <v>n/a</v>
      </c>
      <c r="F68" s="184" t="str">
        <f t="shared" si="5"/>
        <v>n/a</v>
      </c>
    </row>
    <row r="69" spans="1:6" x14ac:dyDescent="0.3">
      <c r="A69" s="179" t="s">
        <v>83</v>
      </c>
      <c r="B69" s="180">
        <v>2011</v>
      </c>
      <c r="C69" s="181" t="s">
        <v>34</v>
      </c>
      <c r="D69" s="182">
        <f t="shared" si="3"/>
        <v>5531.5</v>
      </c>
      <c r="E69" s="183" t="str">
        <f t="shared" si="4"/>
        <v>n/a</v>
      </c>
      <c r="F69" s="184" t="str">
        <f t="shared" si="5"/>
        <v>n/a</v>
      </c>
    </row>
    <row r="70" spans="1:6" x14ac:dyDescent="0.3">
      <c r="A70" s="179" t="s">
        <v>3</v>
      </c>
      <c r="B70" s="180">
        <v>2012</v>
      </c>
      <c r="C70" s="181">
        <v>6377</v>
      </c>
      <c r="D70" s="182">
        <f t="shared" si="3"/>
        <v>6257.4</v>
      </c>
      <c r="E70" s="183">
        <f t="shared" si="4"/>
        <v>119.60000000000036</v>
      </c>
      <c r="F70" s="184">
        <f t="shared" si="5"/>
        <v>1.9113369770192151E-2</v>
      </c>
    </row>
    <row r="71" spans="1:6" x14ac:dyDescent="0.3">
      <c r="A71" s="179" t="s">
        <v>6</v>
      </c>
      <c r="B71" s="180">
        <v>2012</v>
      </c>
      <c r="C71" s="181">
        <v>9079</v>
      </c>
      <c r="D71" s="182">
        <f t="shared" si="3"/>
        <v>8375.8461538461543</v>
      </c>
      <c r="E71" s="183">
        <f t="shared" si="4"/>
        <v>703.15384615384573</v>
      </c>
      <c r="F71" s="184">
        <f t="shared" si="5"/>
        <v>8.3950186433517565E-2</v>
      </c>
    </row>
    <row r="72" spans="1:6" x14ac:dyDescent="0.3">
      <c r="A72" s="179" t="s">
        <v>7</v>
      </c>
      <c r="B72" s="180">
        <v>2012</v>
      </c>
      <c r="C72" s="181">
        <v>7400</v>
      </c>
      <c r="D72" s="182">
        <f t="shared" si="3"/>
        <v>7729.876923076923</v>
      </c>
      <c r="E72" s="183">
        <f t="shared" si="4"/>
        <v>-329.87692307692305</v>
      </c>
      <c r="F72" s="184">
        <f t="shared" si="5"/>
        <v>-4.2675572503890993E-2</v>
      </c>
    </row>
    <row r="73" spans="1:6" x14ac:dyDescent="0.3">
      <c r="A73" s="179" t="s">
        <v>9</v>
      </c>
      <c r="B73" s="180">
        <v>2012</v>
      </c>
      <c r="C73" s="181">
        <v>6356</v>
      </c>
      <c r="D73" s="182">
        <f t="shared" si="3"/>
        <v>6803.2333333333336</v>
      </c>
      <c r="E73" s="183">
        <f t="shared" si="4"/>
        <v>-447.23333333333358</v>
      </c>
      <c r="F73" s="184">
        <f t="shared" si="5"/>
        <v>-6.5738349902252399E-2</v>
      </c>
    </row>
    <row r="74" spans="1:6" x14ac:dyDescent="0.3">
      <c r="A74" s="179" t="s">
        <v>11</v>
      </c>
      <c r="B74" s="180">
        <v>2012</v>
      </c>
      <c r="C74" s="181">
        <v>2755</v>
      </c>
      <c r="D74" s="182">
        <f t="shared" ref="D74:D105" si="6">AVERAGEIFS($C$10:$C$177, $A$10:$A$177, A74)</f>
        <v>3139.1111111111113</v>
      </c>
      <c r="E74" s="183">
        <f t="shared" si="4"/>
        <v>-384.11111111111131</v>
      </c>
      <c r="F74" s="184">
        <f t="shared" si="5"/>
        <v>-0.12236301854735954</v>
      </c>
    </row>
    <row r="75" spans="1:6" x14ac:dyDescent="0.3">
      <c r="A75" s="179" t="s">
        <v>13</v>
      </c>
      <c r="B75" s="180">
        <v>2012</v>
      </c>
      <c r="C75" s="181">
        <v>1746</v>
      </c>
      <c r="D75" s="182">
        <f t="shared" si="6"/>
        <v>1832.909090909091</v>
      </c>
      <c r="E75" s="183">
        <f t="shared" si="4"/>
        <v>-86.909090909090992</v>
      </c>
      <c r="F75" s="184">
        <f t="shared" si="5"/>
        <v>-4.7415930959230281E-2</v>
      </c>
    </row>
    <row r="76" spans="1:6" x14ac:dyDescent="0.3">
      <c r="A76" s="179" t="s">
        <v>10</v>
      </c>
      <c r="B76" s="180">
        <v>2012</v>
      </c>
      <c r="C76" s="181" t="s">
        <v>34</v>
      </c>
      <c r="D76" s="182">
        <f t="shared" si="6"/>
        <v>6290.0375000000004</v>
      </c>
      <c r="E76" s="183" t="str">
        <f t="shared" si="4"/>
        <v>n/a</v>
      </c>
      <c r="F76" s="184" t="str">
        <f t="shared" si="5"/>
        <v>n/a</v>
      </c>
    </row>
    <row r="77" spans="1:6" x14ac:dyDescent="0.3">
      <c r="A77" s="179" t="s">
        <v>8</v>
      </c>
      <c r="B77" s="180">
        <v>2012</v>
      </c>
      <c r="C77" s="181" t="s">
        <v>34</v>
      </c>
      <c r="D77" s="182">
        <f t="shared" si="6"/>
        <v>8351.6333333333332</v>
      </c>
      <c r="E77" s="183" t="str">
        <f t="shared" si="4"/>
        <v>n/a</v>
      </c>
      <c r="F77" s="184" t="str">
        <f t="shared" si="5"/>
        <v>n/a</v>
      </c>
    </row>
    <row r="78" spans="1:6" x14ac:dyDescent="0.3">
      <c r="A78" s="179" t="s">
        <v>56</v>
      </c>
      <c r="B78" s="180">
        <v>2012</v>
      </c>
      <c r="C78" s="181" t="s">
        <v>34</v>
      </c>
      <c r="D78" s="182">
        <f t="shared" si="6"/>
        <v>5169.6000000000004</v>
      </c>
      <c r="E78" s="183" t="str">
        <f t="shared" si="4"/>
        <v>n/a</v>
      </c>
      <c r="F78" s="184" t="str">
        <f t="shared" si="5"/>
        <v>n/a</v>
      </c>
    </row>
    <row r="79" spans="1:6" x14ac:dyDescent="0.3">
      <c r="A79" s="179" t="s">
        <v>16</v>
      </c>
      <c r="B79" s="180">
        <v>2012</v>
      </c>
      <c r="C79" s="181" t="s">
        <v>34</v>
      </c>
      <c r="D79" s="182">
        <f t="shared" si="6"/>
        <v>5367.75</v>
      </c>
      <c r="E79" s="183" t="str">
        <f t="shared" si="4"/>
        <v>n/a</v>
      </c>
      <c r="F79" s="184" t="str">
        <f t="shared" si="5"/>
        <v>n/a</v>
      </c>
    </row>
    <row r="80" spans="1:6" x14ac:dyDescent="0.3">
      <c r="A80" s="179" t="s">
        <v>15</v>
      </c>
      <c r="B80" s="180">
        <v>2012</v>
      </c>
      <c r="C80" s="181" t="s">
        <v>34</v>
      </c>
      <c r="D80" s="182">
        <f t="shared" si="6"/>
        <v>6272.9250000000002</v>
      </c>
      <c r="E80" s="183" t="str">
        <f t="shared" si="4"/>
        <v>n/a</v>
      </c>
      <c r="F80" s="184" t="str">
        <f t="shared" si="5"/>
        <v>n/a</v>
      </c>
    </row>
    <row r="81" spans="1:10" x14ac:dyDescent="0.3">
      <c r="A81" s="179" t="s">
        <v>83</v>
      </c>
      <c r="B81" s="180">
        <v>2012</v>
      </c>
      <c r="C81" s="181" t="s">
        <v>34</v>
      </c>
      <c r="D81" s="182">
        <f t="shared" si="6"/>
        <v>5531.5</v>
      </c>
      <c r="E81" s="183" t="str">
        <f t="shared" si="4"/>
        <v>n/a</v>
      </c>
      <c r="F81" s="184" t="str">
        <f t="shared" si="5"/>
        <v>n/a</v>
      </c>
    </row>
    <row r="82" spans="1:10" x14ac:dyDescent="0.3">
      <c r="A82" s="179" t="s">
        <v>3</v>
      </c>
      <c r="B82" s="180">
        <v>2013</v>
      </c>
      <c r="C82" s="181">
        <v>4460</v>
      </c>
      <c r="D82" s="182">
        <f t="shared" si="6"/>
        <v>6257.4</v>
      </c>
      <c r="E82" s="183">
        <f t="shared" si="4"/>
        <v>-1797.3999999999996</v>
      </c>
      <c r="F82" s="184">
        <f t="shared" si="5"/>
        <v>-0.28724390321858917</v>
      </c>
    </row>
    <row r="83" spans="1:10" x14ac:dyDescent="0.3">
      <c r="A83" s="179" t="s">
        <v>6</v>
      </c>
      <c r="B83" s="180">
        <v>2013</v>
      </c>
      <c r="C83" s="181">
        <v>7095</v>
      </c>
      <c r="D83" s="182">
        <f t="shared" si="6"/>
        <v>8375.8461538461543</v>
      </c>
      <c r="E83" s="183">
        <f t="shared" si="4"/>
        <v>-1280.8461538461543</v>
      </c>
      <c r="F83" s="184">
        <f t="shared" si="5"/>
        <v>-0.15292140403725002</v>
      </c>
    </row>
    <row r="84" spans="1:10" x14ac:dyDescent="0.3">
      <c r="A84" s="179" t="s">
        <v>7</v>
      </c>
      <c r="B84" s="180">
        <v>2013</v>
      </c>
      <c r="C84" s="181">
        <v>6724.9</v>
      </c>
      <c r="D84" s="182">
        <f t="shared" si="6"/>
        <v>7729.876923076923</v>
      </c>
      <c r="E84" s="183">
        <f t="shared" si="4"/>
        <v>-1004.9769230769234</v>
      </c>
      <c r="F84" s="184">
        <f t="shared" si="5"/>
        <v>-0.1300120212880293</v>
      </c>
    </row>
    <row r="85" spans="1:10" x14ac:dyDescent="0.3">
      <c r="A85" s="179" t="s">
        <v>9</v>
      </c>
      <c r="B85" s="180">
        <v>2013</v>
      </c>
      <c r="C85" s="181">
        <v>5868.4</v>
      </c>
      <c r="D85" s="182">
        <f t="shared" si="6"/>
        <v>6803.2333333333336</v>
      </c>
      <c r="E85" s="183">
        <f t="shared" si="4"/>
        <v>-934.83333333333394</v>
      </c>
      <c r="F85" s="184">
        <f t="shared" si="5"/>
        <v>-0.13741015301547801</v>
      </c>
    </row>
    <row r="86" spans="1:10" x14ac:dyDescent="0.3">
      <c r="A86" s="179" t="s">
        <v>11</v>
      </c>
      <c r="B86" s="180">
        <v>2013</v>
      </c>
      <c r="C86" s="181">
        <v>2570</v>
      </c>
      <c r="D86" s="182">
        <f t="shared" si="6"/>
        <v>3139.1111111111113</v>
      </c>
      <c r="E86" s="183">
        <f t="shared" si="4"/>
        <v>-569.11111111111131</v>
      </c>
      <c r="F86" s="184">
        <f t="shared" si="5"/>
        <v>-0.18129689933456045</v>
      </c>
    </row>
    <row r="87" spans="1:10" s="163" customFormat="1" x14ac:dyDescent="0.3">
      <c r="A87" s="179" t="s">
        <v>13</v>
      </c>
      <c r="B87" s="180">
        <v>2013</v>
      </c>
      <c r="C87" s="181">
        <v>2123</v>
      </c>
      <c r="D87" s="182">
        <f t="shared" si="6"/>
        <v>1832.909090909091</v>
      </c>
      <c r="E87" s="183">
        <f t="shared" si="4"/>
        <v>290.09090909090901</v>
      </c>
      <c r="F87" s="184">
        <f t="shared" si="5"/>
        <v>0.15826802896538036</v>
      </c>
      <c r="G87" s="185"/>
      <c r="J87" s="185"/>
    </row>
    <row r="88" spans="1:10" s="163" customFormat="1" x14ac:dyDescent="0.3">
      <c r="A88" s="179" t="s">
        <v>10</v>
      </c>
      <c r="B88" s="180">
        <v>2013</v>
      </c>
      <c r="C88" s="181">
        <v>4483</v>
      </c>
      <c r="D88" s="182">
        <f t="shared" si="6"/>
        <v>6290.0375000000004</v>
      </c>
      <c r="E88" s="183">
        <f t="shared" si="4"/>
        <v>-1807.0375000000004</v>
      </c>
      <c r="F88" s="184">
        <f t="shared" si="5"/>
        <v>-0.28728564813802782</v>
      </c>
      <c r="G88" s="185"/>
      <c r="J88" s="185"/>
    </row>
    <row r="89" spans="1:10" s="163" customFormat="1" x14ac:dyDescent="0.3">
      <c r="A89" s="179" t="s">
        <v>8</v>
      </c>
      <c r="B89" s="180">
        <v>2013</v>
      </c>
      <c r="C89" s="181" t="s">
        <v>34</v>
      </c>
      <c r="D89" s="182">
        <f t="shared" si="6"/>
        <v>8351.6333333333332</v>
      </c>
      <c r="E89" s="183" t="str">
        <f t="shared" si="4"/>
        <v>n/a</v>
      </c>
      <c r="F89" s="184" t="str">
        <f t="shared" si="5"/>
        <v>n/a</v>
      </c>
      <c r="G89" s="185"/>
      <c r="J89" s="185"/>
    </row>
    <row r="90" spans="1:10" s="163" customFormat="1" x14ac:dyDescent="0.3">
      <c r="A90" s="179" t="s">
        <v>56</v>
      </c>
      <c r="B90" s="180">
        <v>2013</v>
      </c>
      <c r="C90" s="181" t="s">
        <v>34</v>
      </c>
      <c r="D90" s="182">
        <f t="shared" si="6"/>
        <v>5169.6000000000004</v>
      </c>
      <c r="E90" s="183" t="str">
        <f t="shared" si="4"/>
        <v>n/a</v>
      </c>
      <c r="F90" s="184" t="str">
        <f t="shared" si="5"/>
        <v>n/a</v>
      </c>
      <c r="G90" s="185"/>
      <c r="J90" s="185"/>
    </row>
    <row r="91" spans="1:10" s="163" customFormat="1" x14ac:dyDescent="0.3">
      <c r="A91" s="179" t="s">
        <v>16</v>
      </c>
      <c r="B91" s="180">
        <v>2013</v>
      </c>
      <c r="C91" s="181" t="s">
        <v>34</v>
      </c>
      <c r="D91" s="182">
        <f t="shared" si="6"/>
        <v>5367.75</v>
      </c>
      <c r="E91" s="183" t="str">
        <f t="shared" si="4"/>
        <v>n/a</v>
      </c>
      <c r="F91" s="184" t="str">
        <f t="shared" si="5"/>
        <v>n/a</v>
      </c>
      <c r="G91" s="185"/>
      <c r="J91" s="185"/>
    </row>
    <row r="92" spans="1:10" s="163" customFormat="1" x14ac:dyDescent="0.3">
      <c r="A92" s="179" t="s">
        <v>15</v>
      </c>
      <c r="B92" s="180">
        <v>2013</v>
      </c>
      <c r="C92" s="181" t="s">
        <v>34</v>
      </c>
      <c r="D92" s="182">
        <f t="shared" si="6"/>
        <v>6272.9250000000002</v>
      </c>
      <c r="E92" s="183" t="str">
        <f t="shared" si="4"/>
        <v>n/a</v>
      </c>
      <c r="F92" s="184" t="str">
        <f t="shared" si="5"/>
        <v>n/a</v>
      </c>
      <c r="G92" s="185"/>
      <c r="J92" s="185"/>
    </row>
    <row r="93" spans="1:10" s="163" customFormat="1" x14ac:dyDescent="0.3">
      <c r="A93" s="179" t="s">
        <v>83</v>
      </c>
      <c r="B93" s="180">
        <v>2013</v>
      </c>
      <c r="C93" s="181" t="s">
        <v>34</v>
      </c>
      <c r="D93" s="182">
        <f t="shared" si="6"/>
        <v>5531.5</v>
      </c>
      <c r="E93" s="183" t="str">
        <f t="shared" si="4"/>
        <v>n/a</v>
      </c>
      <c r="F93" s="184" t="str">
        <f t="shared" si="5"/>
        <v>n/a</v>
      </c>
      <c r="G93" s="185"/>
      <c r="J93" s="185"/>
    </row>
    <row r="94" spans="1:10" s="163" customFormat="1" x14ac:dyDescent="0.3">
      <c r="A94" s="179" t="s">
        <v>3</v>
      </c>
      <c r="B94" s="180">
        <v>2014</v>
      </c>
      <c r="C94" s="181">
        <v>5694</v>
      </c>
      <c r="D94" s="182">
        <f t="shared" si="6"/>
        <v>6257.4</v>
      </c>
      <c r="E94" s="183">
        <f t="shared" si="4"/>
        <v>-563.39999999999964</v>
      </c>
      <c r="F94" s="184">
        <f t="shared" si="5"/>
        <v>-9.0037395723463365E-2</v>
      </c>
      <c r="G94" s="185"/>
      <c r="J94" s="185"/>
    </row>
    <row r="95" spans="1:10" s="163" customFormat="1" x14ac:dyDescent="0.3">
      <c r="A95" s="179" t="s">
        <v>6</v>
      </c>
      <c r="B95" s="180">
        <v>2014</v>
      </c>
      <c r="C95" s="181">
        <v>8189</v>
      </c>
      <c r="D95" s="182">
        <f t="shared" si="6"/>
        <v>8375.8461538461543</v>
      </c>
      <c r="E95" s="183">
        <f t="shared" si="4"/>
        <v>-186.84615384615427</v>
      </c>
      <c r="F95" s="184">
        <f t="shared" si="5"/>
        <v>-2.2307734695002163E-2</v>
      </c>
      <c r="G95" s="185"/>
      <c r="J95" s="185"/>
    </row>
    <row r="96" spans="1:10" s="163" customFormat="1" x14ac:dyDescent="0.3">
      <c r="A96" s="179" t="s">
        <v>7</v>
      </c>
      <c r="B96" s="180">
        <v>2014</v>
      </c>
      <c r="C96" s="181">
        <v>7718.5</v>
      </c>
      <c r="D96" s="182">
        <f t="shared" si="6"/>
        <v>7729.876923076923</v>
      </c>
      <c r="E96" s="183">
        <f t="shared" si="4"/>
        <v>-11.376923076923049</v>
      </c>
      <c r="F96" s="184">
        <f t="shared" si="5"/>
        <v>-1.4718116717949499E-3</v>
      </c>
      <c r="G96" s="185"/>
      <c r="J96" s="185"/>
    </row>
    <row r="97" spans="1:10" s="163" customFormat="1" x14ac:dyDescent="0.3">
      <c r="A97" s="179" t="s">
        <v>9</v>
      </c>
      <c r="B97" s="180">
        <v>2014</v>
      </c>
      <c r="C97" s="181">
        <v>5720.7</v>
      </c>
      <c r="D97" s="182">
        <f t="shared" si="6"/>
        <v>6803.2333333333336</v>
      </c>
      <c r="E97" s="183">
        <f t="shared" si="4"/>
        <v>-1082.5333333333338</v>
      </c>
      <c r="F97" s="184">
        <f t="shared" si="5"/>
        <v>-0.15912041823250714</v>
      </c>
      <c r="G97" s="185"/>
      <c r="J97" s="185"/>
    </row>
    <row r="98" spans="1:10" s="163" customFormat="1" x14ac:dyDescent="0.3">
      <c r="A98" s="179" t="s">
        <v>11</v>
      </c>
      <c r="B98" s="180">
        <v>2014</v>
      </c>
      <c r="C98" s="181">
        <v>2372</v>
      </c>
      <c r="D98" s="182">
        <f t="shared" si="6"/>
        <v>3139.1111111111113</v>
      </c>
      <c r="E98" s="183">
        <f t="shared" si="4"/>
        <v>-767.11111111111131</v>
      </c>
      <c r="F98" s="184">
        <f t="shared" si="5"/>
        <v>-0.24437207985275383</v>
      </c>
      <c r="G98" s="185"/>
      <c r="J98" s="185"/>
    </row>
    <row r="99" spans="1:10" s="163" customFormat="1" x14ac:dyDescent="0.3">
      <c r="A99" s="179" t="s">
        <v>13</v>
      </c>
      <c r="B99" s="180">
        <v>2014</v>
      </c>
      <c r="C99" s="181">
        <v>1925</v>
      </c>
      <c r="D99" s="182">
        <f t="shared" si="6"/>
        <v>1832.909090909091</v>
      </c>
      <c r="E99" s="183">
        <f t="shared" si="4"/>
        <v>92.090909090909008</v>
      </c>
      <c r="F99" s="184">
        <f t="shared" si="5"/>
        <v>5.0243031445293081E-2</v>
      </c>
      <c r="G99" s="185"/>
      <c r="J99" s="185"/>
    </row>
    <row r="100" spans="1:10" s="163" customFormat="1" x14ac:dyDescent="0.3">
      <c r="A100" s="179" t="s">
        <v>10</v>
      </c>
      <c r="B100" s="180">
        <v>2014</v>
      </c>
      <c r="C100" s="181">
        <v>5606.3</v>
      </c>
      <c r="D100" s="182">
        <f t="shared" si="6"/>
        <v>6290.0375000000004</v>
      </c>
      <c r="E100" s="183">
        <f t="shared" si="4"/>
        <v>-683.73750000000018</v>
      </c>
      <c r="F100" s="184">
        <f t="shared" si="5"/>
        <v>-0.10870165718407881</v>
      </c>
      <c r="G100" s="185"/>
      <c r="J100" s="185"/>
    </row>
    <row r="101" spans="1:10" s="163" customFormat="1" x14ac:dyDescent="0.3">
      <c r="A101" s="179" t="s">
        <v>8</v>
      </c>
      <c r="B101" s="180">
        <v>2014</v>
      </c>
      <c r="C101" s="181" t="s">
        <v>34</v>
      </c>
      <c r="D101" s="182">
        <f t="shared" si="6"/>
        <v>8351.6333333333332</v>
      </c>
      <c r="E101" s="183" t="str">
        <f t="shared" si="4"/>
        <v>n/a</v>
      </c>
      <c r="F101" s="184" t="str">
        <f t="shared" si="5"/>
        <v>n/a</v>
      </c>
      <c r="G101" s="185"/>
      <c r="J101" s="185"/>
    </row>
    <row r="102" spans="1:10" s="163" customFormat="1" x14ac:dyDescent="0.3">
      <c r="A102" s="179" t="s">
        <v>56</v>
      </c>
      <c r="B102" s="180">
        <v>2014</v>
      </c>
      <c r="C102" s="181" t="s">
        <v>34</v>
      </c>
      <c r="D102" s="182">
        <f t="shared" si="6"/>
        <v>5169.6000000000004</v>
      </c>
      <c r="E102" s="183" t="str">
        <f t="shared" si="4"/>
        <v>n/a</v>
      </c>
      <c r="F102" s="184" t="str">
        <f t="shared" si="5"/>
        <v>n/a</v>
      </c>
      <c r="G102" s="185"/>
      <c r="J102" s="185"/>
    </row>
    <row r="103" spans="1:10" s="163" customFormat="1" x14ac:dyDescent="0.3">
      <c r="A103" s="179" t="s">
        <v>16</v>
      </c>
      <c r="B103" s="180">
        <v>2014</v>
      </c>
      <c r="C103" s="181" t="s">
        <v>34</v>
      </c>
      <c r="D103" s="182">
        <f t="shared" si="6"/>
        <v>5367.75</v>
      </c>
      <c r="E103" s="183" t="str">
        <f t="shared" si="4"/>
        <v>n/a</v>
      </c>
      <c r="F103" s="184" t="str">
        <f t="shared" si="5"/>
        <v>n/a</v>
      </c>
      <c r="G103" s="185"/>
      <c r="J103" s="185"/>
    </row>
    <row r="104" spans="1:10" s="163" customFormat="1" x14ac:dyDescent="0.3">
      <c r="A104" s="179" t="s">
        <v>15</v>
      </c>
      <c r="B104" s="180">
        <v>2014</v>
      </c>
      <c r="C104" s="181" t="s">
        <v>34</v>
      </c>
      <c r="D104" s="182">
        <f t="shared" si="6"/>
        <v>6272.9250000000002</v>
      </c>
      <c r="E104" s="183" t="str">
        <f t="shared" si="4"/>
        <v>n/a</v>
      </c>
      <c r="F104" s="184" t="str">
        <f t="shared" si="5"/>
        <v>n/a</v>
      </c>
      <c r="G104" s="185"/>
      <c r="J104" s="185"/>
    </row>
    <row r="105" spans="1:10" s="163" customFormat="1" x14ac:dyDescent="0.3">
      <c r="A105" s="179" t="s">
        <v>83</v>
      </c>
      <c r="B105" s="180">
        <v>2014</v>
      </c>
      <c r="C105" s="181" t="s">
        <v>34</v>
      </c>
      <c r="D105" s="182">
        <f t="shared" si="6"/>
        <v>5531.5</v>
      </c>
      <c r="E105" s="183" t="str">
        <f t="shared" si="4"/>
        <v>n/a</v>
      </c>
      <c r="F105" s="184" t="str">
        <f t="shared" si="5"/>
        <v>n/a</v>
      </c>
      <c r="G105" s="185"/>
      <c r="J105" s="185"/>
    </row>
    <row r="106" spans="1:10" s="163" customFormat="1" x14ac:dyDescent="0.3">
      <c r="A106" s="179" t="s">
        <v>3</v>
      </c>
      <c r="B106" s="180">
        <v>2015</v>
      </c>
      <c r="C106" s="181">
        <v>6156</v>
      </c>
      <c r="D106" s="182">
        <f t="shared" ref="D106:D137" si="7">AVERAGEIFS($C$10:$C$177, $A$10:$A$177, A106)</f>
        <v>6257.4</v>
      </c>
      <c r="E106" s="183">
        <f t="shared" si="4"/>
        <v>-101.39999999999964</v>
      </c>
      <c r="F106" s="184">
        <f t="shared" si="5"/>
        <v>-1.6204813500814978E-2</v>
      </c>
      <c r="G106" s="185"/>
      <c r="J106" s="185"/>
    </row>
    <row r="107" spans="1:10" s="163" customFormat="1" x14ac:dyDescent="0.3">
      <c r="A107" s="179" t="s">
        <v>6</v>
      </c>
      <c r="B107" s="180">
        <v>2015</v>
      </c>
      <c r="C107" s="181">
        <v>9177</v>
      </c>
      <c r="D107" s="182">
        <f t="shared" si="7"/>
        <v>8375.8461538461543</v>
      </c>
      <c r="E107" s="183">
        <f t="shared" si="4"/>
        <v>801.15384615384573</v>
      </c>
      <c r="F107" s="184">
        <f t="shared" si="5"/>
        <v>9.5650496849916375E-2</v>
      </c>
      <c r="G107" s="185"/>
      <c r="J107" s="185"/>
    </row>
    <row r="108" spans="1:10" s="163" customFormat="1" x14ac:dyDescent="0.3">
      <c r="A108" s="179" t="s">
        <v>7</v>
      </c>
      <c r="B108" s="180">
        <v>2015</v>
      </c>
      <c r="C108" s="181">
        <v>8373</v>
      </c>
      <c r="D108" s="182">
        <f t="shared" si="7"/>
        <v>7729.876923076923</v>
      </c>
      <c r="E108" s="183">
        <f t="shared" si="4"/>
        <v>643.12307692307695</v>
      </c>
      <c r="F108" s="184">
        <f t="shared" si="5"/>
        <v>8.319965289525956E-2</v>
      </c>
      <c r="G108" s="185"/>
      <c r="J108" s="185"/>
    </row>
    <row r="109" spans="1:10" s="163" customFormat="1" x14ac:dyDescent="0.3">
      <c r="A109" s="179" t="s">
        <v>9</v>
      </c>
      <c r="B109" s="180">
        <v>2015</v>
      </c>
      <c r="C109" s="181">
        <v>6220</v>
      </c>
      <c r="D109" s="182">
        <f t="shared" si="7"/>
        <v>6803.2333333333336</v>
      </c>
      <c r="E109" s="183">
        <f t="shared" si="4"/>
        <v>-583.23333333333358</v>
      </c>
      <c r="F109" s="184">
        <f t="shared" si="5"/>
        <v>-8.5728844618000302E-2</v>
      </c>
      <c r="G109" s="185"/>
      <c r="J109" s="185"/>
    </row>
    <row r="110" spans="1:10" s="163" customFormat="1" x14ac:dyDescent="0.3">
      <c r="A110" s="179" t="s">
        <v>11</v>
      </c>
      <c r="B110" s="180">
        <v>2015</v>
      </c>
      <c r="C110" s="181">
        <v>2972</v>
      </c>
      <c r="D110" s="182">
        <f t="shared" si="7"/>
        <v>3139.1111111111113</v>
      </c>
      <c r="E110" s="183">
        <f t="shared" si="4"/>
        <v>-167.11111111111131</v>
      </c>
      <c r="F110" s="184">
        <f t="shared" si="5"/>
        <v>-5.3235169191561724E-2</v>
      </c>
      <c r="G110" s="185"/>
      <c r="J110" s="185"/>
    </row>
    <row r="111" spans="1:10" s="163" customFormat="1" x14ac:dyDescent="0.3">
      <c r="A111" s="179" t="s">
        <v>13</v>
      </c>
      <c r="B111" s="180">
        <v>2015</v>
      </c>
      <c r="C111" s="181">
        <v>1822</v>
      </c>
      <c r="D111" s="182">
        <f t="shared" si="7"/>
        <v>1832.909090909091</v>
      </c>
      <c r="E111" s="183">
        <f t="shared" si="4"/>
        <v>-10.909090909090992</v>
      </c>
      <c r="F111" s="184">
        <f t="shared" si="5"/>
        <v>-5.9517904969745511E-3</v>
      </c>
      <c r="G111" s="185"/>
      <c r="J111" s="185"/>
    </row>
    <row r="112" spans="1:10" s="163" customFormat="1" x14ac:dyDescent="0.3">
      <c r="A112" s="179" t="s">
        <v>10</v>
      </c>
      <c r="B112" s="180">
        <v>2015</v>
      </c>
      <c r="C112" s="181">
        <v>6522</v>
      </c>
      <c r="D112" s="182">
        <f t="shared" si="7"/>
        <v>6290.0375000000004</v>
      </c>
      <c r="E112" s="183">
        <f t="shared" si="4"/>
        <v>231.96249999999964</v>
      </c>
      <c r="F112" s="184">
        <f t="shared" si="5"/>
        <v>3.6877761062632713E-2</v>
      </c>
      <c r="G112" s="185"/>
      <c r="J112" s="185"/>
    </row>
    <row r="113" spans="1:10" s="163" customFormat="1" x14ac:dyDescent="0.3">
      <c r="A113" s="179" t="s">
        <v>8</v>
      </c>
      <c r="B113" s="180">
        <v>2015</v>
      </c>
      <c r="C113" s="181">
        <v>5417.8</v>
      </c>
      <c r="D113" s="182">
        <f t="shared" si="7"/>
        <v>8351.6333333333332</v>
      </c>
      <c r="E113" s="183">
        <f t="shared" si="4"/>
        <v>-2933.833333333333</v>
      </c>
      <c r="F113" s="184">
        <f t="shared" si="5"/>
        <v>-0.35128857029962202</v>
      </c>
      <c r="G113" s="185"/>
      <c r="J113" s="185"/>
    </row>
    <row r="114" spans="1:10" s="163" customFormat="1" x14ac:dyDescent="0.3">
      <c r="A114" s="179" t="s">
        <v>56</v>
      </c>
      <c r="B114" s="180">
        <v>2015</v>
      </c>
      <c r="C114" s="181" t="s">
        <v>34</v>
      </c>
      <c r="D114" s="182">
        <f t="shared" si="7"/>
        <v>5169.6000000000004</v>
      </c>
      <c r="E114" s="183" t="str">
        <f t="shared" si="4"/>
        <v>n/a</v>
      </c>
      <c r="F114" s="184" t="str">
        <f t="shared" si="5"/>
        <v>n/a</v>
      </c>
      <c r="G114" s="185"/>
      <c r="J114" s="185"/>
    </row>
    <row r="115" spans="1:10" s="163" customFormat="1" x14ac:dyDescent="0.3">
      <c r="A115" s="179" t="s">
        <v>16</v>
      </c>
      <c r="B115" s="180">
        <v>2015</v>
      </c>
      <c r="C115" s="181" t="s">
        <v>34</v>
      </c>
      <c r="D115" s="182">
        <f t="shared" si="7"/>
        <v>5367.75</v>
      </c>
      <c r="E115" s="183" t="str">
        <f t="shared" si="4"/>
        <v>n/a</v>
      </c>
      <c r="F115" s="184" t="str">
        <f t="shared" si="5"/>
        <v>n/a</v>
      </c>
      <c r="G115" s="185"/>
      <c r="J115" s="185"/>
    </row>
    <row r="116" spans="1:10" s="163" customFormat="1" x14ac:dyDescent="0.3">
      <c r="A116" s="179" t="s">
        <v>15</v>
      </c>
      <c r="B116" s="180">
        <v>2015</v>
      </c>
      <c r="C116" s="181" t="s">
        <v>34</v>
      </c>
      <c r="D116" s="182">
        <f t="shared" si="7"/>
        <v>6272.9250000000002</v>
      </c>
      <c r="E116" s="183" t="str">
        <f t="shared" si="4"/>
        <v>n/a</v>
      </c>
      <c r="F116" s="184" t="str">
        <f t="shared" si="5"/>
        <v>n/a</v>
      </c>
      <c r="G116" s="185"/>
      <c r="J116" s="185"/>
    </row>
    <row r="117" spans="1:10" s="163" customFormat="1" x14ac:dyDescent="0.3">
      <c r="A117" s="179" t="s">
        <v>83</v>
      </c>
      <c r="B117" s="180">
        <v>2015</v>
      </c>
      <c r="C117" s="181" t="s">
        <v>34</v>
      </c>
      <c r="D117" s="182">
        <f t="shared" si="7"/>
        <v>5531.5</v>
      </c>
      <c r="E117" s="183" t="str">
        <f t="shared" si="4"/>
        <v>n/a</v>
      </c>
      <c r="F117" s="184" t="str">
        <f t="shared" si="5"/>
        <v>n/a</v>
      </c>
      <c r="G117" s="185"/>
      <c r="J117" s="185"/>
    </row>
    <row r="118" spans="1:10" s="163" customFormat="1" x14ac:dyDescent="0.3">
      <c r="A118" s="179" t="s">
        <v>3</v>
      </c>
      <c r="B118" s="180">
        <v>2016</v>
      </c>
      <c r="C118" s="181">
        <v>6495</v>
      </c>
      <c r="D118" s="182">
        <f t="shared" si="7"/>
        <v>6257.4</v>
      </c>
      <c r="E118" s="183">
        <f t="shared" si="4"/>
        <v>237.60000000000036</v>
      </c>
      <c r="F118" s="184">
        <f t="shared" si="5"/>
        <v>3.7971042285933516E-2</v>
      </c>
      <c r="G118" s="185"/>
      <c r="J118" s="185"/>
    </row>
    <row r="119" spans="1:10" s="163" customFormat="1" x14ac:dyDescent="0.3">
      <c r="A119" s="179" t="s">
        <v>6</v>
      </c>
      <c r="B119" s="180">
        <v>2016</v>
      </c>
      <c r="C119" s="181">
        <v>8916</v>
      </c>
      <c r="D119" s="182">
        <f t="shared" si="7"/>
        <v>8375.8461538461543</v>
      </c>
      <c r="E119" s="183">
        <f t="shared" si="4"/>
        <v>540.15384615384573</v>
      </c>
      <c r="F119" s="184">
        <f t="shared" si="5"/>
        <v>6.4489466047058339E-2</v>
      </c>
      <c r="G119" s="185"/>
      <c r="J119" s="185"/>
    </row>
    <row r="120" spans="1:10" s="163" customFormat="1" x14ac:dyDescent="0.3">
      <c r="A120" s="179" t="s">
        <v>7</v>
      </c>
      <c r="B120" s="180">
        <v>2016</v>
      </c>
      <c r="C120" s="181">
        <v>8786</v>
      </c>
      <c r="D120" s="182">
        <f t="shared" si="7"/>
        <v>7729.876923076923</v>
      </c>
      <c r="E120" s="183">
        <f t="shared" si="4"/>
        <v>1056.123076923077</v>
      </c>
      <c r="F120" s="184">
        <f t="shared" si="5"/>
        <v>0.13662870540281266</v>
      </c>
      <c r="G120" s="185"/>
      <c r="J120" s="185"/>
    </row>
    <row r="121" spans="1:10" s="163" customFormat="1" x14ac:dyDescent="0.3">
      <c r="A121" s="179" t="s">
        <v>9</v>
      </c>
      <c r="B121" s="180">
        <v>2016</v>
      </c>
      <c r="C121" s="181">
        <v>6581</v>
      </c>
      <c r="D121" s="182">
        <f t="shared" si="7"/>
        <v>6803.2333333333336</v>
      </c>
      <c r="E121" s="183">
        <f t="shared" ref="E121:E176" si="8">IF(ISNUMBER(C121),C121-D121,"n/a")</f>
        <v>-222.23333333333358</v>
      </c>
      <c r="F121" s="184">
        <f t="shared" ref="F121:F176" si="9">IF(ISNUMBER(E121),E121/D121,"n/a")</f>
        <v>-3.2665840262228289E-2</v>
      </c>
      <c r="G121" s="185"/>
      <c r="J121" s="185"/>
    </row>
    <row r="122" spans="1:10" s="163" customFormat="1" x14ac:dyDescent="0.3">
      <c r="A122" s="179" t="s">
        <v>11</v>
      </c>
      <c r="B122" s="180">
        <v>2016</v>
      </c>
      <c r="C122" s="181">
        <v>2936</v>
      </c>
      <c r="D122" s="182">
        <f t="shared" si="7"/>
        <v>3139.1111111111113</v>
      </c>
      <c r="E122" s="183">
        <f t="shared" si="8"/>
        <v>-203.11111111111131</v>
      </c>
      <c r="F122" s="184">
        <f t="shared" si="9"/>
        <v>-6.4703383831233252E-2</v>
      </c>
      <c r="G122" s="185"/>
      <c r="J122" s="185"/>
    </row>
    <row r="123" spans="1:10" s="163" customFormat="1" x14ac:dyDescent="0.3">
      <c r="A123" s="179" t="s">
        <v>13</v>
      </c>
      <c r="B123" s="180">
        <v>2016</v>
      </c>
      <c r="C123" s="181">
        <v>1901</v>
      </c>
      <c r="D123" s="182">
        <f t="shared" si="7"/>
        <v>1832.909090909091</v>
      </c>
      <c r="E123" s="183">
        <f t="shared" si="8"/>
        <v>68.090909090909008</v>
      </c>
      <c r="F123" s="184">
        <f t="shared" si="9"/>
        <v>3.7149092351949166E-2</v>
      </c>
      <c r="G123" s="185"/>
      <c r="J123" s="185"/>
    </row>
    <row r="124" spans="1:10" s="163" customFormat="1" x14ac:dyDescent="0.3">
      <c r="A124" s="179" t="s">
        <v>10</v>
      </c>
      <c r="B124" s="180">
        <v>2016</v>
      </c>
      <c r="C124" s="181">
        <v>6846</v>
      </c>
      <c r="D124" s="182">
        <f t="shared" si="7"/>
        <v>6290.0375000000004</v>
      </c>
      <c r="E124" s="183">
        <f t="shared" si="8"/>
        <v>555.96249999999964</v>
      </c>
      <c r="F124" s="184">
        <f t="shared" si="9"/>
        <v>8.8387787831153572E-2</v>
      </c>
      <c r="G124" s="185"/>
      <c r="J124" s="185"/>
    </row>
    <row r="125" spans="1:10" s="163" customFormat="1" x14ac:dyDescent="0.3">
      <c r="A125" s="179" t="s">
        <v>8</v>
      </c>
      <c r="B125" s="180">
        <v>2016</v>
      </c>
      <c r="C125" s="181">
        <v>7881</v>
      </c>
      <c r="D125" s="182">
        <f t="shared" si="7"/>
        <v>8351.6333333333332</v>
      </c>
      <c r="E125" s="183">
        <f t="shared" si="8"/>
        <v>-470.63333333333321</v>
      </c>
      <c r="F125" s="184">
        <f t="shared" si="9"/>
        <v>-5.6352250457994232E-2</v>
      </c>
      <c r="G125" s="185"/>
      <c r="J125" s="185"/>
    </row>
    <row r="126" spans="1:10" s="163" customFormat="1" x14ac:dyDescent="0.3">
      <c r="A126" s="179" t="s">
        <v>56</v>
      </c>
      <c r="B126" s="180">
        <v>2016</v>
      </c>
      <c r="C126" s="181">
        <v>5245</v>
      </c>
      <c r="D126" s="182">
        <f t="shared" si="7"/>
        <v>5169.6000000000004</v>
      </c>
      <c r="E126" s="183">
        <f t="shared" si="8"/>
        <v>75.399999999999636</v>
      </c>
      <c r="F126" s="184">
        <f t="shared" si="9"/>
        <v>1.4585267718972382E-2</v>
      </c>
      <c r="G126" s="185"/>
      <c r="J126" s="185"/>
    </row>
    <row r="127" spans="1:10" s="163" customFormat="1" x14ac:dyDescent="0.3">
      <c r="A127" s="179" t="s">
        <v>16</v>
      </c>
      <c r="B127" s="180">
        <v>2016</v>
      </c>
      <c r="C127" s="181" t="s">
        <v>34</v>
      </c>
      <c r="D127" s="182">
        <f t="shared" si="7"/>
        <v>5367.75</v>
      </c>
      <c r="E127" s="183" t="str">
        <f t="shared" si="8"/>
        <v>n/a</v>
      </c>
      <c r="F127" s="184" t="str">
        <f t="shared" si="9"/>
        <v>n/a</v>
      </c>
      <c r="G127" s="185"/>
      <c r="J127" s="185"/>
    </row>
    <row r="128" spans="1:10" s="163" customFormat="1" x14ac:dyDescent="0.3">
      <c r="A128" s="179" t="s">
        <v>15</v>
      </c>
      <c r="B128" s="180">
        <v>2016</v>
      </c>
      <c r="C128" s="181" t="s">
        <v>34</v>
      </c>
      <c r="D128" s="182">
        <f t="shared" si="7"/>
        <v>6272.9250000000002</v>
      </c>
      <c r="E128" s="183" t="str">
        <f t="shared" si="8"/>
        <v>n/a</v>
      </c>
      <c r="F128" s="184" t="str">
        <f t="shared" si="9"/>
        <v>n/a</v>
      </c>
      <c r="G128" s="185"/>
      <c r="J128" s="185"/>
    </row>
    <row r="129" spans="1:10" s="163" customFormat="1" x14ac:dyDescent="0.3">
      <c r="A129" s="179" t="s">
        <v>83</v>
      </c>
      <c r="B129" s="180">
        <v>2016</v>
      </c>
      <c r="C129" s="181" t="s">
        <v>34</v>
      </c>
      <c r="D129" s="182">
        <f t="shared" si="7"/>
        <v>5531.5</v>
      </c>
      <c r="E129" s="183" t="str">
        <f t="shared" si="8"/>
        <v>n/a</v>
      </c>
      <c r="F129" s="184" t="str">
        <f t="shared" si="9"/>
        <v>n/a</v>
      </c>
      <c r="G129" s="185"/>
      <c r="J129" s="185"/>
    </row>
    <row r="130" spans="1:10" s="163" customFormat="1" x14ac:dyDescent="0.3">
      <c r="A130" s="179" t="s">
        <v>3</v>
      </c>
      <c r="B130" s="180">
        <v>2017</v>
      </c>
      <c r="C130" s="181">
        <v>7261</v>
      </c>
      <c r="D130" s="182">
        <f t="shared" si="7"/>
        <v>6257.4</v>
      </c>
      <c r="E130" s="183">
        <f t="shared" si="8"/>
        <v>1003.6000000000004</v>
      </c>
      <c r="F130" s="184">
        <f t="shared" si="9"/>
        <v>0.16038610285422067</v>
      </c>
      <c r="G130" s="185"/>
      <c r="J130" s="185"/>
    </row>
    <row r="131" spans="1:10" s="163" customFormat="1" x14ac:dyDescent="0.3">
      <c r="A131" s="179" t="s">
        <v>6</v>
      </c>
      <c r="B131" s="180">
        <v>2017</v>
      </c>
      <c r="C131" s="181">
        <v>9315</v>
      </c>
      <c r="D131" s="182">
        <f t="shared" si="7"/>
        <v>8375.8461538461543</v>
      </c>
      <c r="E131" s="183">
        <f t="shared" si="8"/>
        <v>939.15384615384573</v>
      </c>
      <c r="F131" s="184">
        <f t="shared" si="9"/>
        <v>0.11212644417096775</v>
      </c>
      <c r="G131" s="185"/>
      <c r="J131" s="185"/>
    </row>
    <row r="132" spans="1:10" s="163" customFormat="1" x14ac:dyDescent="0.3">
      <c r="A132" s="179" t="s">
        <v>7</v>
      </c>
      <c r="B132" s="180">
        <v>2017</v>
      </c>
      <c r="C132" s="181">
        <v>8029</v>
      </c>
      <c r="D132" s="182">
        <f t="shared" si="7"/>
        <v>7729.876923076923</v>
      </c>
      <c r="E132" s="183">
        <f t="shared" si="8"/>
        <v>299.12307692307695</v>
      </c>
      <c r="F132" s="184">
        <f t="shared" si="9"/>
        <v>3.8697003833278273E-2</v>
      </c>
      <c r="G132" s="185"/>
      <c r="J132" s="185"/>
    </row>
    <row r="133" spans="1:10" s="163" customFormat="1" x14ac:dyDescent="0.3">
      <c r="A133" s="179" t="s">
        <v>9</v>
      </c>
      <c r="B133" s="180">
        <v>2017</v>
      </c>
      <c r="C133" s="181">
        <v>6700</v>
      </c>
      <c r="D133" s="182">
        <f t="shared" si="7"/>
        <v>6803.2333333333336</v>
      </c>
      <c r="E133" s="183">
        <f t="shared" si="8"/>
        <v>-103.23333333333358</v>
      </c>
      <c r="F133" s="184">
        <f t="shared" si="9"/>
        <v>-1.5174157385948872E-2</v>
      </c>
      <c r="G133" s="185"/>
      <c r="J133" s="185"/>
    </row>
    <row r="134" spans="1:10" s="163" customFormat="1" x14ac:dyDescent="0.3">
      <c r="A134" s="179" t="s">
        <v>11</v>
      </c>
      <c r="B134" s="180">
        <v>2017</v>
      </c>
      <c r="C134" s="181">
        <v>2795</v>
      </c>
      <c r="D134" s="182">
        <f t="shared" si="7"/>
        <v>3139.1111111111113</v>
      </c>
      <c r="E134" s="183">
        <f t="shared" si="8"/>
        <v>-344.11111111111131</v>
      </c>
      <c r="F134" s="184">
        <f t="shared" si="9"/>
        <v>-0.1096205578366134</v>
      </c>
      <c r="G134" s="185"/>
      <c r="J134" s="185"/>
    </row>
    <row r="135" spans="1:10" s="163" customFormat="1" x14ac:dyDescent="0.3">
      <c r="A135" s="179" t="s">
        <v>13</v>
      </c>
      <c r="B135" s="180">
        <v>2017</v>
      </c>
      <c r="C135" s="181">
        <v>1869</v>
      </c>
      <c r="D135" s="182">
        <f t="shared" si="7"/>
        <v>1832.909090909091</v>
      </c>
      <c r="E135" s="183">
        <f t="shared" si="8"/>
        <v>36.090909090909008</v>
      </c>
      <c r="F135" s="184">
        <f t="shared" si="9"/>
        <v>1.9690506894157279E-2</v>
      </c>
      <c r="G135" s="185"/>
      <c r="J135" s="185"/>
    </row>
    <row r="136" spans="1:10" s="163" customFormat="1" x14ac:dyDescent="0.3">
      <c r="A136" s="179" t="s">
        <v>10</v>
      </c>
      <c r="B136" s="180">
        <v>2017</v>
      </c>
      <c r="C136" s="181">
        <v>5208</v>
      </c>
      <c r="D136" s="182">
        <f t="shared" si="7"/>
        <v>6290.0375000000004</v>
      </c>
      <c r="E136" s="183">
        <f t="shared" si="8"/>
        <v>-1082.0375000000004</v>
      </c>
      <c r="F136" s="184">
        <f t="shared" si="9"/>
        <v>-0.17202401416525742</v>
      </c>
      <c r="G136" s="185"/>
      <c r="J136" s="185"/>
    </row>
    <row r="137" spans="1:10" s="163" customFormat="1" x14ac:dyDescent="0.3">
      <c r="A137" s="179" t="s">
        <v>8</v>
      </c>
      <c r="B137" s="180">
        <v>2017</v>
      </c>
      <c r="C137" s="181">
        <v>8470</v>
      </c>
      <c r="D137" s="182">
        <f t="shared" si="7"/>
        <v>8351.6333333333332</v>
      </c>
      <c r="E137" s="183">
        <f t="shared" si="8"/>
        <v>118.36666666666679</v>
      </c>
      <c r="F137" s="184">
        <f t="shared" si="9"/>
        <v>1.4172876363505756E-2</v>
      </c>
      <c r="G137" s="185"/>
      <c r="J137" s="185"/>
    </row>
    <row r="138" spans="1:10" s="163" customFormat="1" x14ac:dyDescent="0.3">
      <c r="A138" s="179" t="s">
        <v>56</v>
      </c>
      <c r="B138" s="180">
        <v>2017</v>
      </c>
      <c r="C138" s="181">
        <v>4940</v>
      </c>
      <c r="D138" s="182">
        <f t="shared" ref="D138:D169" si="10">AVERAGEIFS($C$10:$C$177, $A$10:$A$177, A138)</f>
        <v>5169.6000000000004</v>
      </c>
      <c r="E138" s="183">
        <f t="shared" si="8"/>
        <v>-229.60000000000036</v>
      </c>
      <c r="F138" s="184">
        <f t="shared" si="9"/>
        <v>-4.4413494274218576E-2</v>
      </c>
      <c r="G138" s="185"/>
      <c r="J138" s="185"/>
    </row>
    <row r="139" spans="1:10" s="163" customFormat="1" x14ac:dyDescent="0.3">
      <c r="A139" s="179" t="s">
        <v>16</v>
      </c>
      <c r="B139" s="180">
        <v>2017</v>
      </c>
      <c r="C139" s="181">
        <v>7020</v>
      </c>
      <c r="D139" s="182">
        <f t="shared" si="10"/>
        <v>5367.75</v>
      </c>
      <c r="E139" s="183">
        <f t="shared" si="8"/>
        <v>1652.25</v>
      </c>
      <c r="F139" s="184">
        <f t="shared" si="9"/>
        <v>0.30781053514042195</v>
      </c>
      <c r="G139" s="185"/>
      <c r="J139" s="185"/>
    </row>
    <row r="140" spans="1:10" s="163" customFormat="1" x14ac:dyDescent="0.3">
      <c r="A140" s="179" t="s">
        <v>15</v>
      </c>
      <c r="B140" s="180">
        <v>2017</v>
      </c>
      <c r="C140" s="181">
        <v>6086</v>
      </c>
      <c r="D140" s="182">
        <f t="shared" si="10"/>
        <v>6272.9250000000002</v>
      </c>
      <c r="E140" s="183">
        <f t="shared" si="8"/>
        <v>-186.92500000000018</v>
      </c>
      <c r="F140" s="184">
        <f t="shared" si="9"/>
        <v>-2.9798698374362866E-2</v>
      </c>
      <c r="G140" s="185"/>
      <c r="J140" s="185"/>
    </row>
    <row r="141" spans="1:10" s="163" customFormat="1" x14ac:dyDescent="0.3">
      <c r="A141" s="179" t="s">
        <v>83</v>
      </c>
      <c r="B141" s="180">
        <v>2017</v>
      </c>
      <c r="C141" s="181">
        <v>4336</v>
      </c>
      <c r="D141" s="182">
        <f t="shared" si="10"/>
        <v>5531.5</v>
      </c>
      <c r="E141" s="183">
        <f t="shared" si="8"/>
        <v>-1195.5</v>
      </c>
      <c r="F141" s="184">
        <f t="shared" si="9"/>
        <v>-0.21612582482147699</v>
      </c>
      <c r="G141" s="185"/>
      <c r="J141" s="185"/>
    </row>
    <row r="142" spans="1:10" s="163" customFormat="1" x14ac:dyDescent="0.3">
      <c r="A142" s="179" t="s">
        <v>3</v>
      </c>
      <c r="B142" s="180">
        <v>2018</v>
      </c>
      <c r="C142" s="181">
        <v>7883</v>
      </c>
      <c r="D142" s="182">
        <f t="shared" si="10"/>
        <v>6257.4</v>
      </c>
      <c r="E142" s="183">
        <f t="shared" si="8"/>
        <v>1625.6000000000004</v>
      </c>
      <c r="F142" s="184">
        <f t="shared" si="9"/>
        <v>0.25978841052194207</v>
      </c>
      <c r="G142" s="185"/>
      <c r="J142" s="185"/>
    </row>
    <row r="143" spans="1:10" s="163" customFormat="1" x14ac:dyDescent="0.3">
      <c r="A143" s="179" t="s">
        <v>6</v>
      </c>
      <c r="B143" s="180">
        <v>2018</v>
      </c>
      <c r="C143" s="181">
        <v>8375</v>
      </c>
      <c r="D143" s="182">
        <f t="shared" si="10"/>
        <v>8375.8461538461543</v>
      </c>
      <c r="E143" s="183">
        <f t="shared" si="8"/>
        <v>-0.84615384615426592</v>
      </c>
      <c r="F143" s="184">
        <f t="shared" si="9"/>
        <v>-1.0102308836770069E-4</v>
      </c>
      <c r="G143" s="185"/>
      <c r="J143" s="185"/>
    </row>
    <row r="144" spans="1:10" s="163" customFormat="1" x14ac:dyDescent="0.3">
      <c r="A144" s="179" t="s">
        <v>7</v>
      </c>
      <c r="B144" s="180">
        <v>2018</v>
      </c>
      <c r="C144" s="181">
        <v>9888</v>
      </c>
      <c r="D144" s="182">
        <f t="shared" si="10"/>
        <v>7729.876923076923</v>
      </c>
      <c r="E144" s="183">
        <f t="shared" si="8"/>
        <v>2158.123076923077</v>
      </c>
      <c r="F144" s="184">
        <f t="shared" si="9"/>
        <v>0.27919242420020618</v>
      </c>
      <c r="G144" s="185"/>
      <c r="J144" s="185"/>
    </row>
    <row r="145" spans="1:10" s="163" customFormat="1" x14ac:dyDescent="0.3">
      <c r="A145" s="179" t="s">
        <v>9</v>
      </c>
      <c r="B145" s="180">
        <v>2018</v>
      </c>
      <c r="C145" s="181">
        <v>7926</v>
      </c>
      <c r="D145" s="182">
        <f t="shared" si="10"/>
        <v>6803.2333333333336</v>
      </c>
      <c r="E145" s="183">
        <f t="shared" si="8"/>
        <v>1122.7666666666664</v>
      </c>
      <c r="F145" s="184">
        <f t="shared" si="9"/>
        <v>0.16503427291924913</v>
      </c>
      <c r="G145" s="185"/>
      <c r="J145" s="185"/>
    </row>
    <row r="146" spans="1:10" s="163" customFormat="1" x14ac:dyDescent="0.3">
      <c r="A146" s="179" t="s">
        <v>11</v>
      </c>
      <c r="B146" s="180">
        <v>2018</v>
      </c>
      <c r="C146" s="181">
        <v>3761</v>
      </c>
      <c r="D146" s="182">
        <f t="shared" si="10"/>
        <v>3139.1111111111113</v>
      </c>
      <c r="E146" s="183">
        <f t="shared" si="8"/>
        <v>621.88888888888869</v>
      </c>
      <c r="F146" s="184">
        <f t="shared" si="9"/>
        <v>0.19810986832790592</v>
      </c>
      <c r="G146" s="185"/>
      <c r="J146" s="185"/>
    </row>
    <row r="147" spans="1:10" s="163" customFormat="1" x14ac:dyDescent="0.3">
      <c r="A147" s="179" t="s">
        <v>13</v>
      </c>
      <c r="B147" s="180">
        <v>2018</v>
      </c>
      <c r="C147" s="181">
        <v>1702</v>
      </c>
      <c r="D147" s="182">
        <f t="shared" si="10"/>
        <v>1832.909090909091</v>
      </c>
      <c r="E147" s="183">
        <f t="shared" si="8"/>
        <v>-130.90909090909099</v>
      </c>
      <c r="F147" s="184">
        <f t="shared" si="9"/>
        <v>-7.1421485963694117E-2</v>
      </c>
      <c r="G147" s="185"/>
      <c r="J147" s="185"/>
    </row>
    <row r="148" spans="1:10" s="163" customFormat="1" x14ac:dyDescent="0.3">
      <c r="A148" s="179" t="s">
        <v>10</v>
      </c>
      <c r="B148" s="180">
        <v>2018</v>
      </c>
      <c r="C148" s="181">
        <v>7045</v>
      </c>
      <c r="D148" s="182">
        <f t="shared" si="10"/>
        <v>6290.0375000000004</v>
      </c>
      <c r="E148" s="183">
        <f t="shared" si="8"/>
        <v>754.96249999999964</v>
      </c>
      <c r="F148" s="184">
        <f t="shared" si="9"/>
        <v>0.12002511908712779</v>
      </c>
      <c r="G148" s="185"/>
      <c r="J148" s="185"/>
    </row>
    <row r="149" spans="1:10" s="163" customFormat="1" x14ac:dyDescent="0.3">
      <c r="A149" s="179" t="s">
        <v>8</v>
      </c>
      <c r="B149" s="180">
        <v>2018</v>
      </c>
      <c r="C149" s="181">
        <v>9240</v>
      </c>
      <c r="D149" s="182">
        <f t="shared" si="10"/>
        <v>8351.6333333333332</v>
      </c>
      <c r="E149" s="183">
        <f t="shared" si="8"/>
        <v>888.36666666666679</v>
      </c>
      <c r="F149" s="184">
        <f t="shared" si="9"/>
        <v>0.10637041057836992</v>
      </c>
      <c r="G149" s="185"/>
      <c r="J149" s="185"/>
    </row>
    <row r="150" spans="1:10" s="163" customFormat="1" x14ac:dyDescent="0.3">
      <c r="A150" s="179" t="s">
        <v>56</v>
      </c>
      <c r="B150" s="180">
        <v>2018</v>
      </c>
      <c r="C150" s="181">
        <v>4557</v>
      </c>
      <c r="D150" s="182">
        <f t="shared" si="10"/>
        <v>5169.6000000000004</v>
      </c>
      <c r="E150" s="183">
        <f t="shared" si="8"/>
        <v>-612.60000000000036</v>
      </c>
      <c r="F150" s="184">
        <f t="shared" si="9"/>
        <v>-0.11850046425255345</v>
      </c>
      <c r="G150" s="185"/>
      <c r="J150" s="185"/>
    </row>
    <row r="151" spans="1:10" s="163" customFormat="1" x14ac:dyDescent="0.3">
      <c r="A151" s="179" t="s">
        <v>16</v>
      </c>
      <c r="B151" s="180">
        <v>2018</v>
      </c>
      <c r="C151" s="181">
        <v>5227</v>
      </c>
      <c r="D151" s="182">
        <f t="shared" si="10"/>
        <v>5367.75</v>
      </c>
      <c r="E151" s="183">
        <f t="shared" si="8"/>
        <v>-140.75</v>
      </c>
      <c r="F151" s="184">
        <f t="shared" si="9"/>
        <v>-2.6221414931768432E-2</v>
      </c>
      <c r="G151" s="185"/>
      <c r="J151" s="185"/>
    </row>
    <row r="152" spans="1:10" s="163" customFormat="1" x14ac:dyDescent="0.3">
      <c r="A152" s="179" t="s">
        <v>15</v>
      </c>
      <c r="B152" s="180">
        <v>2018</v>
      </c>
      <c r="C152" s="181">
        <v>6527</v>
      </c>
      <c r="D152" s="182">
        <f t="shared" si="10"/>
        <v>6272.9250000000002</v>
      </c>
      <c r="E152" s="183">
        <f t="shared" si="8"/>
        <v>254.07499999999982</v>
      </c>
      <c r="F152" s="184">
        <f t="shared" si="9"/>
        <v>4.050343340626579E-2</v>
      </c>
      <c r="G152" s="185"/>
      <c r="J152" s="185"/>
    </row>
    <row r="153" spans="1:10" s="163" customFormat="1" x14ac:dyDescent="0.3">
      <c r="A153" s="179" t="s">
        <v>83</v>
      </c>
      <c r="B153" s="180">
        <v>2018</v>
      </c>
      <c r="C153" s="181">
        <v>4538</v>
      </c>
      <c r="D153" s="182">
        <f t="shared" si="10"/>
        <v>5531.5</v>
      </c>
      <c r="E153" s="183">
        <f t="shared" si="8"/>
        <v>-993.5</v>
      </c>
      <c r="F153" s="184">
        <f t="shared" si="9"/>
        <v>-0.17960770134683179</v>
      </c>
      <c r="G153" s="185"/>
      <c r="J153" s="185"/>
    </row>
    <row r="154" spans="1:10" s="163" customFormat="1" x14ac:dyDescent="0.3">
      <c r="A154" s="179" t="s">
        <v>3</v>
      </c>
      <c r="B154" s="180">
        <v>2019</v>
      </c>
      <c r="C154" s="181">
        <v>7385</v>
      </c>
      <c r="D154" s="182">
        <f t="shared" si="10"/>
        <v>6257.4</v>
      </c>
      <c r="E154" s="183">
        <f t="shared" si="8"/>
        <v>1127.6000000000004</v>
      </c>
      <c r="F154" s="184">
        <f t="shared" si="9"/>
        <v>0.18020264007415226</v>
      </c>
      <c r="G154" s="185"/>
      <c r="J154" s="185"/>
    </row>
    <row r="155" spans="1:10" s="163" customFormat="1" x14ac:dyDescent="0.3">
      <c r="A155" s="179" t="s">
        <v>6</v>
      </c>
      <c r="B155" s="180">
        <v>2019</v>
      </c>
      <c r="C155" s="181">
        <v>8856</v>
      </c>
      <c r="D155" s="182">
        <f t="shared" si="10"/>
        <v>8375.8461538461543</v>
      </c>
      <c r="E155" s="183">
        <f t="shared" si="8"/>
        <v>480.15384615384573</v>
      </c>
      <c r="F155" s="184">
        <f t="shared" si="9"/>
        <v>5.7326010690079476E-2</v>
      </c>
      <c r="G155" s="185"/>
      <c r="J155" s="185"/>
    </row>
    <row r="156" spans="1:10" s="163" customFormat="1" x14ac:dyDescent="0.3">
      <c r="A156" s="179" t="s">
        <v>7</v>
      </c>
      <c r="B156" s="180">
        <v>2019</v>
      </c>
      <c r="C156" s="181">
        <v>9400</v>
      </c>
      <c r="D156" s="182">
        <f t="shared" si="10"/>
        <v>7729.876923076923</v>
      </c>
      <c r="E156" s="183">
        <f t="shared" si="8"/>
        <v>1670.123076923077</v>
      </c>
      <c r="F156" s="184">
        <f t="shared" si="9"/>
        <v>0.21606075925181414</v>
      </c>
      <c r="G156" s="185"/>
      <c r="J156" s="185"/>
    </row>
    <row r="157" spans="1:10" s="163" customFormat="1" x14ac:dyDescent="0.3">
      <c r="A157" s="179" t="s">
        <v>9</v>
      </c>
      <c r="B157" s="180">
        <v>2019</v>
      </c>
      <c r="C157" s="181">
        <v>7856</v>
      </c>
      <c r="D157" s="182">
        <f t="shared" si="10"/>
        <v>6803.2333333333336</v>
      </c>
      <c r="E157" s="183">
        <f t="shared" si="8"/>
        <v>1052.7666666666664</v>
      </c>
      <c r="F157" s="184">
        <f t="shared" si="9"/>
        <v>0.15474504769790831</v>
      </c>
      <c r="G157" s="185"/>
      <c r="J157" s="185"/>
    </row>
    <row r="158" spans="1:10" s="163" customFormat="1" x14ac:dyDescent="0.3">
      <c r="A158" s="179" t="s">
        <v>11</v>
      </c>
      <c r="B158" s="180">
        <v>2019</v>
      </c>
      <c r="C158" s="181">
        <v>3827</v>
      </c>
      <c r="D158" s="182">
        <f t="shared" si="10"/>
        <v>3139.1111111111113</v>
      </c>
      <c r="E158" s="183">
        <f t="shared" si="8"/>
        <v>687.88888888888869</v>
      </c>
      <c r="F158" s="184">
        <f t="shared" si="9"/>
        <v>0.21913492850063704</v>
      </c>
      <c r="G158" s="185"/>
      <c r="J158" s="185"/>
    </row>
    <row r="159" spans="1:10" s="163" customFormat="1" x14ac:dyDescent="0.3">
      <c r="A159" s="179" t="s">
        <v>13</v>
      </c>
      <c r="B159" s="180">
        <v>2019</v>
      </c>
      <c r="C159" s="181">
        <v>1898</v>
      </c>
      <c r="D159" s="182">
        <f t="shared" si="10"/>
        <v>1832.909090909091</v>
      </c>
      <c r="E159" s="183">
        <f t="shared" si="8"/>
        <v>65.090909090909008</v>
      </c>
      <c r="F159" s="184">
        <f t="shared" si="9"/>
        <v>3.5512349965281173E-2</v>
      </c>
      <c r="G159" s="185"/>
      <c r="J159" s="185"/>
    </row>
    <row r="160" spans="1:10" s="163" customFormat="1" x14ac:dyDescent="0.3">
      <c r="A160" s="179" t="s">
        <v>10</v>
      </c>
      <c r="B160" s="180">
        <v>2019</v>
      </c>
      <c r="C160" s="181">
        <v>6985</v>
      </c>
      <c r="D160" s="182">
        <f t="shared" si="10"/>
        <v>6290.0375000000004</v>
      </c>
      <c r="E160" s="183">
        <f t="shared" si="8"/>
        <v>694.96249999999964</v>
      </c>
      <c r="F160" s="184">
        <f t="shared" si="9"/>
        <v>0.11048622524110542</v>
      </c>
      <c r="G160" s="185"/>
      <c r="J160" s="185"/>
    </row>
    <row r="161" spans="1:10" s="163" customFormat="1" x14ac:dyDescent="0.3">
      <c r="A161" s="179" t="s">
        <v>8</v>
      </c>
      <c r="B161" s="180">
        <v>2019</v>
      </c>
      <c r="C161" s="181">
        <v>9212</v>
      </c>
      <c r="D161" s="182">
        <f t="shared" si="10"/>
        <v>8351.6333333333332</v>
      </c>
      <c r="E161" s="183">
        <f t="shared" si="8"/>
        <v>860.36666666666679</v>
      </c>
      <c r="F161" s="184">
        <f t="shared" si="9"/>
        <v>0.10301777297055667</v>
      </c>
      <c r="G161" s="185"/>
      <c r="J161" s="185"/>
    </row>
    <row r="162" spans="1:10" s="163" customFormat="1" x14ac:dyDescent="0.3">
      <c r="A162" s="179" t="s">
        <v>56</v>
      </c>
      <c r="B162" s="180">
        <v>2019</v>
      </c>
      <c r="C162" s="181">
        <v>5501</v>
      </c>
      <c r="D162" s="182">
        <f t="shared" si="10"/>
        <v>5169.6000000000004</v>
      </c>
      <c r="E162" s="183">
        <f t="shared" si="8"/>
        <v>331.39999999999964</v>
      </c>
      <c r="F162" s="184">
        <f t="shared" si="9"/>
        <v>6.4105540080470369E-2</v>
      </c>
      <c r="G162" s="185"/>
      <c r="J162" s="185"/>
    </row>
    <row r="163" spans="1:10" s="163" customFormat="1" x14ac:dyDescent="0.3">
      <c r="A163" s="179" t="s">
        <v>16</v>
      </c>
      <c r="B163" s="180">
        <v>2019</v>
      </c>
      <c r="C163" s="181">
        <v>5160</v>
      </c>
      <c r="D163" s="182">
        <f t="shared" si="10"/>
        <v>5367.75</v>
      </c>
      <c r="E163" s="183">
        <f t="shared" si="8"/>
        <v>-207.75</v>
      </c>
      <c r="F163" s="184">
        <f t="shared" si="9"/>
        <v>-3.8703367332681288E-2</v>
      </c>
      <c r="G163" s="185"/>
      <c r="J163" s="185"/>
    </row>
    <row r="164" spans="1:10" s="163" customFormat="1" x14ac:dyDescent="0.3">
      <c r="A164" s="179" t="s">
        <v>15</v>
      </c>
      <c r="B164" s="180">
        <v>2019</v>
      </c>
      <c r="C164" s="181">
        <v>6234.7</v>
      </c>
      <c r="D164" s="182">
        <f t="shared" si="10"/>
        <v>6272.9250000000002</v>
      </c>
      <c r="E164" s="183">
        <f t="shared" si="8"/>
        <v>-38.225000000000364</v>
      </c>
      <c r="F164" s="184">
        <f t="shared" si="9"/>
        <v>-6.0936484973119183E-3</v>
      </c>
      <c r="G164" s="185"/>
      <c r="J164" s="185"/>
    </row>
    <row r="165" spans="1:10" s="163" customFormat="1" x14ac:dyDescent="0.3">
      <c r="A165" s="179" t="s">
        <v>83</v>
      </c>
      <c r="B165" s="180">
        <v>2019</v>
      </c>
      <c r="C165" s="181">
        <v>6168</v>
      </c>
      <c r="D165" s="182">
        <f t="shared" si="10"/>
        <v>5531.5</v>
      </c>
      <c r="E165" s="183">
        <f t="shared" si="8"/>
        <v>636.5</v>
      </c>
      <c r="F165" s="184">
        <f t="shared" si="9"/>
        <v>0.1150682455030281</v>
      </c>
      <c r="G165" s="185"/>
      <c r="J165" s="185"/>
    </row>
    <row r="166" spans="1:10" s="163" customFormat="1" x14ac:dyDescent="0.3">
      <c r="A166" s="179" t="s">
        <v>3</v>
      </c>
      <c r="B166" s="180">
        <v>2020</v>
      </c>
      <c r="C166" s="181">
        <v>4218</v>
      </c>
      <c r="D166" s="182">
        <f t="shared" si="10"/>
        <v>6257.4</v>
      </c>
      <c r="E166" s="183">
        <f t="shared" si="8"/>
        <v>-2039.3999999999996</v>
      </c>
      <c r="F166" s="184">
        <f t="shared" si="9"/>
        <v>-0.3259181129542621</v>
      </c>
      <c r="G166" s="185"/>
      <c r="J166" s="185"/>
    </row>
    <row r="167" spans="1:10" s="163" customFormat="1" x14ac:dyDescent="0.3">
      <c r="A167" s="179" t="s">
        <v>6</v>
      </c>
      <c r="B167" s="180">
        <v>2020</v>
      </c>
      <c r="C167" s="181">
        <v>8800</v>
      </c>
      <c r="D167" s="182">
        <f t="shared" si="10"/>
        <v>8375.8461538461543</v>
      </c>
      <c r="E167" s="183">
        <f t="shared" si="8"/>
        <v>424.15384615384573</v>
      </c>
      <c r="F167" s="184">
        <f t="shared" si="9"/>
        <v>5.0640119023565876E-2</v>
      </c>
      <c r="G167" s="185"/>
      <c r="J167" s="185"/>
    </row>
    <row r="168" spans="1:10" s="163" customFormat="1" x14ac:dyDescent="0.3">
      <c r="A168" s="179" t="s">
        <v>7</v>
      </c>
      <c r="B168" s="180">
        <v>2020</v>
      </c>
      <c r="C168" s="181">
        <v>9802</v>
      </c>
      <c r="D168" s="182">
        <f t="shared" si="10"/>
        <v>7729.876923076923</v>
      </c>
      <c r="E168" s="183">
        <f t="shared" si="8"/>
        <v>2072.123076923077</v>
      </c>
      <c r="F168" s="184">
        <f t="shared" si="9"/>
        <v>0.26806676193471085</v>
      </c>
      <c r="G168" s="185"/>
      <c r="J168" s="185"/>
    </row>
    <row r="169" spans="1:10" s="163" customFormat="1" x14ac:dyDescent="0.3">
      <c r="A169" s="179" t="s">
        <v>9</v>
      </c>
      <c r="B169" s="180">
        <v>2020</v>
      </c>
      <c r="C169" s="181">
        <v>8001</v>
      </c>
      <c r="D169" s="182">
        <f t="shared" si="10"/>
        <v>6803.2333333333336</v>
      </c>
      <c r="E169" s="183">
        <f t="shared" si="8"/>
        <v>1197.7666666666664</v>
      </c>
      <c r="F169" s="184">
        <f t="shared" si="9"/>
        <v>0.17605844279925717</v>
      </c>
      <c r="G169" s="185"/>
      <c r="J169" s="185"/>
    </row>
    <row r="170" spans="1:10" s="163" customFormat="1" x14ac:dyDescent="0.3">
      <c r="A170" s="179" t="s">
        <v>11</v>
      </c>
      <c r="B170" s="180">
        <v>2020</v>
      </c>
      <c r="C170" s="181">
        <v>4264</v>
      </c>
      <c r="D170" s="182">
        <f t="shared" ref="D170:D177" si="11">AVERAGEIFS($C$10:$C$177, $A$10:$A$177, A170)</f>
        <v>3139.1111111111113</v>
      </c>
      <c r="E170" s="183">
        <f t="shared" si="8"/>
        <v>1124.8888888888887</v>
      </c>
      <c r="F170" s="184">
        <f t="shared" si="9"/>
        <v>0.35834631176553866</v>
      </c>
      <c r="G170" s="185"/>
      <c r="J170" s="185"/>
    </row>
    <row r="171" spans="1:10" s="163" customFormat="1" x14ac:dyDescent="0.3">
      <c r="A171" s="179" t="s">
        <v>13</v>
      </c>
      <c r="B171" s="180">
        <v>2020</v>
      </c>
      <c r="C171" s="181">
        <v>1872</v>
      </c>
      <c r="D171" s="182">
        <f t="shared" si="11"/>
        <v>1832.909090909091</v>
      </c>
      <c r="E171" s="183">
        <f t="shared" si="8"/>
        <v>39.090909090909008</v>
      </c>
      <c r="F171" s="184">
        <f t="shared" si="9"/>
        <v>2.1327249280825269E-2</v>
      </c>
      <c r="G171" s="185"/>
      <c r="J171" s="185"/>
    </row>
    <row r="172" spans="1:10" s="163" customFormat="1" x14ac:dyDescent="0.3">
      <c r="A172" s="179" t="s">
        <v>10</v>
      </c>
      <c r="B172" s="180">
        <v>2020</v>
      </c>
      <c r="C172" s="181">
        <v>7625</v>
      </c>
      <c r="D172" s="182">
        <f t="shared" si="11"/>
        <v>6290.0375000000004</v>
      </c>
      <c r="E172" s="183">
        <f t="shared" si="8"/>
        <v>1334.9624999999996</v>
      </c>
      <c r="F172" s="184">
        <f t="shared" si="9"/>
        <v>0.21223442626534414</v>
      </c>
      <c r="G172" s="185"/>
      <c r="J172" s="185"/>
    </row>
    <row r="173" spans="1:10" s="163" customFormat="1" x14ac:dyDescent="0.3">
      <c r="A173" s="179" t="s">
        <v>8</v>
      </c>
      <c r="B173" s="180">
        <v>2020</v>
      </c>
      <c r="C173" s="181">
        <v>9889</v>
      </c>
      <c r="D173" s="182">
        <f t="shared" si="11"/>
        <v>8351.6333333333332</v>
      </c>
      <c r="E173" s="183">
        <f t="shared" si="8"/>
        <v>1537.3666666666668</v>
      </c>
      <c r="F173" s="184">
        <f t="shared" si="9"/>
        <v>0.18407976084518399</v>
      </c>
      <c r="G173" s="185"/>
      <c r="J173" s="185"/>
    </row>
    <row r="174" spans="1:10" s="163" customFormat="1" x14ac:dyDescent="0.3">
      <c r="A174" s="179" t="s">
        <v>56</v>
      </c>
      <c r="B174" s="180">
        <v>2020</v>
      </c>
      <c r="C174" s="181">
        <v>5605</v>
      </c>
      <c r="D174" s="182">
        <f t="shared" si="11"/>
        <v>5169.6000000000004</v>
      </c>
      <c r="E174" s="183">
        <f t="shared" si="8"/>
        <v>435.39999999999964</v>
      </c>
      <c r="F174" s="184">
        <f t="shared" si="9"/>
        <v>8.422315072732893E-2</v>
      </c>
      <c r="G174" s="185"/>
      <c r="J174" s="185"/>
    </row>
    <row r="175" spans="1:10" s="163" customFormat="1" x14ac:dyDescent="0.3">
      <c r="A175" s="179" t="s">
        <v>16</v>
      </c>
      <c r="B175" s="180">
        <v>2020</v>
      </c>
      <c r="C175" s="181">
        <v>4064</v>
      </c>
      <c r="D175" s="182">
        <f t="shared" si="11"/>
        <v>5367.75</v>
      </c>
      <c r="E175" s="183">
        <f t="shared" si="8"/>
        <v>-1303.75</v>
      </c>
      <c r="F175" s="184">
        <f t="shared" si="9"/>
        <v>-0.24288575287597225</v>
      </c>
      <c r="G175" s="185"/>
      <c r="J175" s="185"/>
    </row>
    <row r="176" spans="1:10" s="163" customFormat="1" x14ac:dyDescent="0.3">
      <c r="A176" s="179" t="s">
        <v>15</v>
      </c>
      <c r="B176" s="180">
        <v>2020</v>
      </c>
      <c r="C176" s="181">
        <v>6244</v>
      </c>
      <c r="D176" s="182">
        <f t="shared" si="11"/>
        <v>6272.9250000000002</v>
      </c>
      <c r="E176" s="183">
        <f t="shared" si="8"/>
        <v>-28.925000000000182</v>
      </c>
      <c r="F176" s="184">
        <f t="shared" si="9"/>
        <v>-4.6110865345911486E-3</v>
      </c>
      <c r="G176" s="185"/>
      <c r="J176" s="185"/>
    </row>
    <row r="177" spans="1:10" s="163" customFormat="1" x14ac:dyDescent="0.3">
      <c r="A177" s="179" t="s">
        <v>83</v>
      </c>
      <c r="B177" s="180">
        <v>2020</v>
      </c>
      <c r="C177" s="181">
        <v>7084</v>
      </c>
      <c r="D177" s="182">
        <f t="shared" si="11"/>
        <v>5531.5</v>
      </c>
      <c r="E177" s="183">
        <f t="shared" ref="E177" si="12">IF(ISNUMBER(C177),C177-D177,"n/a")</f>
        <v>1552.5</v>
      </c>
      <c r="F177" s="184">
        <f t="shared" ref="F177" si="13">IF(ISNUMBER(E177),E177/D177,"n/a")</f>
        <v>0.28066528066528068</v>
      </c>
      <c r="G177" s="185"/>
      <c r="J177" s="185"/>
    </row>
    <row r="178" spans="1:10" s="163" customFormat="1" x14ac:dyDescent="0.3">
      <c r="A178" s="186"/>
      <c r="B178" s="187"/>
      <c r="C178" s="188"/>
      <c r="D178" s="188"/>
      <c r="G178" s="185"/>
    </row>
    <row r="179" spans="1:10" s="163" customFormat="1" x14ac:dyDescent="0.3">
      <c r="A179" s="186"/>
      <c r="B179" s="187"/>
      <c r="C179" s="188"/>
      <c r="D179" s="188"/>
      <c r="G179" s="185"/>
    </row>
    <row r="180" spans="1:10" s="163" customFormat="1" x14ac:dyDescent="0.3">
      <c r="A180" s="186"/>
      <c r="B180" s="187"/>
      <c r="C180" s="188"/>
      <c r="D180" s="188"/>
      <c r="G180" s="185"/>
    </row>
    <row r="181" spans="1:10" s="163" customFormat="1" x14ac:dyDescent="0.3">
      <c r="A181" s="186"/>
      <c r="B181" s="187"/>
      <c r="C181" s="188"/>
      <c r="D181" s="188"/>
      <c r="G181" s="185"/>
    </row>
    <row r="182" spans="1:10" s="163" customFormat="1" x14ac:dyDescent="0.3">
      <c r="A182" s="186"/>
      <c r="B182" s="187"/>
      <c r="C182" s="188"/>
      <c r="D182" s="188"/>
      <c r="G182" s="185"/>
    </row>
    <row r="183" spans="1:10" s="163" customFormat="1" x14ac:dyDescent="0.3">
      <c r="A183" s="186"/>
      <c r="B183" s="187"/>
      <c r="C183" s="188"/>
      <c r="D183" s="188"/>
      <c r="G183" s="185"/>
    </row>
    <row r="184" spans="1:10" s="163" customFormat="1" x14ac:dyDescent="0.3">
      <c r="A184" s="186"/>
      <c r="B184" s="187"/>
      <c r="C184" s="188"/>
      <c r="D184" s="188"/>
      <c r="G184" s="185"/>
    </row>
    <row r="185" spans="1:10" s="163" customFormat="1" x14ac:dyDescent="0.3">
      <c r="A185" s="186"/>
      <c r="B185" s="187"/>
      <c r="C185" s="188"/>
      <c r="D185" s="188"/>
      <c r="G185" s="185"/>
    </row>
    <row r="186" spans="1:10" s="163" customFormat="1" x14ac:dyDescent="0.3">
      <c r="A186" s="186"/>
      <c r="B186" s="187"/>
      <c r="C186" s="188"/>
      <c r="D186" s="188"/>
      <c r="G186" s="185"/>
    </row>
    <row r="187" spans="1:10" s="163" customFormat="1" x14ac:dyDescent="0.3">
      <c r="A187" s="186"/>
      <c r="B187" s="187"/>
      <c r="C187" s="188"/>
      <c r="D187" s="188"/>
      <c r="G187" s="185"/>
    </row>
    <row r="188" spans="1:10" s="163" customFormat="1" x14ac:dyDescent="0.3">
      <c r="A188" s="186"/>
      <c r="B188" s="187"/>
      <c r="C188" s="188"/>
      <c r="D188" s="188"/>
      <c r="G188" s="185"/>
    </row>
    <row r="189" spans="1:10" s="163" customFormat="1" x14ac:dyDescent="0.3">
      <c r="A189" s="186"/>
      <c r="B189" s="187"/>
      <c r="C189" s="188"/>
      <c r="D189" s="188"/>
      <c r="G189" s="185"/>
    </row>
    <row r="190" spans="1:10" s="163" customFormat="1" x14ac:dyDescent="0.3">
      <c r="A190" s="186"/>
      <c r="B190" s="187"/>
      <c r="C190" s="188"/>
      <c r="D190" s="188"/>
      <c r="G190" s="185"/>
    </row>
    <row r="191" spans="1:10" s="163" customFormat="1" x14ac:dyDescent="0.3">
      <c r="A191" s="186"/>
      <c r="B191" s="187"/>
      <c r="C191" s="188"/>
      <c r="D191" s="188"/>
      <c r="G191" s="185"/>
    </row>
    <row r="192" spans="1:10" s="163" customFormat="1" x14ac:dyDescent="0.3">
      <c r="A192" s="186"/>
      <c r="B192" s="187"/>
      <c r="C192" s="188"/>
      <c r="D192" s="188"/>
      <c r="G192" s="185"/>
    </row>
    <row r="193" spans="1:7" s="163" customFormat="1" x14ac:dyDescent="0.3">
      <c r="A193" s="186"/>
      <c r="B193" s="187"/>
      <c r="C193" s="188"/>
      <c r="D193" s="188"/>
      <c r="G193" s="185"/>
    </row>
    <row r="194" spans="1:7" s="163" customFormat="1" x14ac:dyDescent="0.3">
      <c r="A194" s="186"/>
      <c r="B194" s="187"/>
      <c r="C194" s="188"/>
      <c r="D194" s="188"/>
      <c r="G194" s="185"/>
    </row>
    <row r="195" spans="1:7" s="163" customFormat="1" x14ac:dyDescent="0.3">
      <c r="A195" s="186"/>
      <c r="B195" s="187"/>
      <c r="C195" s="188"/>
      <c r="D195" s="188"/>
      <c r="G195" s="185"/>
    </row>
    <row r="196" spans="1:7" s="163" customFormat="1" x14ac:dyDescent="0.3">
      <c r="A196" s="186"/>
      <c r="B196" s="187"/>
      <c r="C196" s="188"/>
      <c r="D196" s="188"/>
      <c r="G196" s="185"/>
    </row>
    <row r="197" spans="1:7" s="163" customFormat="1" x14ac:dyDescent="0.3">
      <c r="A197" s="186"/>
      <c r="B197" s="187"/>
      <c r="C197" s="188"/>
      <c r="D197" s="188"/>
      <c r="G197" s="185"/>
    </row>
    <row r="198" spans="1:7" s="163" customFormat="1" x14ac:dyDescent="0.3">
      <c r="A198" s="186"/>
      <c r="B198" s="187"/>
      <c r="C198" s="188"/>
      <c r="D198" s="188"/>
      <c r="G198" s="185"/>
    </row>
    <row r="199" spans="1:7" s="163" customFormat="1" x14ac:dyDescent="0.3">
      <c r="A199" s="186"/>
      <c r="B199" s="187"/>
      <c r="C199" s="188"/>
      <c r="D199" s="188"/>
      <c r="G199" s="185"/>
    </row>
    <row r="200" spans="1:7" s="163" customFormat="1" x14ac:dyDescent="0.3">
      <c r="A200" s="186"/>
      <c r="B200" s="187"/>
      <c r="C200" s="188"/>
      <c r="D200" s="188"/>
      <c r="G200" s="185"/>
    </row>
    <row r="201" spans="1:7" s="163" customFormat="1" x14ac:dyDescent="0.3">
      <c r="A201" s="186"/>
      <c r="B201" s="187"/>
      <c r="C201" s="188"/>
      <c r="D201" s="188"/>
      <c r="G201" s="185"/>
    </row>
    <row r="202" spans="1:7" s="163" customFormat="1" x14ac:dyDescent="0.3">
      <c r="A202" s="186"/>
      <c r="B202" s="187"/>
      <c r="C202" s="188"/>
      <c r="D202" s="188"/>
      <c r="G202" s="185"/>
    </row>
    <row r="203" spans="1:7" s="163" customFormat="1" x14ac:dyDescent="0.3">
      <c r="A203" s="186"/>
      <c r="B203" s="187"/>
      <c r="C203" s="188"/>
      <c r="D203" s="188"/>
      <c r="G203" s="185"/>
    </row>
    <row r="204" spans="1:7" s="163" customFormat="1" x14ac:dyDescent="0.3">
      <c r="A204" s="186"/>
      <c r="B204" s="187"/>
      <c r="C204" s="188"/>
      <c r="D204" s="188"/>
      <c r="G204" s="18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9"/>
  </sheetPr>
  <dimension ref="B1:I37"/>
  <sheetViews>
    <sheetView zoomScale="85" zoomScaleNormal="85" workbookViewId="0"/>
  </sheetViews>
  <sheetFormatPr defaultRowHeight="14.4" x14ac:dyDescent="0.3"/>
  <cols>
    <col min="3" max="3" width="1.5546875" customWidth="1"/>
    <col min="4" max="4" width="9.5546875" customWidth="1"/>
    <col min="5" max="5" width="12.5546875" customWidth="1"/>
    <col min="6" max="6" width="17.5546875" customWidth="1"/>
    <col min="7" max="7" width="12.88671875" bestFit="1" customWidth="1"/>
    <col min="8" max="8" width="23.6640625" customWidth="1"/>
  </cols>
  <sheetData>
    <row r="1" spans="2:9" s="218" customFormat="1" ht="15" x14ac:dyDescent="0.25"/>
    <row r="2" spans="2:9" s="201" customFormat="1" ht="15" x14ac:dyDescent="0.25"/>
    <row r="3" spans="2:9" ht="15" x14ac:dyDescent="0.25">
      <c r="B3" t="s">
        <v>122</v>
      </c>
      <c r="F3" s="237">
        <f>AVERAGE($D$12:$D$28)</f>
        <v>0.84588565088549295</v>
      </c>
    </row>
    <row r="4" spans="2:9" ht="15" x14ac:dyDescent="0.25">
      <c r="B4" t="s">
        <v>123</v>
      </c>
      <c r="F4" s="208">
        <f>_xlfn.STDEV.S($F$12:$F$28)</f>
        <v>2.5030617561069286E-2</v>
      </c>
    </row>
    <row r="5" spans="2:9" ht="15" x14ac:dyDescent="0.25">
      <c r="B5" t="s">
        <v>124</v>
      </c>
      <c r="F5" s="238">
        <f>$F$4/$F$3</f>
        <v>2.9591018047021661E-2</v>
      </c>
    </row>
    <row r="6" spans="2:9" ht="15" x14ac:dyDescent="0.25">
      <c r="F6" s="236"/>
    </row>
    <row r="7" spans="2:9" ht="18.75" x14ac:dyDescent="0.3">
      <c r="B7" s="209" t="s">
        <v>104</v>
      </c>
      <c r="C7" s="210"/>
      <c r="D7" s="210"/>
      <c r="E7" s="210"/>
      <c r="F7" s="210"/>
      <c r="G7" s="210"/>
    </row>
    <row r="8" spans="2:9" ht="6" customHeight="1" thickBot="1" x14ac:dyDescent="0.3">
      <c r="B8" s="86"/>
      <c r="C8" s="86"/>
      <c r="D8" s="86"/>
      <c r="E8" s="86"/>
      <c r="F8" s="86"/>
      <c r="G8" s="86"/>
    </row>
    <row r="9" spans="2:9" ht="6" customHeight="1" thickTop="1" x14ac:dyDescent="0.25"/>
    <row r="10" spans="2:9" s="213" customFormat="1" ht="27.9" customHeight="1" x14ac:dyDescent="0.25">
      <c r="B10" s="211"/>
      <c r="C10" s="211"/>
      <c r="D10" s="211" t="s">
        <v>105</v>
      </c>
      <c r="E10" s="212" t="s">
        <v>106</v>
      </c>
      <c r="F10" s="212" t="s">
        <v>107</v>
      </c>
      <c r="G10" s="212" t="s">
        <v>108</v>
      </c>
    </row>
    <row r="11" spans="2:9" ht="6" customHeight="1" x14ac:dyDescent="0.25"/>
    <row r="12" spans="2:9" ht="15" x14ac:dyDescent="0.25">
      <c r="B12" s="216">
        <v>2001</v>
      </c>
      <c r="C12" s="216"/>
      <c r="D12" s="217">
        <v>0.64650701729548321</v>
      </c>
      <c r="E12" s="214">
        <f t="shared" ref="E12:E28" si="0">B12*$D$35+$E$35</f>
        <v>0.6442169958559063</v>
      </c>
      <c r="F12" s="214">
        <f>D12-E12</f>
        <v>2.2900214395769058E-3</v>
      </c>
      <c r="G12" s="214">
        <f>F12*E12</f>
        <v>1.4752707322498522E-3</v>
      </c>
    </row>
    <row r="13" spans="2:9" ht="15" x14ac:dyDescent="0.25">
      <c r="B13" s="216">
        <v>2002</v>
      </c>
      <c r="C13" s="216"/>
      <c r="D13" s="217">
        <v>0.6550391035249219</v>
      </c>
      <c r="E13" s="214">
        <f t="shared" si="0"/>
        <v>0.6694255777346072</v>
      </c>
      <c r="F13" s="214">
        <f t="shared" ref="F13:F28" si="1">D13-E13</f>
        <v>-1.4386474209685307E-2</v>
      </c>
      <c r="G13" s="214">
        <f t="shared" ref="G13:G28" si="2">F13*E13</f>
        <v>-9.6306738093826141E-3</v>
      </c>
    </row>
    <row r="14" spans="2:9" ht="15" x14ac:dyDescent="0.25">
      <c r="B14" s="216">
        <v>2003</v>
      </c>
      <c r="C14" s="216"/>
      <c r="D14" s="217">
        <v>0.66870030364540967</v>
      </c>
      <c r="E14" s="214">
        <f t="shared" si="0"/>
        <v>0.69463415961330099</v>
      </c>
      <c r="F14" s="214">
        <f t="shared" si="1"/>
        <v>-2.5933855967891328E-2</v>
      </c>
      <c r="G14" s="214">
        <f t="shared" si="2"/>
        <v>-1.8014542245788582E-2</v>
      </c>
    </row>
    <row r="15" spans="2:9" ht="15" x14ac:dyDescent="0.25">
      <c r="B15" s="216">
        <v>2004</v>
      </c>
      <c r="C15" s="216"/>
      <c r="D15" s="217">
        <v>0.70104721349720278</v>
      </c>
      <c r="E15" s="214">
        <f t="shared" si="0"/>
        <v>0.71984274149200189</v>
      </c>
      <c r="F15" s="214">
        <f t="shared" si="1"/>
        <v>-1.8795527994799111E-2</v>
      </c>
      <c r="G15" s="214">
        <f t="shared" si="2"/>
        <v>-1.3529824399565861E-2</v>
      </c>
    </row>
    <row r="16" spans="2:9" ht="15" x14ac:dyDescent="0.25">
      <c r="B16" s="216">
        <v>2005</v>
      </c>
      <c r="C16" s="216"/>
      <c r="D16" s="217">
        <v>0.73027236409178586</v>
      </c>
      <c r="E16" s="214">
        <f t="shared" si="0"/>
        <v>0.74505132337070279</v>
      </c>
      <c r="F16" s="214">
        <f t="shared" si="1"/>
        <v>-1.4778959278916926E-2</v>
      </c>
      <c r="G16" s="214">
        <f t="shared" si="2"/>
        <v>-1.1011083168798784E-2</v>
      </c>
      <c r="H16" s="203"/>
      <c r="I16" s="233"/>
    </row>
    <row r="17" spans="2:9" ht="15" x14ac:dyDescent="0.25">
      <c r="B17" s="216">
        <v>2006</v>
      </c>
      <c r="C17" s="216"/>
      <c r="D17" s="217">
        <v>0.76735722767558079</v>
      </c>
      <c r="E17" s="214">
        <f t="shared" si="0"/>
        <v>0.77025990524939658</v>
      </c>
      <c r="F17" s="214">
        <f t="shared" si="1"/>
        <v>-2.9026775738157928E-3</v>
      </c>
      <c r="G17" s="214">
        <f t="shared" si="2"/>
        <v>-2.235816152976901E-3</v>
      </c>
      <c r="H17" s="203"/>
      <c r="I17" s="215"/>
    </row>
    <row r="18" spans="2:9" ht="15" x14ac:dyDescent="0.25">
      <c r="B18" s="216">
        <v>2007</v>
      </c>
      <c r="C18" s="216"/>
      <c r="D18" s="217">
        <v>0.79486005032857932</v>
      </c>
      <c r="E18" s="214">
        <f t="shared" si="0"/>
        <v>0.79546848712809748</v>
      </c>
      <c r="F18" s="214">
        <f t="shared" si="1"/>
        <v>-6.0843679951816387E-4</v>
      </c>
      <c r="G18" s="214">
        <f t="shared" si="2"/>
        <v>-4.8399230042577539E-4</v>
      </c>
    </row>
    <row r="19" spans="2:9" ht="15" x14ac:dyDescent="0.25">
      <c r="B19" s="216">
        <v>2008</v>
      </c>
      <c r="C19" s="216"/>
      <c r="D19" s="217">
        <v>0.8544909202315053</v>
      </c>
      <c r="E19" s="214">
        <f t="shared" si="0"/>
        <v>0.82067706900679838</v>
      </c>
      <c r="F19" s="214">
        <f t="shared" si="1"/>
        <v>3.3813851224706926E-2</v>
      </c>
      <c r="G19" s="214">
        <f t="shared" si="2"/>
        <v>2.7750252314924419E-2</v>
      </c>
    </row>
    <row r="20" spans="2:9" ht="15" x14ac:dyDescent="0.25">
      <c r="B20" s="216">
        <v>2009</v>
      </c>
      <c r="C20" s="216"/>
      <c r="D20" s="217">
        <v>0.90369629223617565</v>
      </c>
      <c r="E20" s="214">
        <f t="shared" si="0"/>
        <v>0.84588565088549217</v>
      </c>
      <c r="F20" s="214">
        <f t="shared" si="1"/>
        <v>5.7810641350683478E-2</v>
      </c>
      <c r="G20" s="214">
        <f t="shared" si="2"/>
        <v>4.8901191987030641E-2</v>
      </c>
    </row>
    <row r="21" spans="2:9" ht="15" x14ac:dyDescent="0.25">
      <c r="B21" s="216">
        <v>2010</v>
      </c>
      <c r="C21" s="216"/>
      <c r="D21" s="217">
        <v>0.87849394549998527</v>
      </c>
      <c r="E21" s="214">
        <f t="shared" si="0"/>
        <v>0.87109423276419307</v>
      </c>
      <c r="F21" s="214">
        <f t="shared" si="1"/>
        <v>7.3997127357922077E-3</v>
      </c>
      <c r="G21" s="214">
        <f t="shared" si="2"/>
        <v>6.4458470882603411E-3</v>
      </c>
    </row>
    <row r="22" spans="2:9" ht="15" x14ac:dyDescent="0.25">
      <c r="B22" s="216">
        <v>2011</v>
      </c>
      <c r="C22" s="216"/>
      <c r="D22" s="217">
        <v>0.90431459031131789</v>
      </c>
      <c r="E22" s="214">
        <f t="shared" si="0"/>
        <v>0.89630281464289396</v>
      </c>
      <c r="F22" s="214">
        <f t="shared" si="1"/>
        <v>8.0117756684239261E-3</v>
      </c>
      <c r="G22" s="214">
        <f t="shared" si="2"/>
        <v>7.1809770818958181E-3</v>
      </c>
    </row>
    <row r="23" spans="2:9" ht="15" x14ac:dyDescent="0.25">
      <c r="B23" s="216">
        <v>2012</v>
      </c>
      <c r="C23" s="216"/>
      <c r="D23" s="217">
        <v>0.92740852235486482</v>
      </c>
      <c r="E23" s="214">
        <f t="shared" si="0"/>
        <v>0.92151139652158776</v>
      </c>
      <c r="F23" s="214">
        <f t="shared" si="1"/>
        <v>5.8971258332770615E-3</v>
      </c>
      <c r="G23" s="214">
        <f t="shared" si="2"/>
        <v>5.4342686620866771E-3</v>
      </c>
    </row>
    <row r="24" spans="2:9" ht="15" x14ac:dyDescent="0.25">
      <c r="B24" s="216">
        <v>2013</v>
      </c>
      <c r="C24" s="216"/>
      <c r="D24" s="217">
        <v>0.96438197138905457</v>
      </c>
      <c r="E24" s="214">
        <f t="shared" si="0"/>
        <v>0.94671997840028865</v>
      </c>
      <c r="F24" s="214">
        <f t="shared" si="1"/>
        <v>1.7661992988765918E-2</v>
      </c>
      <c r="G24" s="214">
        <f t="shared" si="2"/>
        <v>1.6720961620830518E-2</v>
      </c>
    </row>
    <row r="25" spans="2:9" ht="15" x14ac:dyDescent="0.25">
      <c r="B25" s="216">
        <v>2014</v>
      </c>
      <c r="C25" s="216"/>
      <c r="D25" s="217">
        <v>0.992662158446045</v>
      </c>
      <c r="E25" s="214">
        <f t="shared" si="0"/>
        <v>0.97192856027898955</v>
      </c>
      <c r="F25" s="214">
        <f t="shared" si="1"/>
        <v>2.0733598167055445E-2</v>
      </c>
      <c r="G25" s="214">
        <f t="shared" si="2"/>
        <v>2.0151576215909295E-2</v>
      </c>
    </row>
    <row r="26" spans="2:9" ht="15" x14ac:dyDescent="0.25">
      <c r="B26" s="216">
        <v>2015</v>
      </c>
      <c r="C26" s="216"/>
      <c r="D26" s="217">
        <v>0.9987167434636256</v>
      </c>
      <c r="E26" s="214">
        <f t="shared" si="0"/>
        <v>0.99713714215768334</v>
      </c>
      <c r="F26" s="214">
        <f t="shared" si="1"/>
        <v>1.5796013059422576E-3</v>
      </c>
      <c r="G26" s="214">
        <f t="shared" si="2"/>
        <v>1.5750791319558072E-3</v>
      </c>
    </row>
    <row r="27" spans="2:9" ht="15" x14ac:dyDescent="0.25">
      <c r="B27" s="216">
        <v>2016</v>
      </c>
      <c r="C27" s="216"/>
      <c r="D27" s="217">
        <v>0.99210764106184335</v>
      </c>
      <c r="E27" s="214">
        <f t="shared" si="0"/>
        <v>1.0223457240363842</v>
      </c>
      <c r="F27" s="214">
        <f t="shared" si="1"/>
        <v>-3.0238082974540892E-2</v>
      </c>
      <c r="G27" s="214">
        <f t="shared" si="2"/>
        <v>-3.0913774832079272E-2</v>
      </c>
    </row>
    <row r="28" spans="2:9" ht="15" x14ac:dyDescent="0.25">
      <c r="B28" s="216">
        <v>2017</v>
      </c>
      <c r="C28" s="216"/>
      <c r="D28" s="217">
        <v>1</v>
      </c>
      <c r="E28" s="214">
        <f t="shared" si="0"/>
        <v>1.0475543059150851</v>
      </c>
      <c r="F28" s="214">
        <f t="shared" si="1"/>
        <v>-4.7554305915085138E-2</v>
      </c>
      <c r="G28" s="214">
        <f t="shared" si="2"/>
        <v>-4.9815717926150638E-2</v>
      </c>
    </row>
    <row r="29" spans="2:9" ht="6" customHeight="1" thickBot="1" x14ac:dyDescent="0.3">
      <c r="B29" s="86"/>
      <c r="C29" s="86"/>
      <c r="D29" s="86"/>
      <c r="E29" s="86"/>
      <c r="F29" s="86"/>
      <c r="G29" s="86"/>
    </row>
    <row r="30" spans="2:9" ht="6" customHeight="1" thickTop="1" x14ac:dyDescent="0.25"/>
    <row r="31" spans="2:9" ht="15" x14ac:dyDescent="0.25">
      <c r="B31" t="s">
        <v>109</v>
      </c>
    </row>
    <row r="32" spans="2:9" ht="15" x14ac:dyDescent="0.25">
      <c r="B32" t="s">
        <v>126</v>
      </c>
    </row>
    <row r="34" spans="2:5" ht="15" x14ac:dyDescent="0.25">
      <c r="B34" s="235" t="s">
        <v>120</v>
      </c>
      <c r="D34" t="s">
        <v>118</v>
      </c>
      <c r="E34" t="s">
        <v>119</v>
      </c>
    </row>
    <row r="35" spans="2:5" ht="15" x14ac:dyDescent="0.25">
      <c r="B35" s="235" t="s">
        <v>121</v>
      </c>
      <c r="D35" s="234">
        <f t="array" ref="D35:E35">LINEST(D12:D28,B12:B28)</f>
        <v>2.5208581878698458E-2</v>
      </c>
      <c r="E35" s="234">
        <v>-49.798155343419708</v>
      </c>
    </row>
    <row r="36" spans="2:5" ht="15" x14ac:dyDescent="0.25">
      <c r="B36" s="92"/>
      <c r="D36" s="92"/>
    </row>
    <row r="37" spans="2:5" ht="15" x14ac:dyDescent="0.25">
      <c r="B37" s="92"/>
      <c r="D37" s="92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theme="9"/>
  </sheetPr>
  <dimension ref="A1:Y35"/>
  <sheetViews>
    <sheetView zoomScale="55" zoomScaleNormal="55" workbookViewId="0"/>
  </sheetViews>
  <sheetFormatPr defaultRowHeight="14.4" x14ac:dyDescent="0.3"/>
  <cols>
    <col min="2" max="2" width="23.6640625" customWidth="1"/>
    <col min="3" max="3" width="1.6640625" customWidth="1"/>
    <col min="5" max="5" width="10.6640625" customWidth="1"/>
    <col min="18" max="18" width="14.88671875" customWidth="1"/>
    <col min="19" max="19" width="21.88671875" bestFit="1" customWidth="1"/>
  </cols>
  <sheetData>
    <row r="1" spans="1:25" s="85" customFormat="1" x14ac:dyDescent="0.3">
      <c r="A1" s="85" t="s">
        <v>71</v>
      </c>
    </row>
    <row r="2" spans="1:25" s="85" customFormat="1" ht="15" x14ac:dyDescent="0.25">
      <c r="A2" s="206" t="s">
        <v>103</v>
      </c>
    </row>
    <row r="3" spans="1:25" s="85" customFormat="1" ht="15" x14ac:dyDescent="0.25">
      <c r="A3" s="206" t="s">
        <v>102</v>
      </c>
    </row>
    <row r="4" spans="1:25" s="201" customFormat="1" ht="15" x14ac:dyDescent="0.25">
      <c r="A4" s="207"/>
    </row>
    <row r="5" spans="1:25" s="189" customFormat="1" ht="18.75" x14ac:dyDescent="0.3">
      <c r="B5" s="190" t="s">
        <v>101</v>
      </c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S5"/>
      <c r="T5"/>
    </row>
    <row r="6" spans="1:25" s="189" customFormat="1" ht="6" customHeight="1" thickBot="1" x14ac:dyDescent="0.35">
      <c r="B6" s="191"/>
      <c r="C6" s="191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S6"/>
      <c r="T6"/>
    </row>
    <row r="7" spans="1:25" s="189" customFormat="1" ht="6" customHeight="1" thickTop="1" x14ac:dyDescent="0.3"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S7"/>
      <c r="T7"/>
    </row>
    <row r="8" spans="1:25" s="193" customFormat="1" ht="15" x14ac:dyDescent="0.25">
      <c r="B8" s="193" t="s">
        <v>100</v>
      </c>
      <c r="D8" s="205">
        <v>2003</v>
      </c>
      <c r="E8" s="205">
        <v>2004</v>
      </c>
      <c r="F8" s="205">
        <v>2005</v>
      </c>
      <c r="G8" s="205">
        <v>2006</v>
      </c>
      <c r="H8" s="205">
        <v>2007</v>
      </c>
      <c r="I8" s="205">
        <v>2008</v>
      </c>
      <c r="J8" s="205">
        <v>2009</v>
      </c>
      <c r="K8" s="205">
        <v>2010</v>
      </c>
      <c r="L8" s="205">
        <v>2011</v>
      </c>
      <c r="M8" s="205">
        <v>2012</v>
      </c>
      <c r="N8" s="205">
        <v>2013</v>
      </c>
      <c r="O8" s="205">
        <v>2014</v>
      </c>
      <c r="P8" s="205">
        <v>2015</v>
      </c>
      <c r="Q8" s="205">
        <v>2016</v>
      </c>
      <c r="S8"/>
      <c r="T8"/>
      <c r="U8" s="194"/>
      <c r="V8" s="194"/>
    </row>
    <row r="9" spans="1:25" s="103" customFormat="1" ht="15" x14ac:dyDescent="0.25">
      <c r="B9" s="101"/>
      <c r="C9" s="101"/>
      <c r="D9" s="102" t="s">
        <v>2</v>
      </c>
      <c r="E9" s="102" t="s">
        <v>2</v>
      </c>
      <c r="F9" s="102" t="s">
        <v>2</v>
      </c>
      <c r="G9" s="102" t="s">
        <v>2</v>
      </c>
      <c r="H9" s="102" t="s">
        <v>2</v>
      </c>
      <c r="I9" s="102" t="s">
        <v>2</v>
      </c>
      <c r="J9" s="102" t="s">
        <v>2</v>
      </c>
      <c r="K9" s="102" t="s">
        <v>2</v>
      </c>
      <c r="L9" s="102" t="s">
        <v>2</v>
      </c>
      <c r="M9" s="102" t="s">
        <v>2</v>
      </c>
      <c r="N9" s="102" t="s">
        <v>2</v>
      </c>
      <c r="O9" s="102" t="s">
        <v>2</v>
      </c>
      <c r="P9" s="102" t="s">
        <v>2</v>
      </c>
      <c r="Q9" s="102" t="s">
        <v>2</v>
      </c>
      <c r="W9" s="104"/>
      <c r="X9" s="104"/>
      <c r="Y9" s="104"/>
    </row>
    <row r="10" spans="1:25" s="103" customFormat="1" ht="6" customHeight="1" x14ac:dyDescent="0.25">
      <c r="U10" s="104"/>
      <c r="V10" s="104"/>
      <c r="W10" s="104"/>
      <c r="X10" s="104"/>
      <c r="Y10" s="104"/>
    </row>
    <row r="11" spans="1:25" s="195" customFormat="1" x14ac:dyDescent="0.3">
      <c r="B11" s="195" t="s">
        <v>87</v>
      </c>
      <c r="D11" s="204">
        <v>0.38926759689208879</v>
      </c>
      <c r="E11" s="204">
        <v>0.40271366627687849</v>
      </c>
      <c r="F11" s="204">
        <v>-0.14820240445731855</v>
      </c>
      <c r="G11" s="204">
        <v>-0.19406054266520861</v>
      </c>
      <c r="H11" s="204">
        <v>0.1174874807769592</v>
      </c>
      <c r="I11" s="204">
        <v>-0.89828658549560447</v>
      </c>
      <c r="J11" s="204">
        <v>0.59094762653366906</v>
      </c>
      <c r="K11" s="204">
        <v>-0.50799874866535244</v>
      </c>
      <c r="L11" s="204">
        <v>-0.45020333523526923</v>
      </c>
      <c r="M11" s="204">
        <v>0.12683128093756488</v>
      </c>
      <c r="N11" s="204">
        <v>0.39438100524647085</v>
      </c>
      <c r="O11" s="204">
        <v>-0.54316425978584904</v>
      </c>
      <c r="P11" s="204">
        <v>0.36493064024995936</v>
      </c>
      <c r="Q11" s="204">
        <v>0.35535657939101578</v>
      </c>
      <c r="S11" s="196"/>
      <c r="T11" s="196"/>
      <c r="U11" s="197"/>
      <c r="V11" s="197"/>
      <c r="W11" s="198"/>
      <c r="X11" s="198"/>
      <c r="Y11" s="197"/>
    </row>
    <row r="12" spans="1:25" s="193" customFormat="1" x14ac:dyDescent="0.3">
      <c r="B12" s="193" t="s">
        <v>88</v>
      </c>
      <c r="D12" s="204">
        <v>6.3295326294357412E-2</v>
      </c>
      <c r="E12" s="204">
        <v>0.24152852786716433</v>
      </c>
      <c r="F12" s="204">
        <v>-0.1019091407821978</v>
      </c>
      <c r="G12" s="204">
        <v>-7.5532592039679256E-2</v>
      </c>
      <c r="H12" s="204">
        <v>0.17674384000419402</v>
      </c>
      <c r="I12" s="204">
        <v>-0.51114874004607525</v>
      </c>
      <c r="J12" s="204">
        <v>0.54921918942004355</v>
      </c>
      <c r="K12" s="204">
        <v>-0.37025310734479033</v>
      </c>
      <c r="L12" s="204">
        <v>-0.20473931949549271</v>
      </c>
      <c r="M12" s="204">
        <v>5.4879730614828336E-2</v>
      </c>
      <c r="N12" s="204">
        <v>0.46367206531980604</v>
      </c>
      <c r="O12" s="204">
        <v>-0.94005434811958533</v>
      </c>
      <c r="P12" s="204">
        <v>0.32389474652823164</v>
      </c>
      <c r="Q12" s="204">
        <v>0.33040382177959127</v>
      </c>
      <c r="S12" s="196"/>
      <c r="T12" s="196"/>
      <c r="V12" s="194"/>
      <c r="W12" s="199"/>
      <c r="X12" s="200"/>
      <c r="Y12" s="194"/>
    </row>
    <row r="13" spans="1:25" s="193" customFormat="1" x14ac:dyDescent="0.3">
      <c r="B13" s="193" t="s">
        <v>89</v>
      </c>
      <c r="D13" s="204">
        <v>0.2624892169846626</v>
      </c>
      <c r="E13" s="204">
        <v>6.7567257449210688E-2</v>
      </c>
      <c r="F13" s="204">
        <v>-0.10600502109084645</v>
      </c>
      <c r="G13" s="204">
        <v>0.18910801536122404</v>
      </c>
      <c r="H13" s="204">
        <v>9.1917806490306148E-2</v>
      </c>
      <c r="I13" s="204">
        <v>-0.59850125182551317</v>
      </c>
      <c r="J13" s="204">
        <v>0.24871456793355573</v>
      </c>
      <c r="K13" s="204">
        <v>-0.26398285872251182</v>
      </c>
      <c r="L13" s="204">
        <v>-0.26059236007394654</v>
      </c>
      <c r="M13" s="204">
        <v>8.6039480272661589E-2</v>
      </c>
      <c r="N13" s="204">
        <v>0.20150572984997933</v>
      </c>
      <c r="O13" s="204">
        <v>-0.40544456951927149</v>
      </c>
      <c r="P13" s="204">
        <v>2.0628929955755326E-2</v>
      </c>
      <c r="Q13" s="204">
        <v>0.46655505693482197</v>
      </c>
      <c r="S13" s="196"/>
      <c r="T13" s="196"/>
      <c r="V13" s="194"/>
      <c r="W13" s="199"/>
      <c r="X13" s="200"/>
      <c r="Y13" s="194"/>
    </row>
    <row r="14" spans="1:25" s="193" customFormat="1" x14ac:dyDescent="0.3">
      <c r="B14" s="193" t="s">
        <v>90</v>
      </c>
      <c r="D14" s="204">
        <v>0.12817636732699417</v>
      </c>
      <c r="E14" s="204">
        <v>0.27852229181368304</v>
      </c>
      <c r="F14" s="204">
        <v>-0.21305813694419248</v>
      </c>
      <c r="G14" s="204">
        <v>3.6400595081351968E-2</v>
      </c>
      <c r="H14" s="204">
        <v>0.21061267375351045</v>
      </c>
      <c r="I14" s="204">
        <v>-0.38525431726321668</v>
      </c>
      <c r="J14" s="204">
        <v>0.23459243444199024</v>
      </c>
      <c r="K14" s="204">
        <v>-0.31933107407277223</v>
      </c>
      <c r="L14" s="204">
        <v>-0.36064115069322877</v>
      </c>
      <c r="M14" s="204">
        <v>1.7495221839800075E-2</v>
      </c>
      <c r="N14" s="204">
        <v>0.32608491438120235</v>
      </c>
      <c r="O14" s="204">
        <v>-0.40886497138209488</v>
      </c>
      <c r="P14" s="204">
        <v>4.1332219512408373E-3</v>
      </c>
      <c r="Q14" s="204">
        <v>0.45113192976564237</v>
      </c>
      <c r="S14" s="196"/>
      <c r="T14" s="196"/>
      <c r="V14" s="194"/>
      <c r="W14" s="199"/>
      <c r="X14" s="200"/>
      <c r="Y14" s="194"/>
    </row>
    <row r="15" spans="1:25" s="193" customFormat="1" x14ac:dyDescent="0.3">
      <c r="B15" s="193" t="s">
        <v>9</v>
      </c>
      <c r="D15" s="204">
        <v>0.32884909888970226</v>
      </c>
      <c r="E15" s="204">
        <v>-1.3834494561917507E-2</v>
      </c>
      <c r="F15" s="204">
        <v>-0.13820132275373764</v>
      </c>
      <c r="G15" s="204">
        <v>0.11409652813172359</v>
      </c>
      <c r="H15" s="204">
        <v>0.26745235946770973</v>
      </c>
      <c r="I15" s="204">
        <v>-0.50957669353203783</v>
      </c>
      <c r="J15" s="204">
        <v>0.25362218808681652</v>
      </c>
      <c r="K15" s="204">
        <v>-0.36396335038884298</v>
      </c>
      <c r="L15" s="204">
        <v>-0.25404950253390318</v>
      </c>
      <c r="M15" s="204">
        <v>-3.948401089176822E-4</v>
      </c>
      <c r="N15" s="204">
        <v>0.14500782755194111</v>
      </c>
      <c r="O15" s="204">
        <v>-0.54106173329149621</v>
      </c>
      <c r="P15" s="204">
        <v>0.26711887395536238</v>
      </c>
      <c r="Q15" s="204">
        <v>0.444935061087599</v>
      </c>
      <c r="S15" s="196"/>
      <c r="T15" s="196"/>
      <c r="V15" s="194"/>
      <c r="W15" s="199"/>
      <c r="X15" s="200"/>
      <c r="Y15" s="194"/>
    </row>
    <row r="16" spans="1:25" s="193" customFormat="1" x14ac:dyDescent="0.3">
      <c r="B16" s="193" t="s">
        <v>91</v>
      </c>
      <c r="D16" s="204">
        <v>0.22012537175526745</v>
      </c>
      <c r="E16" s="204">
        <v>0.10001125752302542</v>
      </c>
      <c r="F16" s="204">
        <v>-9.5010059238818709E-2</v>
      </c>
      <c r="G16" s="204">
        <v>4.1432702173953763E-2</v>
      </c>
      <c r="H16" s="204">
        <v>0.1770646244387418</v>
      </c>
      <c r="I16" s="204">
        <v>-0.48693207803375055</v>
      </c>
      <c r="J16" s="204">
        <v>0.27739347116396273</v>
      </c>
      <c r="K16" s="204">
        <v>-0.3320864233495967</v>
      </c>
      <c r="L16" s="204">
        <v>-8.4932991553278769E-2</v>
      </c>
      <c r="M16" s="204">
        <v>3.2174005784870868E-2</v>
      </c>
      <c r="N16" s="204">
        <v>5.030057087896158E-2</v>
      </c>
      <c r="O16" s="204">
        <v>-0.5890072407484902</v>
      </c>
      <c r="P16" s="204">
        <v>0.24473965655121188</v>
      </c>
      <c r="Q16" s="204">
        <v>0.4447271326539976</v>
      </c>
      <c r="S16" s="196"/>
      <c r="T16" s="196"/>
      <c r="V16" s="194"/>
      <c r="W16" s="199"/>
      <c r="X16" s="200"/>
      <c r="Y16" s="194"/>
    </row>
    <row r="17" spans="2:25" s="195" customFormat="1" x14ac:dyDescent="0.3">
      <c r="B17" s="195" t="s">
        <v>15</v>
      </c>
      <c r="D17" s="204">
        <v>0.11582714236332053</v>
      </c>
      <c r="E17" s="204">
        <v>0.13371230158313818</v>
      </c>
      <c r="F17" s="204">
        <v>-0.13121076434089363</v>
      </c>
      <c r="G17" s="204">
        <v>-7.6400680962999679E-2</v>
      </c>
      <c r="H17" s="204">
        <v>0.1810483932692597</v>
      </c>
      <c r="I17" s="204">
        <v>-0.47923376053643668</v>
      </c>
      <c r="J17" s="204">
        <v>0.26861573174981412</v>
      </c>
      <c r="K17" s="204">
        <v>-0.22668925600946685</v>
      </c>
      <c r="L17" s="204">
        <v>-2.4557175980552584E-2</v>
      </c>
      <c r="M17" s="204">
        <v>0.13636827549702249</v>
      </c>
      <c r="N17" s="204">
        <v>0.38312146571184974</v>
      </c>
      <c r="O17" s="204">
        <v>-0.40556060222504164</v>
      </c>
      <c r="P17" s="204">
        <v>2.0354291564582641E-2</v>
      </c>
      <c r="Q17" s="204">
        <v>0.10460463831642948</v>
      </c>
      <c r="S17" s="196"/>
      <c r="T17" s="196"/>
      <c r="V17" s="197"/>
      <c r="W17" s="200"/>
      <c r="X17" s="200"/>
      <c r="Y17" s="197"/>
    </row>
    <row r="18" spans="2:25" s="193" customFormat="1" x14ac:dyDescent="0.3">
      <c r="B18" s="193" t="s">
        <v>10</v>
      </c>
      <c r="D18" s="204">
        <v>0.21951528650375593</v>
      </c>
      <c r="E18" s="204">
        <v>0.20366978378083486</v>
      </c>
      <c r="F18" s="204">
        <v>-0.16437769410516367</v>
      </c>
      <c r="G18" s="204">
        <v>-0.14448069956496859</v>
      </c>
      <c r="H18" s="204">
        <v>0.17788997972893583</v>
      </c>
      <c r="I18" s="204">
        <v>-0.5411048149249531</v>
      </c>
      <c r="J18" s="204">
        <v>0.24404634506118189</v>
      </c>
      <c r="K18" s="204">
        <v>-0.25733997124075741</v>
      </c>
      <c r="L18" s="204">
        <v>-1.3841542095122073E-2</v>
      </c>
      <c r="M18" s="204">
        <v>0.10761230226932628</v>
      </c>
      <c r="N18" s="204">
        <v>0.30914114096345524</v>
      </c>
      <c r="O18" s="204">
        <v>-0.42420556475129073</v>
      </c>
      <c r="P18" s="204">
        <v>7.8515822755422376E-2</v>
      </c>
      <c r="Q18" s="204">
        <v>0.20495962561959907</v>
      </c>
      <c r="S18" s="196"/>
      <c r="T18" s="196"/>
      <c r="V18" s="194"/>
      <c r="W18" s="194"/>
      <c r="X18" s="194"/>
      <c r="Y18" s="194"/>
    </row>
    <row r="19" spans="2:25" s="193" customFormat="1" x14ac:dyDescent="0.3">
      <c r="B19" s="193" t="s">
        <v>92</v>
      </c>
      <c r="D19" s="204" t="s">
        <v>99</v>
      </c>
      <c r="E19" s="204" t="s">
        <v>99</v>
      </c>
      <c r="F19" s="204">
        <v>-0.13015623427235912</v>
      </c>
      <c r="G19" s="204">
        <v>-8.4059584002072023E-3</v>
      </c>
      <c r="H19" s="204">
        <v>0.10641939684778143</v>
      </c>
      <c r="I19" s="204">
        <v>8.0511586007452174E-2</v>
      </c>
      <c r="J19" s="204">
        <v>0.23706891088672155</v>
      </c>
      <c r="K19" s="204">
        <v>4.5582434556789959E-2</v>
      </c>
      <c r="L19" s="204">
        <v>-0.22704800058434768</v>
      </c>
      <c r="M19" s="204">
        <v>-0.16638893524052539</v>
      </c>
      <c r="N19" s="204">
        <v>0.32780767435872538</v>
      </c>
      <c r="O19" s="204">
        <v>-0.52691678329177816</v>
      </c>
      <c r="P19" s="204">
        <v>-0.14785979484815634</v>
      </c>
      <c r="Q19" s="204">
        <v>0.40938570397990598</v>
      </c>
      <c r="S19" s="196"/>
      <c r="T19" s="196"/>
    </row>
    <row r="20" spans="2:25" s="193" customFormat="1" x14ac:dyDescent="0.3">
      <c r="B20" s="193" t="s">
        <v>93</v>
      </c>
      <c r="D20" s="204">
        <v>-3.6041119965044062E-2</v>
      </c>
      <c r="E20" s="204">
        <v>0.12875843594505729</v>
      </c>
      <c r="F20" s="204">
        <v>-9.8966428730153211E-2</v>
      </c>
      <c r="G20" s="204">
        <v>5.955746101981714E-2</v>
      </c>
      <c r="H20" s="204">
        <v>0.27037171768984164</v>
      </c>
      <c r="I20" s="204">
        <v>-0.14595445967490692</v>
      </c>
      <c r="J20" s="204">
        <v>0.13038857781094729</v>
      </c>
      <c r="K20" s="204">
        <v>-0.25161970265039463</v>
      </c>
      <c r="L20" s="204">
        <v>-0.25839040577841099</v>
      </c>
      <c r="M20" s="204">
        <v>1.8960218161717269E-2</v>
      </c>
      <c r="N20" s="204">
        <v>0.35400665473666926</v>
      </c>
      <c r="O20" s="204">
        <v>-0.4636208670603188</v>
      </c>
      <c r="P20" s="204">
        <v>-0.17088925038906677</v>
      </c>
      <c r="Q20" s="204">
        <v>0.46343916888430164</v>
      </c>
      <c r="S20" s="196"/>
      <c r="T20" s="196"/>
    </row>
    <row r="21" spans="2:25" s="193" customFormat="1" x14ac:dyDescent="0.3">
      <c r="B21" s="193" t="s">
        <v>8</v>
      </c>
      <c r="D21" s="204" t="s">
        <v>99</v>
      </c>
      <c r="E21" s="204" t="s">
        <v>99</v>
      </c>
      <c r="F21" s="204" t="s">
        <v>99</v>
      </c>
      <c r="G21" s="204" t="s">
        <v>99</v>
      </c>
      <c r="H21" s="204" t="s">
        <v>99</v>
      </c>
      <c r="I21" s="204" t="s">
        <v>99</v>
      </c>
      <c r="J21" s="204" t="s">
        <v>99</v>
      </c>
      <c r="K21" s="204" t="s">
        <v>99</v>
      </c>
      <c r="L21" s="204" t="s">
        <v>99</v>
      </c>
      <c r="M21" s="204">
        <v>4.8941823352735669E-2</v>
      </c>
      <c r="N21" s="204">
        <v>0.22931700758128407</v>
      </c>
      <c r="O21" s="204">
        <v>-0.39053643343278155</v>
      </c>
      <c r="P21" s="204">
        <v>-0.10264544928932207</v>
      </c>
      <c r="Q21" s="204">
        <v>0.21492305178803503</v>
      </c>
      <c r="S21" s="196"/>
      <c r="T21" s="196"/>
    </row>
    <row r="22" spans="2:25" s="195" customFormat="1" ht="14.25" customHeight="1" x14ac:dyDescent="0.3">
      <c r="B22" s="195" t="s">
        <v>16</v>
      </c>
      <c r="D22" s="204" t="s">
        <v>99</v>
      </c>
      <c r="E22" s="204">
        <v>0.13941580881103866</v>
      </c>
      <c r="F22" s="204">
        <v>-0.16478087839108571</v>
      </c>
      <c r="G22" s="204">
        <v>-0.11022476658490007</v>
      </c>
      <c r="H22" s="204">
        <v>1.7292932218241297E-2</v>
      </c>
      <c r="I22" s="204">
        <v>-9.0423980904034265E-2</v>
      </c>
      <c r="J22" s="204">
        <v>0.34948532012778821</v>
      </c>
      <c r="K22" s="204">
        <v>4.4826092346716216E-2</v>
      </c>
      <c r="L22" s="204">
        <v>-5.0839709449127982E-2</v>
      </c>
      <c r="M22" s="204">
        <v>-0.28921486003422708</v>
      </c>
      <c r="N22" s="204">
        <v>0.34316009138532394</v>
      </c>
      <c r="O22" s="204">
        <v>-0.22763647214969851</v>
      </c>
      <c r="P22" s="204">
        <v>-6.8900057762241493E-2</v>
      </c>
      <c r="Q22" s="204">
        <v>0.10784048038621045</v>
      </c>
      <c r="S22" s="196"/>
      <c r="T22" s="196"/>
    </row>
    <row r="23" spans="2:25" s="193" customFormat="1" x14ac:dyDescent="0.3">
      <c r="B23" s="193" t="s">
        <v>94</v>
      </c>
      <c r="D23" s="204" t="s">
        <v>99</v>
      </c>
      <c r="E23" s="204" t="s">
        <v>99</v>
      </c>
      <c r="F23" s="204">
        <v>-0.12376309559965708</v>
      </c>
      <c r="G23" s="204">
        <v>-2.0862257642294277E-3</v>
      </c>
      <c r="H23" s="204">
        <v>8.1296212906916326E-2</v>
      </c>
      <c r="I23" s="204">
        <v>6.0913037334038633E-2</v>
      </c>
      <c r="J23" s="204">
        <v>0.27665899652733439</v>
      </c>
      <c r="K23" s="204">
        <v>7.5075271302187829E-2</v>
      </c>
      <c r="L23" s="204">
        <v>-0.20252420058180284</v>
      </c>
      <c r="M23" s="204">
        <v>-0.22280450391428774</v>
      </c>
      <c r="N23" s="204">
        <v>0.30937716283858241</v>
      </c>
      <c r="O23" s="204">
        <v>-0.55298130284113889</v>
      </c>
      <c r="P23" s="204">
        <v>-0.14210837336813784</v>
      </c>
      <c r="Q23" s="204">
        <v>0.44294702116014939</v>
      </c>
      <c r="S23" s="196"/>
      <c r="T23" s="196"/>
    </row>
    <row r="24" spans="2:25" s="193" customFormat="1" x14ac:dyDescent="0.3">
      <c r="B24" s="193" t="s">
        <v>18</v>
      </c>
      <c r="D24" s="204" t="s">
        <v>99</v>
      </c>
      <c r="E24" s="204" t="s">
        <v>99</v>
      </c>
      <c r="F24" s="204" t="s">
        <v>99</v>
      </c>
      <c r="G24" s="204" t="s">
        <v>99</v>
      </c>
      <c r="H24" s="204" t="s">
        <v>99</v>
      </c>
      <c r="I24" s="204" t="s">
        <v>99</v>
      </c>
      <c r="J24" s="204" t="s">
        <v>99</v>
      </c>
      <c r="K24" s="204" t="s">
        <v>99</v>
      </c>
      <c r="L24" s="204" t="s">
        <v>99</v>
      </c>
      <c r="M24" s="204">
        <v>-3.4613350643311051E-2</v>
      </c>
      <c r="N24" s="204">
        <v>0.30754830800449168</v>
      </c>
      <c r="O24" s="204">
        <v>-0.30521578000110744</v>
      </c>
      <c r="P24" s="204">
        <v>-0.17375996143796446</v>
      </c>
      <c r="Q24" s="204">
        <v>0.20604078407789975</v>
      </c>
      <c r="S24" s="196"/>
      <c r="T24" s="196"/>
    </row>
    <row r="25" spans="2:25" s="193" customFormat="1" x14ac:dyDescent="0.3">
      <c r="B25" s="193" t="s">
        <v>95</v>
      </c>
      <c r="D25" s="204" t="s">
        <v>99</v>
      </c>
      <c r="E25" s="204" t="s">
        <v>99</v>
      </c>
      <c r="F25" s="204">
        <v>-8.2022096029654809E-2</v>
      </c>
      <c r="G25" s="204">
        <v>5.6826160152521822E-2</v>
      </c>
      <c r="H25" s="204">
        <v>0.15164583550389521</v>
      </c>
      <c r="I25" s="204">
        <v>7.1507621994965687E-2</v>
      </c>
      <c r="J25" s="204">
        <v>0.24373348931604119</v>
      </c>
      <c r="K25" s="204">
        <v>-0.12264700755723182</v>
      </c>
      <c r="L25" s="204">
        <v>-0.33222786300781199</v>
      </c>
      <c r="M25" s="204">
        <v>-0.26216128234690489</v>
      </c>
      <c r="N25" s="204">
        <v>0.31611882912689981</v>
      </c>
      <c r="O25" s="204">
        <v>-0.36525313960309619</v>
      </c>
      <c r="P25" s="204">
        <v>-8.1210184309211772E-2</v>
      </c>
      <c r="Q25" s="204">
        <v>0.40568963675985475</v>
      </c>
    </row>
    <row r="26" spans="2:25" s="195" customFormat="1" x14ac:dyDescent="0.3">
      <c r="B26" s="195" t="s">
        <v>96</v>
      </c>
      <c r="D26" s="204">
        <v>0.14522226659226484</v>
      </c>
      <c r="E26" s="204">
        <v>0.2997776522848814</v>
      </c>
      <c r="F26" s="204">
        <v>-0.18392221315962182</v>
      </c>
      <c r="G26" s="204">
        <v>-6.2810581846896307E-2</v>
      </c>
      <c r="H26" s="204">
        <v>0.18265421819495342</v>
      </c>
      <c r="I26" s="204">
        <v>-0.41585297461780774</v>
      </c>
      <c r="J26" s="204">
        <v>0.24596525051373944</v>
      </c>
      <c r="K26" s="204">
        <v>-0.32216303296777521</v>
      </c>
      <c r="L26" s="204">
        <v>-0.23837509933672302</v>
      </c>
      <c r="M26" s="204">
        <v>3.5495503000595223E-2</v>
      </c>
      <c r="N26" s="204">
        <v>0.28342518166321962</v>
      </c>
      <c r="O26" s="204">
        <v>-0.37469572453730271</v>
      </c>
      <c r="P26" s="204">
        <v>9.1955362731996962E-3</v>
      </c>
      <c r="Q26" s="204">
        <v>0.39608401794355486</v>
      </c>
    </row>
    <row r="27" spans="2:25" s="193" customFormat="1" x14ac:dyDescent="0.3">
      <c r="B27" s="193" t="s">
        <v>97</v>
      </c>
      <c r="D27" s="204">
        <v>-0.17138184031627332</v>
      </c>
      <c r="E27" s="204">
        <v>-5.2380147698278867E-2</v>
      </c>
      <c r="F27" s="204">
        <v>-0.28541709133951659</v>
      </c>
      <c r="G27" s="204">
        <v>0.15750246054483696</v>
      </c>
      <c r="H27" s="204">
        <v>0.27273187849138847</v>
      </c>
      <c r="I27" s="204">
        <v>1.5266833980261548E-2</v>
      </c>
      <c r="J27" s="204">
        <v>0.31763477543712398</v>
      </c>
      <c r="K27" s="204">
        <v>4.0031223366888649E-2</v>
      </c>
      <c r="L27" s="204">
        <v>-1.8354599641182107E-2</v>
      </c>
      <c r="M27" s="204">
        <v>0.17073735589157696</v>
      </c>
      <c r="N27" s="204">
        <v>0.31719112212800477</v>
      </c>
      <c r="O27" s="204">
        <v>-0.88996596633262581</v>
      </c>
      <c r="P27" s="204">
        <v>-0.38208110982339916</v>
      </c>
      <c r="Q27" s="204">
        <v>0.50848510531186508</v>
      </c>
    </row>
    <row r="28" spans="2:25" s="193" customFormat="1" x14ac:dyDescent="0.3">
      <c r="B28" s="193" t="s">
        <v>17</v>
      </c>
      <c r="D28" s="204">
        <v>9.9583206933156726E-2</v>
      </c>
      <c r="E28" s="204">
        <v>0.31988854232985781</v>
      </c>
      <c r="F28" s="204">
        <v>-0.20241206159498434</v>
      </c>
      <c r="G28" s="204">
        <v>-1.0640788349073409E-2</v>
      </c>
      <c r="H28" s="204">
        <v>0.1548140475104218</v>
      </c>
      <c r="I28" s="204">
        <v>-0.38537537226483515</v>
      </c>
      <c r="J28" s="204">
        <v>0.23816063902567353</v>
      </c>
      <c r="K28" s="204">
        <v>-0.24620102278641537</v>
      </c>
      <c r="L28" s="204">
        <v>-0.29990906814868423</v>
      </c>
      <c r="M28" s="204">
        <v>5.3380125149891683E-2</v>
      </c>
      <c r="N28" s="204">
        <v>0.29293466423914449</v>
      </c>
      <c r="O28" s="204">
        <v>-0.43324798264566428</v>
      </c>
      <c r="P28" s="204">
        <v>-2.6828610272219541E-2</v>
      </c>
      <c r="Q28" s="204">
        <v>0.44585368087376132</v>
      </c>
    </row>
    <row r="29" spans="2:25" s="195" customFormat="1" x14ac:dyDescent="0.3">
      <c r="B29" s="195" t="s">
        <v>98</v>
      </c>
      <c r="D29" s="204" t="s">
        <v>99</v>
      </c>
      <c r="E29" s="204" t="s">
        <v>99</v>
      </c>
      <c r="F29" s="204">
        <v>0.20822509911236817</v>
      </c>
      <c r="G29" s="204">
        <v>1.9916911234409296E-2</v>
      </c>
      <c r="H29" s="204">
        <v>0.21793047965064141</v>
      </c>
      <c r="I29" s="204">
        <v>-0.385512520641215</v>
      </c>
      <c r="J29" s="204">
        <v>0.17927882378672311</v>
      </c>
      <c r="K29" s="204">
        <v>-0.39146890074902546</v>
      </c>
      <c r="L29" s="204">
        <v>-0.16079369163993315</v>
      </c>
      <c r="M29" s="204">
        <v>-1.0583575124121402E-2</v>
      </c>
      <c r="N29" s="204">
        <v>0.23666999731261493</v>
      </c>
      <c r="O29" s="204">
        <v>-4.6933955437155034E-2</v>
      </c>
      <c r="P29" s="204">
        <v>-4.2897038686391012E-2</v>
      </c>
      <c r="Q29" s="204">
        <v>0.17616837118110124</v>
      </c>
    </row>
    <row r="30" spans="2:25" s="195" customFormat="1" x14ac:dyDescent="0.3">
      <c r="B30" s="195" t="s">
        <v>36</v>
      </c>
      <c r="D30" s="204" t="s">
        <v>99</v>
      </c>
      <c r="E30" s="204" t="s">
        <v>99</v>
      </c>
      <c r="F30" s="204" t="s">
        <v>99</v>
      </c>
      <c r="G30" s="204" t="s">
        <v>99</v>
      </c>
      <c r="H30" s="204" t="s">
        <v>99</v>
      </c>
      <c r="I30" s="204" t="s">
        <v>99</v>
      </c>
      <c r="J30" s="204">
        <v>0.24140967322322843</v>
      </c>
      <c r="K30" s="204">
        <v>-0.15061701928823629</v>
      </c>
      <c r="L30" s="204">
        <v>-0.14395196780102379</v>
      </c>
      <c r="M30" s="204">
        <v>-5.0304560779735101E-2</v>
      </c>
      <c r="N30" s="204">
        <v>0.26069343528987871</v>
      </c>
      <c r="O30" s="204">
        <v>-0.29924777807733671</v>
      </c>
      <c r="P30" s="204">
        <v>-4.8772264423581124E-2</v>
      </c>
      <c r="Q30" s="204">
        <v>0.19079048185697645</v>
      </c>
    </row>
    <row r="31" spans="2:25" s="195" customFormat="1" ht="6" customHeight="1" x14ac:dyDescent="0.3">
      <c r="D31" s="196" t="s">
        <v>99</v>
      </c>
      <c r="E31" s="196" t="s">
        <v>99</v>
      </c>
      <c r="F31" s="196" t="s">
        <v>99</v>
      </c>
      <c r="G31" s="196" t="s">
        <v>99</v>
      </c>
      <c r="H31" s="196" t="s">
        <v>99</v>
      </c>
      <c r="I31" s="196" t="s">
        <v>99</v>
      </c>
      <c r="J31" s="196" t="s">
        <v>99</v>
      </c>
      <c r="K31" s="196" t="s">
        <v>99</v>
      </c>
      <c r="L31" s="196" t="s">
        <v>99</v>
      </c>
      <c r="M31" s="196" t="s">
        <v>99</v>
      </c>
      <c r="N31" s="196" t="s">
        <v>99</v>
      </c>
      <c r="O31" s="196" t="s">
        <v>99</v>
      </c>
      <c r="P31" s="196" t="s">
        <v>99</v>
      </c>
      <c r="Q31" s="196" t="s">
        <v>99</v>
      </c>
    </row>
    <row r="32" spans="2:25" ht="6" customHeight="1" thickBot="1" x14ac:dyDescent="0.35"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</row>
    <row r="33" spans="4:17" ht="6" customHeight="1" thickTop="1" x14ac:dyDescent="0.3"/>
    <row r="34" spans="4:17" ht="15" x14ac:dyDescent="0.25">
      <c r="D34" s="202"/>
    </row>
    <row r="35" spans="4:17" ht="15" x14ac:dyDescent="0.25">
      <c r="K35" s="201"/>
      <c r="L35" s="201"/>
      <c r="M35" s="241"/>
      <c r="N35" s="241"/>
      <c r="O35" s="241"/>
      <c r="P35" s="239" t="s">
        <v>127</v>
      </c>
      <c r="Q35" s="240">
        <f>_xlfn.STDEV.S(D11:Q30)</f>
        <v>0.28391387789566447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tabColor theme="9"/>
  </sheetPr>
  <dimension ref="A1:DD29"/>
  <sheetViews>
    <sheetView zoomScale="85" zoomScaleNormal="85" workbookViewId="0"/>
  </sheetViews>
  <sheetFormatPr defaultRowHeight="14.4" customHeight="1" outlineLevelCol="1" x14ac:dyDescent="0.3"/>
  <cols>
    <col min="2" max="2" width="20.5546875" bestFit="1" customWidth="1"/>
    <col min="3" max="7" width="7.6640625" customWidth="1"/>
    <col min="8" max="16" width="7.6640625" bestFit="1" customWidth="1"/>
    <col min="17" max="17" width="1.6640625" customWidth="1"/>
    <col min="18" max="18" width="8.5546875" customWidth="1"/>
    <col min="19" max="19" width="11.44140625" customWidth="1"/>
    <col min="21" max="21" width="20.5546875" bestFit="1" customWidth="1"/>
    <col min="22" max="26" width="7.6640625" customWidth="1"/>
    <col min="27" max="35" width="7.6640625" bestFit="1" customWidth="1"/>
    <col min="36" max="36" width="1.6640625" customWidth="1"/>
    <col min="37" max="37" width="7.6640625" bestFit="1" customWidth="1"/>
    <col min="39" max="39" width="20.5546875" bestFit="1" customWidth="1"/>
    <col min="40" max="44" width="8.33203125" bestFit="1" customWidth="1"/>
    <col min="45" max="53" width="7.5546875" bestFit="1" customWidth="1"/>
    <col min="54" max="54" width="1.6640625" customWidth="1"/>
    <col min="55" max="55" width="7.6640625" bestFit="1" customWidth="1"/>
    <col min="56" max="56" width="1.5546875" customWidth="1"/>
    <col min="57" max="57" width="7.6640625" customWidth="1"/>
    <col min="59" max="59" width="20.5546875" bestFit="1" customWidth="1"/>
    <col min="60" max="64" width="8.33203125" bestFit="1" customWidth="1"/>
    <col min="65" max="73" width="7.5546875" bestFit="1" customWidth="1"/>
    <col min="74" max="74" width="1.6640625" customWidth="1"/>
    <col min="75" max="75" width="7.6640625" bestFit="1" customWidth="1"/>
    <col min="77" max="77" width="9.109375" style="85" hidden="1" customWidth="1" outlineLevel="1"/>
    <col min="78" max="78" width="20.5546875" bestFit="1" customWidth="1" collapsed="1"/>
    <col min="79" max="83" width="8.33203125" bestFit="1" customWidth="1"/>
    <col min="84" max="92" width="7.5546875" bestFit="1" customWidth="1"/>
    <col min="93" max="93" width="1.6640625" customWidth="1"/>
    <col min="94" max="94" width="7.6640625" bestFit="1" customWidth="1"/>
    <col min="97" max="97" width="21.6640625" bestFit="1" customWidth="1"/>
    <col min="98" max="98" width="19.33203125" customWidth="1"/>
    <col min="99" max="99" width="25.33203125" customWidth="1"/>
    <col min="100" max="100" width="21.33203125" customWidth="1"/>
    <col min="101" max="101" width="1.6640625" customWidth="1"/>
    <col min="102" max="102" width="14.6640625" customWidth="1"/>
    <col min="103" max="103" width="12" customWidth="1"/>
    <col min="104" max="104" width="14.6640625" bestFit="1" customWidth="1"/>
    <col min="105" max="105" width="13.33203125" customWidth="1"/>
    <col min="106" max="106" width="13.6640625" customWidth="1"/>
    <col min="107" max="107" width="10.6640625" customWidth="1"/>
    <col min="110" max="111" width="8.88671875" customWidth="1"/>
    <col min="113" max="113" width="8.88671875" customWidth="1"/>
    <col min="115" max="115" width="8.88671875" customWidth="1"/>
  </cols>
  <sheetData>
    <row r="1" spans="1:107" s="250" customFormat="1" ht="14.4" customHeight="1" x14ac:dyDescent="0.25">
      <c r="A1" s="250" t="s">
        <v>125</v>
      </c>
    </row>
    <row r="3" spans="1:107" ht="18.75" x14ac:dyDescent="0.3">
      <c r="B3" s="251" t="s">
        <v>49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U3" s="251" t="s">
        <v>58</v>
      </c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M3" s="251" t="s">
        <v>59</v>
      </c>
      <c r="AN3" s="252"/>
      <c r="AO3" s="252"/>
      <c r="AP3" s="252"/>
      <c r="AQ3" s="252"/>
      <c r="AR3" s="252"/>
      <c r="AS3" s="252"/>
      <c r="AT3" s="252"/>
      <c r="AU3" s="252"/>
      <c r="AV3" s="252"/>
      <c r="AW3" s="252"/>
      <c r="AX3" s="252"/>
      <c r="AY3" s="252"/>
      <c r="AZ3" s="252"/>
      <c r="BA3" s="252"/>
      <c r="BB3" s="252"/>
      <c r="BC3" s="252"/>
      <c r="BD3" s="251"/>
      <c r="BE3" s="252"/>
      <c r="BG3" s="251" t="s">
        <v>60</v>
      </c>
      <c r="BH3" s="252"/>
      <c r="BI3" s="252"/>
      <c r="BJ3" s="252"/>
      <c r="BK3" s="252"/>
      <c r="BL3" s="252"/>
      <c r="BM3" s="252"/>
      <c r="BN3" s="252"/>
      <c r="BO3" s="252"/>
      <c r="BP3" s="252"/>
      <c r="BQ3" s="252"/>
      <c r="BR3" s="252"/>
      <c r="BS3" s="252"/>
      <c r="BT3" s="252"/>
      <c r="BU3" s="252"/>
      <c r="BV3" s="252"/>
      <c r="BW3" s="252"/>
      <c r="BZ3" s="251" t="s">
        <v>61</v>
      </c>
      <c r="CA3" s="252"/>
      <c r="CB3" s="252"/>
      <c r="CC3" s="252"/>
      <c r="CD3" s="252"/>
      <c r="CE3" s="252"/>
      <c r="CF3" s="252"/>
      <c r="CG3" s="252"/>
      <c r="CH3" s="252"/>
      <c r="CI3" s="252"/>
      <c r="CJ3" s="252"/>
      <c r="CK3" s="252"/>
      <c r="CL3" s="252"/>
      <c r="CM3" s="252"/>
      <c r="CN3" s="252"/>
      <c r="CO3" s="252"/>
      <c r="CP3" s="252"/>
      <c r="CR3" s="253" t="s">
        <v>111</v>
      </c>
      <c r="CS3" s="254"/>
      <c r="CT3" s="254"/>
      <c r="CU3" s="254"/>
      <c r="CV3" s="254"/>
    </row>
    <row r="4" spans="1:107" ht="6" customHeight="1" thickBot="1" x14ac:dyDescent="0.3"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R4" s="86"/>
      <c r="CS4" s="86"/>
      <c r="CT4" s="86"/>
      <c r="CU4" s="86"/>
      <c r="CV4" s="86"/>
    </row>
    <row r="5" spans="1:107" ht="6" customHeight="1" thickTop="1" x14ac:dyDescent="0.25"/>
    <row r="6" spans="1:107" s="244" customFormat="1" ht="30" x14ac:dyDescent="0.25">
      <c r="B6" s="243" t="s">
        <v>50</v>
      </c>
      <c r="C6" s="243">
        <v>2007</v>
      </c>
      <c r="D6" s="243">
        <f>C6+1</f>
        <v>2008</v>
      </c>
      <c r="E6" s="243">
        <f t="shared" ref="E6:P6" si="0">D6+1</f>
        <v>2009</v>
      </c>
      <c r="F6" s="243">
        <f t="shared" si="0"/>
        <v>2010</v>
      </c>
      <c r="G6" s="243">
        <f t="shared" si="0"/>
        <v>2011</v>
      </c>
      <c r="H6" s="243">
        <f t="shared" si="0"/>
        <v>2012</v>
      </c>
      <c r="I6" s="243">
        <f t="shared" si="0"/>
        <v>2013</v>
      </c>
      <c r="J6" s="243">
        <f t="shared" si="0"/>
        <v>2014</v>
      </c>
      <c r="K6" s="243">
        <f t="shared" si="0"/>
        <v>2015</v>
      </c>
      <c r="L6" s="243">
        <f t="shared" si="0"/>
        <v>2016</v>
      </c>
      <c r="M6" s="243">
        <f t="shared" si="0"/>
        <v>2017</v>
      </c>
      <c r="N6" s="243">
        <f t="shared" si="0"/>
        <v>2018</v>
      </c>
      <c r="O6" s="243">
        <f t="shared" si="0"/>
        <v>2019</v>
      </c>
      <c r="P6" s="243">
        <f t="shared" si="0"/>
        <v>2020</v>
      </c>
      <c r="Q6" s="243"/>
      <c r="R6" s="243" t="s">
        <v>51</v>
      </c>
      <c r="S6" s="246" t="s">
        <v>130</v>
      </c>
      <c r="U6" s="243" t="s">
        <v>50</v>
      </c>
      <c r="V6" s="243">
        <v>2007</v>
      </c>
      <c r="W6" s="243">
        <f>V6+1</f>
        <v>2008</v>
      </c>
      <c r="X6" s="243">
        <f t="shared" ref="X6:AI6" si="1">W6+1</f>
        <v>2009</v>
      </c>
      <c r="Y6" s="243">
        <f t="shared" si="1"/>
        <v>2010</v>
      </c>
      <c r="Z6" s="243">
        <f t="shared" si="1"/>
        <v>2011</v>
      </c>
      <c r="AA6" s="243">
        <f t="shared" si="1"/>
        <v>2012</v>
      </c>
      <c r="AB6" s="243">
        <f t="shared" si="1"/>
        <v>2013</v>
      </c>
      <c r="AC6" s="243">
        <f t="shared" si="1"/>
        <v>2014</v>
      </c>
      <c r="AD6" s="243">
        <f t="shared" si="1"/>
        <v>2015</v>
      </c>
      <c r="AE6" s="243">
        <f t="shared" si="1"/>
        <v>2016</v>
      </c>
      <c r="AF6" s="243">
        <f t="shared" si="1"/>
        <v>2017</v>
      </c>
      <c r="AG6" s="243">
        <f t="shared" si="1"/>
        <v>2018</v>
      </c>
      <c r="AH6" s="243">
        <f t="shared" si="1"/>
        <v>2019</v>
      </c>
      <c r="AI6" s="243">
        <f t="shared" si="1"/>
        <v>2020</v>
      </c>
      <c r="AJ6" s="243"/>
      <c r="AK6" s="243" t="s">
        <v>51</v>
      </c>
      <c r="AM6" s="243" t="s">
        <v>50</v>
      </c>
      <c r="AN6" s="243">
        <v>2007</v>
      </c>
      <c r="AO6" s="243">
        <f>AN6+1</f>
        <v>2008</v>
      </c>
      <c r="AP6" s="243">
        <f t="shared" ref="AP6:BA6" si="2">AO6+1</f>
        <v>2009</v>
      </c>
      <c r="AQ6" s="243">
        <f t="shared" si="2"/>
        <v>2010</v>
      </c>
      <c r="AR6" s="243">
        <f t="shared" si="2"/>
        <v>2011</v>
      </c>
      <c r="AS6" s="243">
        <f t="shared" si="2"/>
        <v>2012</v>
      </c>
      <c r="AT6" s="243">
        <f t="shared" si="2"/>
        <v>2013</v>
      </c>
      <c r="AU6" s="243">
        <f t="shared" si="2"/>
        <v>2014</v>
      </c>
      <c r="AV6" s="243">
        <f t="shared" si="2"/>
        <v>2015</v>
      </c>
      <c r="AW6" s="243">
        <f t="shared" si="2"/>
        <v>2016</v>
      </c>
      <c r="AX6" s="243">
        <f t="shared" si="2"/>
        <v>2017</v>
      </c>
      <c r="AY6" s="243">
        <f t="shared" si="2"/>
        <v>2018</v>
      </c>
      <c r="AZ6" s="243">
        <f t="shared" si="2"/>
        <v>2019</v>
      </c>
      <c r="BA6" s="243">
        <f t="shared" si="2"/>
        <v>2020</v>
      </c>
      <c r="BB6" s="243"/>
      <c r="BC6" s="243" t="s">
        <v>51</v>
      </c>
      <c r="BD6" s="243"/>
      <c r="BE6" s="243" t="s">
        <v>52</v>
      </c>
      <c r="BG6" s="243" t="s">
        <v>50</v>
      </c>
      <c r="BH6" s="243">
        <v>2007</v>
      </c>
      <c r="BI6" s="243">
        <f>BH6+1</f>
        <v>2008</v>
      </c>
      <c r="BJ6" s="243">
        <f t="shared" ref="BJ6:BU6" si="3">BI6+1</f>
        <v>2009</v>
      </c>
      <c r="BK6" s="243">
        <f t="shared" si="3"/>
        <v>2010</v>
      </c>
      <c r="BL6" s="243">
        <f t="shared" si="3"/>
        <v>2011</v>
      </c>
      <c r="BM6" s="243">
        <f t="shared" si="3"/>
        <v>2012</v>
      </c>
      <c r="BN6" s="243">
        <f t="shared" si="3"/>
        <v>2013</v>
      </c>
      <c r="BO6" s="243">
        <f t="shared" si="3"/>
        <v>2014</v>
      </c>
      <c r="BP6" s="243">
        <f t="shared" si="3"/>
        <v>2015</v>
      </c>
      <c r="BQ6" s="243">
        <f t="shared" si="3"/>
        <v>2016</v>
      </c>
      <c r="BR6" s="243">
        <f t="shared" si="3"/>
        <v>2017</v>
      </c>
      <c r="BS6" s="243">
        <f t="shared" si="3"/>
        <v>2018</v>
      </c>
      <c r="BT6" s="243">
        <f t="shared" si="3"/>
        <v>2019</v>
      </c>
      <c r="BU6" s="243">
        <f t="shared" si="3"/>
        <v>2020</v>
      </c>
      <c r="BV6" s="243"/>
      <c r="BW6" s="243" t="s">
        <v>52</v>
      </c>
      <c r="BY6" s="245" t="s">
        <v>53</v>
      </c>
      <c r="BZ6" s="243" t="s">
        <v>50</v>
      </c>
      <c r="CA6" s="243">
        <v>2007</v>
      </c>
      <c r="CB6" s="243">
        <f>CA6+1</f>
        <v>2008</v>
      </c>
      <c r="CC6" s="243">
        <f t="shared" ref="CC6:CN6" si="4">CB6+1</f>
        <v>2009</v>
      </c>
      <c r="CD6" s="243">
        <f t="shared" si="4"/>
        <v>2010</v>
      </c>
      <c r="CE6" s="243">
        <f t="shared" si="4"/>
        <v>2011</v>
      </c>
      <c r="CF6" s="243">
        <f t="shared" si="4"/>
        <v>2012</v>
      </c>
      <c r="CG6" s="243">
        <f t="shared" si="4"/>
        <v>2013</v>
      </c>
      <c r="CH6" s="243">
        <f t="shared" si="4"/>
        <v>2014</v>
      </c>
      <c r="CI6" s="243">
        <f t="shared" si="4"/>
        <v>2015</v>
      </c>
      <c r="CJ6" s="243">
        <f t="shared" si="4"/>
        <v>2016</v>
      </c>
      <c r="CK6" s="243">
        <f t="shared" si="4"/>
        <v>2017</v>
      </c>
      <c r="CL6" s="243">
        <f t="shared" si="4"/>
        <v>2018</v>
      </c>
      <c r="CM6" s="243">
        <f t="shared" si="4"/>
        <v>2019</v>
      </c>
      <c r="CN6" s="243">
        <f t="shared" si="4"/>
        <v>2020</v>
      </c>
      <c r="CO6" s="243"/>
      <c r="CP6" s="243" t="s">
        <v>52</v>
      </c>
      <c r="CR6" s="243"/>
      <c r="CS6" s="246" t="s">
        <v>62</v>
      </c>
      <c r="CT6" s="246" t="s">
        <v>129</v>
      </c>
      <c r="CU6" s="246" t="s">
        <v>128</v>
      </c>
      <c r="CV6" s="220" t="s">
        <v>132</v>
      </c>
    </row>
    <row r="7" spans="1:107" ht="6" customHeight="1" x14ac:dyDescent="0.25"/>
    <row r="8" spans="1:107" ht="15" x14ac:dyDescent="0.25">
      <c r="B8" t="s">
        <v>36</v>
      </c>
      <c r="C8" s="98">
        <v>148277.29999999999</v>
      </c>
      <c r="D8" s="98">
        <v>150934.6</v>
      </c>
      <c r="E8" s="98">
        <v>153480.1</v>
      </c>
      <c r="F8" s="98">
        <v>156636.83858999997</v>
      </c>
      <c r="G8" s="98">
        <v>154251.1</v>
      </c>
      <c r="H8" s="98">
        <v>157488.5</v>
      </c>
      <c r="I8" s="98">
        <v>173549</v>
      </c>
      <c r="J8" s="98">
        <v>178086.5</v>
      </c>
      <c r="K8" s="98">
        <v>177184.1</v>
      </c>
      <c r="L8" s="98">
        <v>180332.2</v>
      </c>
      <c r="M8" s="98">
        <v>179545.05807999996</v>
      </c>
      <c r="N8" s="98">
        <v>174896.8</v>
      </c>
      <c r="O8" s="98">
        <v>171036.79999999999</v>
      </c>
      <c r="P8" s="98">
        <v>167644.20000000001</v>
      </c>
      <c r="R8" s="87">
        <f>AVERAGE(C8:P8)</f>
        <v>165953.07833357141</v>
      </c>
      <c r="S8" s="236">
        <f>P8/P$8</f>
        <v>1</v>
      </c>
      <c r="U8" t="s">
        <v>36</v>
      </c>
      <c r="V8" s="98">
        <v>149133.00725530201</v>
      </c>
      <c r="W8" s="98">
        <v>150235.065290834</v>
      </c>
      <c r="X8" s="98">
        <v>151841.404894701</v>
      </c>
      <c r="Y8" s="98">
        <v>154459.55699297501</v>
      </c>
      <c r="Z8" s="98">
        <v>158362.35030202</v>
      </c>
      <c r="AA8" s="98">
        <v>163405.07775286899</v>
      </c>
      <c r="AB8" s="98">
        <v>169002.64455070501</v>
      </c>
      <c r="AC8" s="98">
        <v>174257.44877347699</v>
      </c>
      <c r="AD8" s="98">
        <v>178194.20419107401</v>
      </c>
      <c r="AE8" s="98">
        <v>180031.478337106</v>
      </c>
      <c r="AF8" s="98">
        <v>179408.84952703401</v>
      </c>
      <c r="AG8" s="98">
        <v>176495.987378474</v>
      </c>
      <c r="AH8" s="98">
        <v>171933.02184082201</v>
      </c>
      <c r="AI8" s="98">
        <v>166582.99961260601</v>
      </c>
      <c r="AK8" s="87">
        <f>AVERAGE(V8:AI8)</f>
        <v>165953.07833571424</v>
      </c>
      <c r="AM8" t="s">
        <v>36</v>
      </c>
      <c r="AN8" s="87">
        <f t="shared" ref="AN8:BA8" si="5">IFERROR(V8-C8,"-")</f>
        <v>855.70725530202617</v>
      </c>
      <c r="AO8" s="87">
        <f t="shared" si="5"/>
        <v>-699.53470916600781</v>
      </c>
      <c r="AP8" s="87">
        <f t="shared" si="5"/>
        <v>-1638.6951052990044</v>
      </c>
      <c r="AQ8" s="87">
        <f t="shared" si="5"/>
        <v>-2177.2815970249649</v>
      </c>
      <c r="AR8" s="87">
        <f t="shared" si="5"/>
        <v>4111.2503020199947</v>
      </c>
      <c r="AS8" s="87">
        <f t="shared" si="5"/>
        <v>5916.5777528689941</v>
      </c>
      <c r="AT8" s="87">
        <f t="shared" si="5"/>
        <v>-4546.3554492949916</v>
      </c>
      <c r="AU8" s="87">
        <f t="shared" si="5"/>
        <v>-3829.0512265230063</v>
      </c>
      <c r="AV8" s="87">
        <f t="shared" si="5"/>
        <v>1010.1041910740023</v>
      </c>
      <c r="AW8" s="87">
        <f t="shared" si="5"/>
        <v>-300.72166289400775</v>
      </c>
      <c r="AX8" s="87">
        <f t="shared" si="5"/>
        <v>-136.20855296595255</v>
      </c>
      <c r="AY8" s="87">
        <f t="shared" si="5"/>
        <v>1599.1873784740164</v>
      </c>
      <c r="AZ8" s="87">
        <f t="shared" si="5"/>
        <v>896.22184082202148</v>
      </c>
      <c r="BA8" s="87">
        <f t="shared" si="5"/>
        <v>-1061.2003873939975</v>
      </c>
      <c r="BC8" s="87">
        <f>AVERAGE(AN8:BA8)</f>
        <v>2.1427944635174105E-6</v>
      </c>
      <c r="BD8" s="87"/>
      <c r="BE8" s="87">
        <f>_xlfn.STDEV.S(AN8:BA8)</f>
        <v>2794.2629401377808</v>
      </c>
      <c r="BG8" t="s">
        <v>36</v>
      </c>
      <c r="BH8" s="88">
        <f t="shared" ref="BH8:BU22" si="6">IFERROR(AN8/V8,"-")</f>
        <v>5.7378797024935863E-3</v>
      </c>
      <c r="BI8" s="88">
        <f t="shared" si="6"/>
        <v>-4.6562678813485171E-3</v>
      </c>
      <c r="BJ8" s="88">
        <f t="shared" si="6"/>
        <v>-1.0792149258862606E-2</v>
      </c>
      <c r="BK8" s="88">
        <f t="shared" si="6"/>
        <v>-1.4096127422688324E-2</v>
      </c>
      <c r="BL8" s="88">
        <f t="shared" si="6"/>
        <v>2.5961033630653014E-2</v>
      </c>
      <c r="BM8" s="88">
        <f t="shared" si="6"/>
        <v>3.6208040987668229E-2</v>
      </c>
      <c r="BN8" s="88">
        <f t="shared" si="6"/>
        <v>-2.690109057986351E-2</v>
      </c>
      <c r="BO8" s="88">
        <f t="shared" si="6"/>
        <v>-2.1973529702598346E-2</v>
      </c>
      <c r="BP8" s="88">
        <f t="shared" si="6"/>
        <v>5.6685580524879937E-3</v>
      </c>
      <c r="BQ8" s="88">
        <f t="shared" si="6"/>
        <v>-1.6703837888333692E-3</v>
      </c>
      <c r="BR8" s="88">
        <f t="shared" si="6"/>
        <v>-7.5920754926544543E-4</v>
      </c>
      <c r="BS8" s="88">
        <f t="shared" si="6"/>
        <v>9.0607577102858154E-3</v>
      </c>
      <c r="BT8" s="88">
        <f t="shared" si="6"/>
        <v>5.212621933974709E-3</v>
      </c>
      <c r="BU8" s="88">
        <f t="shared" si="6"/>
        <v>-6.3704002801117298E-3</v>
      </c>
      <c r="BW8" s="89">
        <f>_xlfn.STDEV.S(BH8:BU8)</f>
        <v>1.6976452309128049E-2</v>
      </c>
      <c r="BX8" s="90"/>
      <c r="BY8" s="85" t="s">
        <v>36</v>
      </c>
      <c r="BZ8" t="s">
        <v>36</v>
      </c>
      <c r="CA8" s="91">
        <f>IFERROR(BH8-INDEX($BG$6:$BU$22,MATCH($BY8,$BG$6:$BG$22,0),MATCH(CA$6,$BG$6:$BU$6,0)),"-")</f>
        <v>0</v>
      </c>
      <c r="CB8" s="91">
        <f t="shared" ref="CB8:CN22" si="7">IFERROR(BI8-INDEX($BG$6:$BU$22,MATCH($BY8,$BG$6:$BG$22,0),MATCH(CB$6,$BG$6:$BU$6,0)),"-")</f>
        <v>0</v>
      </c>
      <c r="CC8" s="91">
        <f t="shared" si="7"/>
        <v>0</v>
      </c>
      <c r="CD8" s="91">
        <f t="shared" si="7"/>
        <v>0</v>
      </c>
      <c r="CE8" s="91">
        <f t="shared" si="7"/>
        <v>0</v>
      </c>
      <c r="CF8" s="91">
        <f t="shared" si="7"/>
        <v>0</v>
      </c>
      <c r="CG8" s="91">
        <f t="shared" si="7"/>
        <v>0</v>
      </c>
      <c r="CH8" s="91">
        <f t="shared" si="7"/>
        <v>0</v>
      </c>
      <c r="CI8" s="91">
        <f t="shared" si="7"/>
        <v>0</v>
      </c>
      <c r="CJ8" s="91">
        <f t="shared" si="7"/>
        <v>0</v>
      </c>
      <c r="CK8" s="91">
        <f t="shared" si="7"/>
        <v>0</v>
      </c>
      <c r="CL8" s="91">
        <f t="shared" si="7"/>
        <v>0</v>
      </c>
      <c r="CM8" s="91">
        <f t="shared" si="7"/>
        <v>0</v>
      </c>
      <c r="CN8" s="91">
        <f t="shared" si="7"/>
        <v>0</v>
      </c>
      <c r="CP8" s="88">
        <f>_xlfn.STDEV.S(CA8:CN8)</f>
        <v>0</v>
      </c>
      <c r="CQ8" s="92"/>
      <c r="CR8" t="s">
        <v>36</v>
      </c>
      <c r="CS8" s="88">
        <f>R8/$R$8</f>
        <v>1</v>
      </c>
      <c r="CT8" s="100">
        <v>1E-8</v>
      </c>
      <c r="CU8" s="106">
        <f t="shared" ref="CU8:CU22" si="8" xml:space="preserve"> $CT$28 * EXP(P8/$P$8 * $CT$29)</f>
        <v>1.13188804919122E-7</v>
      </c>
      <c r="CV8" s="247">
        <v>0</v>
      </c>
      <c r="CY8" s="221"/>
      <c r="CZ8" s="221"/>
      <c r="DB8" s="221"/>
      <c r="DC8" s="242"/>
    </row>
    <row r="9" spans="1:107" ht="15" x14ac:dyDescent="0.25">
      <c r="B9" t="s">
        <v>3</v>
      </c>
      <c r="C9" s="98">
        <v>68506.865144023468</v>
      </c>
      <c r="D9" s="98">
        <v>69611.227155228582</v>
      </c>
      <c r="E9" s="98">
        <v>70796.654037468979</v>
      </c>
      <c r="F9" s="98">
        <v>70339.399999999994</v>
      </c>
      <c r="G9" s="98">
        <v>73059.421307236087</v>
      </c>
      <c r="H9" s="98">
        <v>72125</v>
      </c>
      <c r="I9" s="98">
        <v>73142</v>
      </c>
      <c r="J9" s="98">
        <v>72187</v>
      </c>
      <c r="K9" s="98">
        <v>71623</v>
      </c>
      <c r="L9" s="98">
        <v>72299</v>
      </c>
      <c r="M9" s="98">
        <v>71534</v>
      </c>
      <c r="N9" s="98">
        <v>69853.600000000006</v>
      </c>
      <c r="O9" s="98">
        <v>67662</v>
      </c>
      <c r="P9" s="98">
        <v>66385</v>
      </c>
      <c r="R9" s="87">
        <f t="shared" ref="R9:R22" si="9">AVERAGE(C9:P9)</f>
        <v>70651.726260282652</v>
      </c>
      <c r="S9" s="236">
        <f>P9/P$8</f>
        <v>0.39598745438255539</v>
      </c>
      <c r="U9" t="s">
        <v>3</v>
      </c>
      <c r="V9" s="98">
        <v>68693.137806641898</v>
      </c>
      <c r="W9" s="98">
        <v>69574.571646670796</v>
      </c>
      <c r="X9" s="98">
        <v>70432.746253733203</v>
      </c>
      <c r="Y9" s="98">
        <v>71232.654472655893</v>
      </c>
      <c r="Z9" s="98">
        <v>71926.663669629197</v>
      </c>
      <c r="AA9" s="98">
        <v>72456.764599807299</v>
      </c>
      <c r="AB9" s="98">
        <v>72759.544638032501</v>
      </c>
      <c r="AC9" s="98">
        <v>72775.091340445302</v>
      </c>
      <c r="AD9" s="98">
        <v>72458.949690726498</v>
      </c>
      <c r="AE9" s="98">
        <v>71794.499214671698</v>
      </c>
      <c r="AF9" s="98">
        <v>70802.054471227995</v>
      </c>
      <c r="AG9" s="98">
        <v>69540.762535832095</v>
      </c>
      <c r="AH9" s="98">
        <v>68099.870074289196</v>
      </c>
      <c r="AI9" s="98">
        <v>66576.857235635602</v>
      </c>
      <c r="AK9" s="87">
        <f t="shared" ref="AK9:AK21" si="10">AVERAGE(V9:AI9)</f>
        <v>70651.726260714218</v>
      </c>
      <c r="AM9" t="s">
        <v>3</v>
      </c>
      <c r="AN9" s="87">
        <f t="shared" ref="AN9:AN22" si="11">IFERROR(V9-C9,"-")</f>
        <v>186.27266261843033</v>
      </c>
      <c r="AO9" s="87">
        <f t="shared" ref="AO9:AO22" si="12">IFERROR(W9-D9,"-")</f>
        <v>-36.655508557785652</v>
      </c>
      <c r="AP9" s="87">
        <f t="shared" ref="AP9:AP22" si="13">IFERROR(X9-E9,"-")</f>
        <v>-363.90778373577632</v>
      </c>
      <c r="AQ9" s="87">
        <f t="shared" ref="AQ9:AQ22" si="14">IFERROR(Y9-F9,"-")</f>
        <v>893.25447265589901</v>
      </c>
      <c r="AR9" s="87">
        <f t="shared" ref="AR9:AR22" si="15">IFERROR(Z9-G9,"-")</f>
        <v>-1132.7576376068901</v>
      </c>
      <c r="AS9" s="87">
        <f t="shared" ref="AS9:AS22" si="16">IFERROR(AA9-H9,"-")</f>
        <v>331.76459980729851</v>
      </c>
      <c r="AT9" s="87">
        <f t="shared" ref="AT9:AT22" si="17">IFERROR(AB9-I9,"-")</f>
        <v>-382.4553619674989</v>
      </c>
      <c r="AU9" s="87">
        <f t="shared" ref="AU9:AU22" si="18">IFERROR(AC9-J9,"-")</f>
        <v>588.09134044530219</v>
      </c>
      <c r="AV9" s="87">
        <f t="shared" ref="AV9:AV22" si="19">IFERROR(AD9-K9,"-")</f>
        <v>835.94969072649837</v>
      </c>
      <c r="AW9" s="87">
        <f t="shared" ref="AW9:AW22" si="20">IFERROR(AE9-L9,"-")</f>
        <v>-504.5007853283023</v>
      </c>
      <c r="AX9" s="87">
        <f t="shared" ref="AX9:AX22" si="21">IFERROR(AF9-M9,"-")</f>
        <v>-731.94552877200476</v>
      </c>
      <c r="AY9" s="87">
        <f t="shared" ref="AY9:AY22" si="22">IFERROR(AG9-N9,"-")</f>
        <v>-312.83746416791109</v>
      </c>
      <c r="AZ9" s="87">
        <f t="shared" ref="AZ9:AZ22" si="23">IFERROR(AH9-O9,"-")</f>
        <v>437.87007428919605</v>
      </c>
      <c r="BA9" s="87">
        <f t="shared" ref="BA9:BA22" si="24">IFERROR(AI9-P9,"-")</f>
        <v>191.85723563560168</v>
      </c>
      <c r="BC9" s="87">
        <f t="shared" ref="BC9:BC22" si="25">AVERAGE(AN9:BA9)</f>
        <v>4.3157550473032255E-7</v>
      </c>
      <c r="BD9" s="87"/>
      <c r="BE9" s="87">
        <f t="shared" ref="BE9:BE22" si="26">_xlfn.STDEV.S(AN9:BA9)</f>
        <v>599.17819153204948</v>
      </c>
      <c r="BG9" t="s">
        <v>3</v>
      </c>
      <c r="BH9" s="88">
        <f t="shared" si="6"/>
        <v>2.7116633271689001E-3</v>
      </c>
      <c r="BI9" s="88">
        <f t="shared" si="6"/>
        <v>-5.2685209107628981E-4</v>
      </c>
      <c r="BJ9" s="88">
        <f t="shared" si="6"/>
        <v>-5.1667413680676665E-3</v>
      </c>
      <c r="BK9" s="88">
        <f t="shared" si="6"/>
        <v>1.2539957681891428E-2</v>
      </c>
      <c r="BL9" s="88">
        <f t="shared" si="6"/>
        <v>-1.5748786052552487E-2</v>
      </c>
      <c r="BM9" s="88">
        <f t="shared" si="6"/>
        <v>4.5787940110174454E-3</v>
      </c>
      <c r="BN9" s="88">
        <f t="shared" si="6"/>
        <v>-5.2564287458113611E-3</v>
      </c>
      <c r="BO9" s="88">
        <f t="shared" si="6"/>
        <v>8.0809426633926609E-3</v>
      </c>
      <c r="BP9" s="88">
        <f t="shared" si="6"/>
        <v>1.1536872867941745E-2</v>
      </c>
      <c r="BQ9" s="88">
        <f t="shared" si="6"/>
        <v>-7.0270116909625872E-3</v>
      </c>
      <c r="BR9" s="88">
        <f t="shared" si="6"/>
        <v>-1.0337913698103877E-2</v>
      </c>
      <c r="BS9" s="88">
        <f t="shared" si="6"/>
        <v>-4.4986199857488781E-3</v>
      </c>
      <c r="BT9" s="88">
        <f t="shared" si="6"/>
        <v>6.4298224623854597E-3</v>
      </c>
      <c r="BU9" s="88">
        <f t="shared" si="6"/>
        <v>2.8817406468521186E-3</v>
      </c>
      <c r="BW9" s="88">
        <f t="shared" ref="BW9:BW22" si="27">_xlfn.STDEV.S(BH9:BU9)</f>
        <v>8.3791424760135472E-3</v>
      </c>
      <c r="BX9" s="90"/>
      <c r="BY9" s="85" t="s">
        <v>36</v>
      </c>
      <c r="BZ9" t="s">
        <v>3</v>
      </c>
      <c r="CA9" s="91">
        <f t="shared" ref="CA9:CA22" si="28">IFERROR(BH9-INDEX($BG$6:$BU$22,MATCH($BY9,$BG$6:$BG$22,0),MATCH(CA$6,$BG$6:$BU$6,0)),"-")</f>
        <v>-3.0262163753246862E-3</v>
      </c>
      <c r="CB9" s="91">
        <f t="shared" si="7"/>
        <v>4.129415790272227E-3</v>
      </c>
      <c r="CC9" s="91">
        <f t="shared" si="7"/>
        <v>5.6254078907949394E-3</v>
      </c>
      <c r="CD9" s="91">
        <f t="shared" si="7"/>
        <v>2.6636085104579751E-2</v>
      </c>
      <c r="CE9" s="91">
        <f t="shared" si="7"/>
        <v>-4.1709819683205501E-2</v>
      </c>
      <c r="CF9" s="91">
        <f t="shared" si="7"/>
        <v>-3.1629246976650781E-2</v>
      </c>
      <c r="CG9" s="91">
        <f t="shared" si="7"/>
        <v>2.1644661834052149E-2</v>
      </c>
      <c r="CH9" s="91">
        <f t="shared" si="7"/>
        <v>3.0054472365991007E-2</v>
      </c>
      <c r="CI9" s="91">
        <f t="shared" si="7"/>
        <v>5.8683148154537509E-3</v>
      </c>
      <c r="CJ9" s="91">
        <f t="shared" si="7"/>
        <v>-5.3566279021292178E-3</v>
      </c>
      <c r="CK9" s="91">
        <f t="shared" si="7"/>
        <v>-9.5787061488384322E-3</v>
      </c>
      <c r="CL9" s="91">
        <f t="shared" si="7"/>
        <v>-1.3559377696034693E-2</v>
      </c>
      <c r="CM9" s="91">
        <f t="shared" si="7"/>
        <v>1.2172005284107508E-3</v>
      </c>
      <c r="CN9" s="91">
        <f t="shared" si="7"/>
        <v>9.2521409269638484E-3</v>
      </c>
      <c r="CP9" s="88">
        <f t="shared" ref="CP9:CP22" si="29">_xlfn.STDEV.S(CA9:CN9)</f>
        <v>2.020096451991428E-2</v>
      </c>
      <c r="CQ9" s="92"/>
      <c r="CR9" t="s">
        <v>3</v>
      </c>
      <c r="CS9" s="88">
        <f t="shared" ref="CS9:CS22" si="30">R9/$R$8</f>
        <v>0.42573314680111113</v>
      </c>
      <c r="CT9" s="93">
        <f t="shared" ref="CT9:CT22" si="31">CP9</f>
        <v>2.020096451991428E-2</v>
      </c>
      <c r="CU9" s="106">
        <f t="shared" si="8"/>
        <v>2.3774696742784397E-4</v>
      </c>
      <c r="CV9" s="219">
        <f>$CU$9</f>
        <v>2.3774696742784397E-4</v>
      </c>
      <c r="CZ9" s="222"/>
    </row>
    <row r="10" spans="1:107" ht="15" x14ac:dyDescent="0.25">
      <c r="B10" t="s">
        <v>6</v>
      </c>
      <c r="C10" s="98">
        <v>37236.699999999997</v>
      </c>
      <c r="D10" s="98">
        <v>37890.699999999997</v>
      </c>
      <c r="E10" s="98">
        <v>38605.199999999997</v>
      </c>
      <c r="F10" s="98">
        <v>39870.903773280828</v>
      </c>
      <c r="G10" s="98">
        <v>40854.05122628052</v>
      </c>
      <c r="H10" s="98">
        <v>40145</v>
      </c>
      <c r="I10" s="98">
        <v>40398</v>
      </c>
      <c r="J10" s="98">
        <v>39995</v>
      </c>
      <c r="K10" s="98">
        <v>39370</v>
      </c>
      <c r="L10" s="98">
        <v>39694</v>
      </c>
      <c r="M10" s="98">
        <v>39371</v>
      </c>
      <c r="N10" s="98">
        <v>38535.199999999997</v>
      </c>
      <c r="O10" s="98">
        <v>37633</v>
      </c>
      <c r="P10" s="98">
        <v>36921</v>
      </c>
      <c r="R10" s="87">
        <f t="shared" si="9"/>
        <v>39037.125357111523</v>
      </c>
      <c r="S10" s="236">
        <f t="shared" ref="S10:S22" si="32">P10/P$8</f>
        <v>0.22023428188985958</v>
      </c>
      <c r="U10" t="s">
        <v>6</v>
      </c>
      <c r="V10" s="98">
        <v>37196.280203711998</v>
      </c>
      <c r="W10" s="98">
        <v>38083.098265581903</v>
      </c>
      <c r="X10" s="98">
        <v>38910.2565338157</v>
      </c>
      <c r="Y10" s="98">
        <v>39608.011176879198</v>
      </c>
      <c r="Z10" s="98">
        <v>40114.772946766803</v>
      </c>
      <c r="AA10" s="98">
        <v>40393.5657646982</v>
      </c>
      <c r="AB10" s="98">
        <v>40438.007954295703</v>
      </c>
      <c r="AC10" s="98">
        <v>40269.5621464902</v>
      </c>
      <c r="AD10" s="98">
        <v>39928.812227029099</v>
      </c>
      <c r="AE10" s="98">
        <v>39464.164017629198</v>
      </c>
      <c r="AF10" s="98">
        <v>38921.344293148497</v>
      </c>
      <c r="AG10" s="98">
        <v>38336.290383751002</v>
      </c>
      <c r="AH10" s="98">
        <v>37732.601243885903</v>
      </c>
      <c r="AI10" s="98">
        <v>37122.987842316099</v>
      </c>
      <c r="AK10" s="87">
        <f t="shared" si="10"/>
        <v>39037.125357142817</v>
      </c>
      <c r="AM10" t="s">
        <v>6</v>
      </c>
      <c r="AN10" s="87">
        <f t="shared" si="11"/>
        <v>-40.419796287998906</v>
      </c>
      <c r="AO10" s="87">
        <f t="shared" si="12"/>
        <v>192.39826558190543</v>
      </c>
      <c r="AP10" s="87">
        <f t="shared" si="13"/>
        <v>305.05653381570301</v>
      </c>
      <c r="AQ10" s="87">
        <f t="shared" si="14"/>
        <v>-262.89259640163073</v>
      </c>
      <c r="AR10" s="87">
        <f t="shared" si="15"/>
        <v>-739.27827951371728</v>
      </c>
      <c r="AS10" s="87">
        <f t="shared" si="16"/>
        <v>248.56576469819993</v>
      </c>
      <c r="AT10" s="87">
        <f t="shared" si="17"/>
        <v>40.007954295702802</v>
      </c>
      <c r="AU10" s="87">
        <f t="shared" si="18"/>
        <v>274.56214649019967</v>
      </c>
      <c r="AV10" s="87">
        <f t="shared" si="19"/>
        <v>558.81222702909872</v>
      </c>
      <c r="AW10" s="87">
        <f t="shared" si="20"/>
        <v>-229.8359823708015</v>
      </c>
      <c r="AX10" s="87">
        <f t="shared" si="21"/>
        <v>-449.65570685150306</v>
      </c>
      <c r="AY10" s="87">
        <f t="shared" si="22"/>
        <v>-198.90961624899501</v>
      </c>
      <c r="AZ10" s="87">
        <f t="shared" si="23"/>
        <v>99.601243885903386</v>
      </c>
      <c r="BA10" s="87">
        <f t="shared" si="24"/>
        <v>201.98784231609898</v>
      </c>
      <c r="BC10" s="87">
        <f t="shared" si="25"/>
        <v>3.1297531677410007E-8</v>
      </c>
      <c r="BD10" s="87"/>
      <c r="BE10" s="87">
        <f t="shared" si="26"/>
        <v>344.59515281508556</v>
      </c>
      <c r="BG10" t="s">
        <v>6</v>
      </c>
      <c r="BH10" s="88">
        <f t="shared" si="6"/>
        <v>-1.0866623239375753E-3</v>
      </c>
      <c r="BI10" s="88">
        <f t="shared" si="6"/>
        <v>5.0520644155622151E-3</v>
      </c>
      <c r="BJ10" s="88">
        <f t="shared" si="6"/>
        <v>7.8400031505982959E-3</v>
      </c>
      <c r="BK10" s="88">
        <f t="shared" si="6"/>
        <v>-6.6373591753350093E-3</v>
      </c>
      <c r="BL10" s="88">
        <f t="shared" si="6"/>
        <v>-1.842907799814188E-2</v>
      </c>
      <c r="BM10" s="88">
        <f t="shared" si="6"/>
        <v>6.1535979800880318E-3</v>
      </c>
      <c r="BN10" s="88">
        <f t="shared" si="6"/>
        <v>9.8936511266630735E-4</v>
      </c>
      <c r="BO10" s="88">
        <f t="shared" si="6"/>
        <v>6.8181060795102257E-3</v>
      </c>
      <c r="BP10" s="88">
        <f t="shared" si="6"/>
        <v>1.3995212876651029E-2</v>
      </c>
      <c r="BQ10" s="88">
        <f t="shared" si="6"/>
        <v>-5.8239161551257119E-3</v>
      </c>
      <c r="BR10" s="88">
        <f t="shared" si="6"/>
        <v>-1.1552933615673137E-2</v>
      </c>
      <c r="BS10" s="88">
        <f t="shared" si="6"/>
        <v>-5.1885462640721153E-3</v>
      </c>
      <c r="BT10" s="88">
        <f t="shared" si="6"/>
        <v>2.6396601507043599E-3</v>
      </c>
      <c r="BU10" s="88">
        <f t="shared" si="6"/>
        <v>5.4410448634701538E-3</v>
      </c>
      <c r="BW10" s="88">
        <f t="shared" si="27"/>
        <v>8.6998335630337972E-3</v>
      </c>
      <c r="BX10" s="90"/>
      <c r="BY10" s="85" t="s">
        <v>3</v>
      </c>
      <c r="BZ10" t="s">
        <v>6</v>
      </c>
      <c r="CA10" s="91">
        <f t="shared" si="28"/>
        <v>-3.7983256511064751E-3</v>
      </c>
      <c r="CB10" s="91">
        <f t="shared" si="7"/>
        <v>5.5789165066385052E-3</v>
      </c>
      <c r="CC10" s="91">
        <f t="shared" si="7"/>
        <v>1.3006744518665962E-2</v>
      </c>
      <c r="CD10" s="91">
        <f t="shared" si="7"/>
        <v>-1.9177316857226435E-2</v>
      </c>
      <c r="CE10" s="91">
        <f t="shared" si="7"/>
        <v>-2.6802919455893928E-3</v>
      </c>
      <c r="CF10" s="91">
        <f t="shared" si="7"/>
        <v>1.5748039690705864E-3</v>
      </c>
      <c r="CG10" s="91">
        <f t="shared" si="7"/>
        <v>6.2457938584776686E-3</v>
      </c>
      <c r="CH10" s="91">
        <f t="shared" si="7"/>
        <v>-1.2628365838824353E-3</v>
      </c>
      <c r="CI10" s="91">
        <f t="shared" si="7"/>
        <v>2.4583400087092849E-3</v>
      </c>
      <c r="CJ10" s="91">
        <f t="shared" si="7"/>
        <v>1.2030955358368753E-3</v>
      </c>
      <c r="CK10" s="91">
        <f t="shared" si="7"/>
        <v>-1.2150199175692596E-3</v>
      </c>
      <c r="CL10" s="91">
        <f t="shared" si="7"/>
        <v>-6.8992627832323728E-4</v>
      </c>
      <c r="CM10" s="91">
        <f t="shared" si="7"/>
        <v>-3.7901623116810999E-3</v>
      </c>
      <c r="CN10" s="91">
        <f t="shared" si="7"/>
        <v>2.5593042166180352E-3</v>
      </c>
      <c r="CP10" s="88">
        <f t="shared" si="29"/>
        <v>7.142094305195008E-3</v>
      </c>
      <c r="CQ10" s="92"/>
      <c r="CR10" t="s">
        <v>6</v>
      </c>
      <c r="CS10" s="88">
        <f t="shared" si="30"/>
        <v>0.2352298959989495</v>
      </c>
      <c r="CT10" s="93">
        <f t="shared" si="31"/>
        <v>7.142094305195008E-3</v>
      </c>
      <c r="CU10" s="106">
        <f t="shared" si="8"/>
        <v>2.202054176032892E-3</v>
      </c>
      <c r="CV10" s="219">
        <f>SQRT($CU$9^2+$CU$10^2)</f>
        <v>2.2148512850087782E-3</v>
      </c>
      <c r="CZ10" s="222"/>
    </row>
    <row r="11" spans="1:107" ht="15" x14ac:dyDescent="0.25">
      <c r="B11" t="s">
        <v>7</v>
      </c>
      <c r="C11" s="98">
        <v>16075.3</v>
      </c>
      <c r="D11" s="98">
        <v>16561.900000000001</v>
      </c>
      <c r="E11" s="98">
        <v>16840.3</v>
      </c>
      <c r="F11" s="98">
        <v>16985.5</v>
      </c>
      <c r="G11" s="98">
        <v>17279.848797481205</v>
      </c>
      <c r="H11" s="98">
        <v>17220</v>
      </c>
      <c r="I11" s="98">
        <v>17899</v>
      </c>
      <c r="J11" s="98">
        <v>17358</v>
      </c>
      <c r="K11" s="98">
        <v>17238</v>
      </c>
      <c r="L11" s="98">
        <v>17316</v>
      </c>
      <c r="M11" s="98">
        <v>16935</v>
      </c>
      <c r="N11" s="98">
        <v>16211.6</v>
      </c>
      <c r="O11" s="98">
        <v>15883</v>
      </c>
      <c r="P11" s="98">
        <v>15486</v>
      </c>
      <c r="R11" s="87">
        <f t="shared" si="9"/>
        <v>16806.389199820089</v>
      </c>
      <c r="S11" s="236">
        <f t="shared" si="32"/>
        <v>9.2374206802263353E-2</v>
      </c>
      <c r="U11" t="s">
        <v>7</v>
      </c>
      <c r="V11" s="98">
        <v>16161.0286037268</v>
      </c>
      <c r="W11" s="98">
        <v>16473.904883666801</v>
      </c>
      <c r="X11" s="98">
        <v>16775.304866807201</v>
      </c>
      <c r="Y11" s="98">
        <v>17049.602580361199</v>
      </c>
      <c r="Z11" s="98">
        <v>17278.272388302801</v>
      </c>
      <c r="AA11" s="98">
        <v>17441.876695859501</v>
      </c>
      <c r="AB11" s="98">
        <v>17521.963279593401</v>
      </c>
      <c r="AC11" s="98">
        <v>17503.356612582</v>
      </c>
      <c r="AD11" s="98">
        <v>17376.821910922201</v>
      </c>
      <c r="AE11" s="98">
        <v>17141.636271656</v>
      </c>
      <c r="AF11" s="98">
        <v>16807.2990179402</v>
      </c>
      <c r="AG11" s="98">
        <v>16393.484109765399</v>
      </c>
      <c r="AH11" s="98">
        <v>15927.361800225401</v>
      </c>
      <c r="AI11" s="98">
        <v>15437.5357785911</v>
      </c>
      <c r="AK11" s="87">
        <f t="shared" si="10"/>
        <v>16806.389200000001</v>
      </c>
      <c r="AM11" t="s">
        <v>7</v>
      </c>
      <c r="AN11" s="87">
        <f t="shared" si="11"/>
        <v>85.728603726800429</v>
      </c>
      <c r="AO11" s="87">
        <f t="shared" si="12"/>
        <v>-87.995116333200713</v>
      </c>
      <c r="AP11" s="87">
        <f t="shared" si="13"/>
        <v>-64.995133192798676</v>
      </c>
      <c r="AQ11" s="87">
        <f t="shared" si="14"/>
        <v>64.102580361199216</v>
      </c>
      <c r="AR11" s="87">
        <f t="shared" si="15"/>
        <v>-1.576409178403992</v>
      </c>
      <c r="AS11" s="87">
        <f t="shared" si="16"/>
        <v>221.87669585950061</v>
      </c>
      <c r="AT11" s="87">
        <f t="shared" si="17"/>
        <v>-377.03672040659876</v>
      </c>
      <c r="AU11" s="87">
        <f t="shared" si="18"/>
        <v>145.3566125819998</v>
      </c>
      <c r="AV11" s="87">
        <f t="shared" si="19"/>
        <v>138.82191092220091</v>
      </c>
      <c r="AW11" s="87">
        <f t="shared" si="20"/>
        <v>-174.36372834400026</v>
      </c>
      <c r="AX11" s="87">
        <f t="shared" si="21"/>
        <v>-127.70098205979957</v>
      </c>
      <c r="AY11" s="87">
        <f t="shared" si="22"/>
        <v>181.88410976539853</v>
      </c>
      <c r="AZ11" s="87">
        <f t="shared" si="23"/>
        <v>44.361800225400657</v>
      </c>
      <c r="BA11" s="87">
        <f t="shared" si="24"/>
        <v>-48.464221408899903</v>
      </c>
      <c r="BC11" s="87">
        <f t="shared" si="25"/>
        <v>1.7991416305968804E-7</v>
      </c>
      <c r="BD11" s="87"/>
      <c r="BE11" s="87">
        <f t="shared" si="26"/>
        <v>161.56051062757788</v>
      </c>
      <c r="BG11" t="s">
        <v>7</v>
      </c>
      <c r="BH11" s="88">
        <f t="shared" si="6"/>
        <v>5.3046502069200628E-3</v>
      </c>
      <c r="BI11" s="88">
        <f t="shared" si="6"/>
        <v>-5.3414850306950749E-3</v>
      </c>
      <c r="BJ11" s="88">
        <f t="shared" si="6"/>
        <v>-3.8744531744041577E-3</v>
      </c>
      <c r="BK11" s="88">
        <f t="shared" si="6"/>
        <v>3.7597697693573565E-3</v>
      </c>
      <c r="BL11" s="88">
        <f t="shared" si="6"/>
        <v>-9.1236504609755055E-5</v>
      </c>
      <c r="BM11" s="88">
        <f t="shared" si="6"/>
        <v>1.2720918725000021E-2</v>
      </c>
      <c r="BN11" s="88">
        <f t="shared" si="6"/>
        <v>-2.1517949466639215E-2</v>
      </c>
      <c r="BO11" s="88">
        <f t="shared" si="6"/>
        <v>8.3044992911538232E-3</v>
      </c>
      <c r="BP11" s="88">
        <f t="shared" si="6"/>
        <v>7.9889125660512414E-3</v>
      </c>
      <c r="BQ11" s="88">
        <f t="shared" si="6"/>
        <v>-1.0171941906871153E-2</v>
      </c>
      <c r="BR11" s="88">
        <f t="shared" si="6"/>
        <v>-7.5979478870156865E-3</v>
      </c>
      <c r="BS11" s="88">
        <f t="shared" si="6"/>
        <v>1.1094902617867082E-2</v>
      </c>
      <c r="BT11" s="88">
        <f t="shared" si="6"/>
        <v>2.7852572687067896E-3</v>
      </c>
      <c r="BU11" s="88">
        <f t="shared" si="6"/>
        <v>-3.1393754873825443E-3</v>
      </c>
      <c r="BW11" s="88">
        <f t="shared" si="27"/>
        <v>9.3864121328275252E-3</v>
      </c>
      <c r="BX11" s="90"/>
      <c r="BY11" s="85" t="s">
        <v>3</v>
      </c>
      <c r="BZ11" t="s">
        <v>7</v>
      </c>
      <c r="CA11" s="91">
        <f t="shared" si="28"/>
        <v>2.5929868797511628E-3</v>
      </c>
      <c r="CB11" s="91">
        <f t="shared" si="7"/>
        <v>-4.8146329396187848E-3</v>
      </c>
      <c r="CC11" s="91">
        <f t="shared" si="7"/>
        <v>1.2922881936635088E-3</v>
      </c>
      <c r="CD11" s="91">
        <f t="shared" si="7"/>
        <v>-8.7801879125340709E-3</v>
      </c>
      <c r="CE11" s="91">
        <f t="shared" si="7"/>
        <v>1.5657549547942733E-2</v>
      </c>
      <c r="CF11" s="91">
        <f t="shared" si="7"/>
        <v>8.142124713982575E-3</v>
      </c>
      <c r="CG11" s="91">
        <f t="shared" si="7"/>
        <v>-1.6261520720827854E-2</v>
      </c>
      <c r="CH11" s="91">
        <f t="shared" si="7"/>
        <v>2.2355662776116225E-4</v>
      </c>
      <c r="CI11" s="91">
        <f t="shared" si="7"/>
        <v>-3.5479603018905032E-3</v>
      </c>
      <c r="CJ11" s="91">
        <f t="shared" si="7"/>
        <v>-3.144930215908566E-3</v>
      </c>
      <c r="CK11" s="91">
        <f t="shared" si="7"/>
        <v>2.739965811088191E-3</v>
      </c>
      <c r="CL11" s="91">
        <f t="shared" si="7"/>
        <v>1.5593522603615961E-2</v>
      </c>
      <c r="CM11" s="91">
        <f t="shared" si="7"/>
        <v>-3.6445651936786701E-3</v>
      </c>
      <c r="CN11" s="91">
        <f t="shared" si="7"/>
        <v>-6.0211161342346633E-3</v>
      </c>
      <c r="CP11" s="88">
        <f t="shared" si="29"/>
        <v>8.8024763869285882E-3</v>
      </c>
      <c r="CQ11" s="92"/>
      <c r="CR11" t="s">
        <v>7</v>
      </c>
      <c r="CS11" s="88">
        <f t="shared" si="30"/>
        <v>0.10127193402245102</v>
      </c>
      <c r="CT11" s="93">
        <f t="shared" si="31"/>
        <v>8.8024763869285882E-3</v>
      </c>
      <c r="CU11" s="106">
        <f t="shared" si="8"/>
        <v>1.1120127024766748E-2</v>
      </c>
      <c r="CV11" s="219">
        <f>SQRT($CU$9^2+$CU$11^2)</f>
        <v>1.1122668235071517E-2</v>
      </c>
    </row>
    <row r="12" spans="1:107" ht="15" x14ac:dyDescent="0.25">
      <c r="B12" t="s">
        <v>9</v>
      </c>
      <c r="C12" s="98">
        <v>12687.216515616879</v>
      </c>
      <c r="D12" s="98">
        <v>12863.242388238106</v>
      </c>
      <c r="E12" s="98">
        <v>13065.975634636348</v>
      </c>
      <c r="F12" s="98">
        <v>13278.42065331714</v>
      </c>
      <c r="G12" s="98">
        <v>13484.795814321338</v>
      </c>
      <c r="H12" s="98">
        <v>13439</v>
      </c>
      <c r="I12" s="98">
        <v>13401</v>
      </c>
      <c r="J12" s="98">
        <v>13099</v>
      </c>
      <c r="K12" s="98">
        <v>12824</v>
      </c>
      <c r="L12" s="98">
        <v>12870</v>
      </c>
      <c r="M12" s="98">
        <v>12759</v>
      </c>
      <c r="N12" s="98">
        <v>12416.1</v>
      </c>
      <c r="O12" s="98">
        <v>12174</v>
      </c>
      <c r="P12" s="98">
        <v>11797</v>
      </c>
      <c r="R12" s="87">
        <f t="shared" si="9"/>
        <v>12868.482214723557</v>
      </c>
      <c r="S12" s="236">
        <f t="shared" si="32"/>
        <v>7.0369270156677058E-2</v>
      </c>
      <c r="U12" t="s">
        <v>9</v>
      </c>
      <c r="V12" s="98">
        <v>12677.113504965801</v>
      </c>
      <c r="W12" s="98">
        <v>12904.365086264601</v>
      </c>
      <c r="X12" s="98">
        <v>13111.1119852516</v>
      </c>
      <c r="Y12" s="98">
        <v>13273.602404229699</v>
      </c>
      <c r="Z12" s="98">
        <v>13371.3294303845</v>
      </c>
      <c r="AA12" s="98">
        <v>13392.8043563017</v>
      </c>
      <c r="AB12" s="98">
        <v>13337.5384866967</v>
      </c>
      <c r="AC12" s="98">
        <v>13214.8188321002</v>
      </c>
      <c r="AD12" s="98">
        <v>13040.2803407583</v>
      </c>
      <c r="AE12" s="98">
        <v>12831.552834303</v>
      </c>
      <c r="AF12" s="98">
        <v>12604.282713279499</v>
      </c>
      <c r="AG12" s="98">
        <v>12369.5585070371</v>
      </c>
      <c r="AH12" s="98">
        <v>12133.2513619362</v>
      </c>
      <c r="AI12" s="98">
        <v>11897.141156490999</v>
      </c>
      <c r="AK12" s="87">
        <f t="shared" si="10"/>
        <v>12868.482214285705</v>
      </c>
      <c r="AM12" t="s">
        <v>9</v>
      </c>
      <c r="AN12" s="87">
        <f t="shared" si="11"/>
        <v>-10.103010651078876</v>
      </c>
      <c r="AO12" s="87">
        <f t="shared" si="12"/>
        <v>41.122698026494618</v>
      </c>
      <c r="AP12" s="87">
        <f t="shared" si="13"/>
        <v>45.136350615252013</v>
      </c>
      <c r="AQ12" s="87">
        <f t="shared" si="14"/>
        <v>-4.818249087440563</v>
      </c>
      <c r="AR12" s="87">
        <f t="shared" si="15"/>
        <v>-113.46638393683861</v>
      </c>
      <c r="AS12" s="87">
        <f t="shared" si="16"/>
        <v>-46.195643698300046</v>
      </c>
      <c r="AT12" s="87">
        <f t="shared" si="17"/>
        <v>-63.461513303300308</v>
      </c>
      <c r="AU12" s="87">
        <f t="shared" si="18"/>
        <v>115.81883210019987</v>
      </c>
      <c r="AV12" s="87">
        <f t="shared" si="19"/>
        <v>216.28034075829964</v>
      </c>
      <c r="AW12" s="87">
        <f t="shared" si="20"/>
        <v>-38.447165696999946</v>
      </c>
      <c r="AX12" s="87">
        <f t="shared" si="21"/>
        <v>-154.71728672050085</v>
      </c>
      <c r="AY12" s="87">
        <f t="shared" si="22"/>
        <v>-46.54149296290052</v>
      </c>
      <c r="AZ12" s="87">
        <f t="shared" si="23"/>
        <v>-40.748638063800172</v>
      </c>
      <c r="BA12" s="87">
        <f t="shared" si="24"/>
        <v>100.14115649099949</v>
      </c>
      <c r="BC12" s="87">
        <f t="shared" si="25"/>
        <v>-4.3785101817255576E-7</v>
      </c>
      <c r="BD12" s="87"/>
      <c r="BE12" s="87">
        <f t="shared" si="26"/>
        <v>97.013598793779281</v>
      </c>
      <c r="BG12" t="s">
        <v>9</v>
      </c>
      <c r="BH12" s="88">
        <f t="shared" si="6"/>
        <v>-7.9694882018066548E-4</v>
      </c>
      <c r="BI12" s="88">
        <f t="shared" si="6"/>
        <v>3.1867277275242E-3</v>
      </c>
      <c r="BJ12" s="88">
        <f t="shared" si="6"/>
        <v>3.4426027835034049E-3</v>
      </c>
      <c r="BK12" s="88">
        <f t="shared" si="6"/>
        <v>-3.6299483295546085E-4</v>
      </c>
      <c r="BL12" s="88">
        <f t="shared" si="6"/>
        <v>-8.4857967584735378E-3</v>
      </c>
      <c r="BM12" s="88">
        <f t="shared" si="6"/>
        <v>-3.4492883244847572E-3</v>
      </c>
      <c r="BN12" s="88">
        <f t="shared" si="6"/>
        <v>-4.7581128531774368E-3</v>
      </c>
      <c r="BO12" s="88">
        <f t="shared" si="6"/>
        <v>8.7643147871890315E-3</v>
      </c>
      <c r="BP12" s="88">
        <f t="shared" si="6"/>
        <v>1.6585559137275635E-2</v>
      </c>
      <c r="BQ12" s="88">
        <f t="shared" si="6"/>
        <v>-2.9962987483648832E-3</v>
      </c>
      <c r="BR12" s="88">
        <f t="shared" si="6"/>
        <v>-1.2274977500900968E-2</v>
      </c>
      <c r="BS12" s="88">
        <f t="shared" si="6"/>
        <v>-3.7625831945758488E-3</v>
      </c>
      <c r="BT12" s="88">
        <f t="shared" si="6"/>
        <v>-3.3584269251714888E-3</v>
      </c>
      <c r="BU12" s="88">
        <f t="shared" si="6"/>
        <v>8.4172453847337226E-3</v>
      </c>
      <c r="BW12" s="88">
        <f t="shared" si="27"/>
        <v>7.5302003936071641E-3</v>
      </c>
      <c r="BX12" s="90"/>
      <c r="BY12" s="85" t="s">
        <v>6</v>
      </c>
      <c r="BZ12" t="s">
        <v>9</v>
      </c>
      <c r="CA12" s="91">
        <f t="shared" si="28"/>
        <v>2.8971350375690981E-4</v>
      </c>
      <c r="CB12" s="91">
        <f t="shared" si="7"/>
        <v>-1.865336688038015E-3</v>
      </c>
      <c r="CC12" s="91">
        <f t="shared" si="7"/>
        <v>-4.397400367094891E-3</v>
      </c>
      <c r="CD12" s="91">
        <f t="shared" si="7"/>
        <v>6.2743643423795485E-3</v>
      </c>
      <c r="CE12" s="91">
        <f t="shared" si="7"/>
        <v>9.9432812396683425E-3</v>
      </c>
      <c r="CF12" s="91">
        <f t="shared" si="7"/>
        <v>-9.6028863045727886E-3</v>
      </c>
      <c r="CG12" s="91">
        <f t="shared" si="7"/>
        <v>-5.7474779658437444E-3</v>
      </c>
      <c r="CH12" s="91">
        <f t="shared" si="7"/>
        <v>1.9462087076788058E-3</v>
      </c>
      <c r="CI12" s="91">
        <f t="shared" si="7"/>
        <v>2.5903462606246055E-3</v>
      </c>
      <c r="CJ12" s="91">
        <f t="shared" si="7"/>
        <v>2.8276174067608287E-3</v>
      </c>
      <c r="CK12" s="91">
        <f t="shared" si="7"/>
        <v>-7.2204388522783061E-4</v>
      </c>
      <c r="CL12" s="91">
        <f t="shared" si="7"/>
        <v>1.4259630694962665E-3</v>
      </c>
      <c r="CM12" s="91">
        <f t="shared" si="7"/>
        <v>-5.9980870758758482E-3</v>
      </c>
      <c r="CN12" s="91">
        <f t="shared" si="7"/>
        <v>2.9762005212635688E-3</v>
      </c>
      <c r="CP12" s="88">
        <f t="shared" si="29"/>
        <v>5.2055317335172662E-3</v>
      </c>
      <c r="CQ12" s="92"/>
      <c r="CR12" t="s">
        <v>9</v>
      </c>
      <c r="CS12" s="88">
        <f t="shared" si="30"/>
        <v>7.7542895521693578E-2</v>
      </c>
      <c r="CT12" s="93">
        <f t="shared" si="31"/>
        <v>5.2055317335172662E-3</v>
      </c>
      <c r="CU12" s="106">
        <f t="shared" si="8"/>
        <v>1.4694192829424316E-2</v>
      </c>
      <c r="CV12" s="219">
        <f>SQRT($CV$10^2+$CU$12^2)</f>
        <v>1.4860177291102891E-2</v>
      </c>
    </row>
    <row r="13" spans="1:107" ht="15" x14ac:dyDescent="0.25">
      <c r="B13" t="s">
        <v>54</v>
      </c>
      <c r="C13" s="98" t="s">
        <v>14</v>
      </c>
      <c r="D13" s="98" t="s">
        <v>14</v>
      </c>
      <c r="E13" s="98" t="s">
        <v>14</v>
      </c>
      <c r="F13" s="98">
        <v>6414.4923916557236</v>
      </c>
      <c r="G13" s="98" t="s">
        <v>14</v>
      </c>
      <c r="H13" s="98">
        <v>6324</v>
      </c>
      <c r="I13" s="98">
        <v>6347</v>
      </c>
      <c r="J13" s="98">
        <v>6211</v>
      </c>
      <c r="K13" s="98">
        <v>6462</v>
      </c>
      <c r="L13" s="98">
        <v>6440</v>
      </c>
      <c r="M13" s="98">
        <v>6465</v>
      </c>
      <c r="N13" s="98">
        <v>6379.1</v>
      </c>
      <c r="O13" s="98">
        <v>6375</v>
      </c>
      <c r="P13" s="98">
        <v>6023</v>
      </c>
      <c r="R13" s="87">
        <f t="shared" si="9"/>
        <v>6344.0592391655719</v>
      </c>
      <c r="S13" s="236">
        <f t="shared" si="32"/>
        <v>3.5927279321324564E-2</v>
      </c>
      <c r="U13" t="s">
        <v>54</v>
      </c>
      <c r="V13" s="98" t="s">
        <v>14</v>
      </c>
      <c r="W13" s="98" t="s">
        <v>14</v>
      </c>
      <c r="X13" s="98" t="s">
        <v>14</v>
      </c>
      <c r="Y13" s="98">
        <v>6416.6127372341698</v>
      </c>
      <c r="Z13" s="98" t="s">
        <v>14</v>
      </c>
      <c r="AA13" s="98">
        <v>6306.6922143117499</v>
      </c>
      <c r="AB13" s="98">
        <v>6303.9547003187799</v>
      </c>
      <c r="AC13" s="98">
        <v>6343.5509786787297</v>
      </c>
      <c r="AD13" s="98">
        <v>6404.5298941316196</v>
      </c>
      <c r="AE13" s="98">
        <v>6451.7706173122197</v>
      </c>
      <c r="AF13" s="98">
        <v>6451.4586072750299</v>
      </c>
      <c r="AG13" s="98">
        <v>6386.52593858002</v>
      </c>
      <c r="AH13" s="98">
        <v>6264.3104199681802</v>
      </c>
      <c r="AI13" s="98">
        <v>6111.1862841894699</v>
      </c>
      <c r="AK13" s="87">
        <f t="shared" si="10"/>
        <v>6344.0592391999971</v>
      </c>
      <c r="AM13" t="s">
        <v>54</v>
      </c>
      <c r="AN13" s="87" t="str">
        <f t="shared" si="11"/>
        <v>-</v>
      </c>
      <c r="AO13" s="87" t="str">
        <f t="shared" si="12"/>
        <v>-</v>
      </c>
      <c r="AP13" s="87" t="str">
        <f t="shared" si="13"/>
        <v>-</v>
      </c>
      <c r="AQ13" s="87">
        <f t="shared" si="14"/>
        <v>2.1203455784461767</v>
      </c>
      <c r="AR13" s="87" t="str">
        <f t="shared" si="15"/>
        <v>-</v>
      </c>
      <c r="AS13" s="87">
        <f t="shared" si="16"/>
        <v>-17.307785688250078</v>
      </c>
      <c r="AT13" s="87">
        <f t="shared" si="17"/>
        <v>-43.045299681220058</v>
      </c>
      <c r="AU13" s="87">
        <f t="shared" si="18"/>
        <v>132.55097867872973</v>
      </c>
      <c r="AV13" s="87">
        <f t="shared" si="19"/>
        <v>-57.470105868380415</v>
      </c>
      <c r="AW13" s="87">
        <f t="shared" si="20"/>
        <v>11.770617312219656</v>
      </c>
      <c r="AX13" s="87">
        <f t="shared" si="21"/>
        <v>-13.541392724970137</v>
      </c>
      <c r="AY13" s="87">
        <f t="shared" si="22"/>
        <v>7.4259385800196469</v>
      </c>
      <c r="AZ13" s="87">
        <f t="shared" si="23"/>
        <v>-110.68958003181979</v>
      </c>
      <c r="BA13" s="87">
        <f t="shared" si="24"/>
        <v>88.186284189469916</v>
      </c>
      <c r="BC13" s="87">
        <f t="shared" si="25"/>
        <v>3.442446541157551E-8</v>
      </c>
      <c r="BD13" s="87"/>
      <c r="BE13" s="87">
        <f t="shared" si="26"/>
        <v>69.470691911580644</v>
      </c>
      <c r="BG13" t="s">
        <v>54</v>
      </c>
      <c r="BH13" s="88" t="str">
        <f t="shared" si="6"/>
        <v>-</v>
      </c>
      <c r="BI13" s="88" t="str">
        <f t="shared" si="6"/>
        <v>-</v>
      </c>
      <c r="BJ13" s="88" t="str">
        <f t="shared" si="6"/>
        <v>-</v>
      </c>
      <c r="BK13" s="88">
        <f t="shared" si="6"/>
        <v>3.3044624403500073E-4</v>
      </c>
      <c r="BL13" s="88" t="str">
        <f t="shared" si="6"/>
        <v>-</v>
      </c>
      <c r="BM13" s="88">
        <f t="shared" si="6"/>
        <v>-2.7443523641400469E-3</v>
      </c>
      <c r="BN13" s="88">
        <f t="shared" si="6"/>
        <v>-6.8283009202212913E-3</v>
      </c>
      <c r="BO13" s="88">
        <f t="shared" si="6"/>
        <v>2.0895391102593173E-2</v>
      </c>
      <c r="BP13" s="88">
        <f t="shared" si="6"/>
        <v>-8.9733527391353835E-3</v>
      </c>
      <c r="BQ13" s="88">
        <f t="shared" si="6"/>
        <v>1.8244010846627473E-3</v>
      </c>
      <c r="BR13" s="88">
        <f t="shared" si="6"/>
        <v>-2.0989660709750343E-3</v>
      </c>
      <c r="BS13" s="88">
        <f t="shared" si="6"/>
        <v>1.1627508682240989E-3</v>
      </c>
      <c r="BT13" s="88">
        <f t="shared" si="6"/>
        <v>-1.76698746727149E-2</v>
      </c>
      <c r="BU13" s="88">
        <f t="shared" si="6"/>
        <v>1.4430305359471809E-2</v>
      </c>
      <c r="BW13" s="88">
        <f t="shared" si="27"/>
        <v>1.106012994784419E-2</v>
      </c>
      <c r="BX13" s="90"/>
      <c r="BY13" s="85" t="s">
        <v>9</v>
      </c>
      <c r="BZ13" t="s">
        <v>54</v>
      </c>
      <c r="CA13" s="91" t="str">
        <f t="shared" si="28"/>
        <v>-</v>
      </c>
      <c r="CB13" s="91" t="str">
        <f t="shared" si="7"/>
        <v>-</v>
      </c>
      <c r="CC13" s="91" t="str">
        <f t="shared" si="7"/>
        <v>-</v>
      </c>
      <c r="CD13" s="91">
        <f t="shared" si="7"/>
        <v>6.9344107699046158E-4</v>
      </c>
      <c r="CE13" s="91" t="str">
        <f t="shared" si="7"/>
        <v>-</v>
      </c>
      <c r="CF13" s="91">
        <f t="shared" si="7"/>
        <v>7.0493596034471029E-4</v>
      </c>
      <c r="CG13" s="91">
        <f t="shared" si="7"/>
        <v>-2.0701880670438546E-3</v>
      </c>
      <c r="CH13" s="91">
        <f t="shared" si="7"/>
        <v>1.2131076315404141E-2</v>
      </c>
      <c r="CI13" s="91">
        <f t="shared" si="7"/>
        <v>-2.5558911876411017E-2</v>
      </c>
      <c r="CJ13" s="91">
        <f t="shared" si="7"/>
        <v>4.8206998330276307E-3</v>
      </c>
      <c r="CK13" s="91">
        <f t="shared" si="7"/>
        <v>1.0176011429925934E-2</v>
      </c>
      <c r="CL13" s="91">
        <f t="shared" si="7"/>
        <v>4.9253340627999475E-3</v>
      </c>
      <c r="CM13" s="91">
        <f t="shared" si="7"/>
        <v>-1.4311447747543411E-2</v>
      </c>
      <c r="CN13" s="91">
        <f t="shared" si="7"/>
        <v>6.0130599747380865E-3</v>
      </c>
      <c r="CP13" s="88">
        <f t="shared" si="29"/>
        <v>1.1533020750079797E-2</v>
      </c>
      <c r="CQ13" s="92"/>
      <c r="CR13" t="s">
        <v>54</v>
      </c>
      <c r="CS13" s="88">
        <f t="shared" si="30"/>
        <v>3.82280298917613E-2</v>
      </c>
      <c r="CT13" s="93">
        <f t="shared" si="31"/>
        <v>1.1533020750079797E-2</v>
      </c>
      <c r="CU13" s="106">
        <f t="shared" si="8"/>
        <v>2.2729532996146419E-2</v>
      </c>
      <c r="CV13" s="219">
        <f>SQRT($CV$12^2+$CU$13^2)</f>
        <v>2.7156151040711181E-2</v>
      </c>
    </row>
    <row r="14" spans="1:107" ht="15" x14ac:dyDescent="0.25">
      <c r="B14" t="s">
        <v>55</v>
      </c>
      <c r="C14" s="98" t="s">
        <v>14</v>
      </c>
      <c r="D14" s="98" t="s">
        <v>14</v>
      </c>
      <c r="E14" s="98" t="s">
        <v>14</v>
      </c>
      <c r="F14" s="98">
        <v>3049.4</v>
      </c>
      <c r="G14" s="98" t="s">
        <v>14</v>
      </c>
      <c r="H14" s="98">
        <v>3035</v>
      </c>
      <c r="I14" s="98">
        <v>2996</v>
      </c>
      <c r="J14" s="98">
        <v>3018</v>
      </c>
      <c r="K14" s="98">
        <v>3062</v>
      </c>
      <c r="L14" s="98">
        <v>3160</v>
      </c>
      <c r="M14" s="98">
        <v>3215</v>
      </c>
      <c r="N14" s="98">
        <v>3149.7</v>
      </c>
      <c r="O14" s="98">
        <v>3060</v>
      </c>
      <c r="P14" s="98">
        <v>2999</v>
      </c>
      <c r="R14" s="87">
        <f t="shared" si="9"/>
        <v>3074.4100000000003</v>
      </c>
      <c r="S14" s="236">
        <f t="shared" si="32"/>
        <v>1.7889076985663683E-2</v>
      </c>
      <c r="U14" t="s">
        <v>55</v>
      </c>
      <c r="V14" s="98" t="s">
        <v>14</v>
      </c>
      <c r="W14" s="98" t="s">
        <v>14</v>
      </c>
      <c r="X14" s="98" t="s">
        <v>14</v>
      </c>
      <c r="Y14" s="98">
        <v>3061.80972407632</v>
      </c>
      <c r="Z14" s="98" t="s">
        <v>14</v>
      </c>
      <c r="AA14" s="98">
        <v>2994.4393929524799</v>
      </c>
      <c r="AB14" s="98">
        <v>3000.8845051159901</v>
      </c>
      <c r="AC14" s="98">
        <v>3040.6117108497801</v>
      </c>
      <c r="AD14" s="98">
        <v>3098.93908509729</v>
      </c>
      <c r="AE14" s="98">
        <v>3150.5601311349701</v>
      </c>
      <c r="AF14" s="98">
        <v>3170.7491139690601</v>
      </c>
      <c r="AG14" s="98">
        <v>3146.58351995662</v>
      </c>
      <c r="AH14" s="98">
        <v>3082.57548285955</v>
      </c>
      <c r="AI14" s="98">
        <v>2996.9473339879301</v>
      </c>
      <c r="AK14" s="87">
        <f t="shared" si="10"/>
        <v>3074.4099999999989</v>
      </c>
      <c r="AM14" t="s">
        <v>55</v>
      </c>
      <c r="AN14" s="87" t="str">
        <f t="shared" si="11"/>
        <v>-</v>
      </c>
      <c r="AO14" s="87" t="str">
        <f t="shared" si="12"/>
        <v>-</v>
      </c>
      <c r="AP14" s="87" t="str">
        <f t="shared" si="13"/>
        <v>-</v>
      </c>
      <c r="AQ14" s="87">
        <f t="shared" si="14"/>
        <v>12.40972407631989</v>
      </c>
      <c r="AR14" s="87" t="str">
        <f t="shared" si="15"/>
        <v>-</v>
      </c>
      <c r="AS14" s="87">
        <f t="shared" si="16"/>
        <v>-40.56060704752008</v>
      </c>
      <c r="AT14" s="87">
        <f t="shared" si="17"/>
        <v>4.8845051159901232</v>
      </c>
      <c r="AU14" s="87">
        <f t="shared" si="18"/>
        <v>22.611710849780138</v>
      </c>
      <c r="AV14" s="87">
        <f t="shared" si="19"/>
        <v>36.93908509728999</v>
      </c>
      <c r="AW14" s="87">
        <f t="shared" si="20"/>
        <v>-9.4398688650298936</v>
      </c>
      <c r="AX14" s="87">
        <f t="shared" si="21"/>
        <v>-44.25088603093991</v>
      </c>
      <c r="AY14" s="87">
        <f t="shared" si="22"/>
        <v>-3.1164800433798518</v>
      </c>
      <c r="AZ14" s="87">
        <f t="shared" si="23"/>
        <v>22.575482859549993</v>
      </c>
      <c r="BA14" s="87">
        <f t="shared" si="24"/>
        <v>-2.0526660120699489</v>
      </c>
      <c r="BC14" s="87">
        <f t="shared" si="25"/>
        <v>-9.5496943686157469E-13</v>
      </c>
      <c r="BD14" s="87"/>
      <c r="BE14" s="87">
        <f t="shared" si="26"/>
        <v>26.393682560610934</v>
      </c>
      <c r="BG14" t="s">
        <v>55</v>
      </c>
      <c r="BH14" s="88" t="str">
        <f t="shared" si="6"/>
        <v>-</v>
      </c>
      <c r="BI14" s="88" t="str">
        <f t="shared" si="6"/>
        <v>-</v>
      </c>
      <c r="BJ14" s="88" t="str">
        <f t="shared" si="6"/>
        <v>-</v>
      </c>
      <c r="BK14" s="88">
        <f t="shared" si="6"/>
        <v>4.0530683467156431E-3</v>
      </c>
      <c r="BL14" s="88" t="str">
        <f t="shared" si="6"/>
        <v>-</v>
      </c>
      <c r="BM14" s="88">
        <f t="shared" si="6"/>
        <v>-1.3545309062851937E-2</v>
      </c>
      <c r="BN14" s="88">
        <f t="shared" si="6"/>
        <v>1.6276884724030149E-3</v>
      </c>
      <c r="BO14" s="88">
        <f t="shared" si="6"/>
        <v>7.436566388629968E-3</v>
      </c>
      <c r="BP14" s="88">
        <f t="shared" si="6"/>
        <v>1.1919913261583296E-2</v>
      </c>
      <c r="BQ14" s="88">
        <f t="shared" si="6"/>
        <v>-2.9962509751017634E-3</v>
      </c>
      <c r="BR14" s="88">
        <f t="shared" si="6"/>
        <v>-1.3955972055937222E-2</v>
      </c>
      <c r="BS14" s="88">
        <f t="shared" si="6"/>
        <v>-9.904329643927001E-4</v>
      </c>
      <c r="BT14" s="88">
        <f t="shared" si="6"/>
        <v>7.3235782822122023E-3</v>
      </c>
      <c r="BU14" s="88">
        <f t="shared" si="6"/>
        <v>-6.8491894695344553E-4</v>
      </c>
      <c r="BW14" s="88">
        <f t="shared" si="27"/>
        <v>8.5554855477679159E-3</v>
      </c>
      <c r="BX14" s="90"/>
      <c r="BY14" s="85" t="s">
        <v>6</v>
      </c>
      <c r="BZ14" t="s">
        <v>55</v>
      </c>
      <c r="CA14" s="91" t="str">
        <f t="shared" si="28"/>
        <v>-</v>
      </c>
      <c r="CB14" s="91" t="str">
        <f t="shared" si="7"/>
        <v>-</v>
      </c>
      <c r="CC14" s="91" t="str">
        <f t="shared" si="7"/>
        <v>-</v>
      </c>
      <c r="CD14" s="91">
        <f t="shared" si="7"/>
        <v>1.0690427522050652E-2</v>
      </c>
      <c r="CE14" s="91" t="str">
        <f t="shared" si="7"/>
        <v>-</v>
      </c>
      <c r="CF14" s="91">
        <f t="shared" si="7"/>
        <v>-1.9698907042939969E-2</v>
      </c>
      <c r="CG14" s="91">
        <f t="shared" si="7"/>
        <v>6.3832335973670754E-4</v>
      </c>
      <c r="CH14" s="91">
        <f t="shared" si="7"/>
        <v>6.1846030911974232E-4</v>
      </c>
      <c r="CI14" s="91">
        <f t="shared" si="7"/>
        <v>-2.0752996150677338E-3</v>
      </c>
      <c r="CJ14" s="91">
        <f t="shared" si="7"/>
        <v>2.8276651800239485E-3</v>
      </c>
      <c r="CK14" s="91">
        <f t="shared" si="7"/>
        <v>-2.4030384402640853E-3</v>
      </c>
      <c r="CL14" s="91">
        <f t="shared" si="7"/>
        <v>4.1981132996794148E-3</v>
      </c>
      <c r="CM14" s="91">
        <f t="shared" si="7"/>
        <v>4.6839181315078424E-3</v>
      </c>
      <c r="CN14" s="91">
        <f t="shared" si="7"/>
        <v>-6.1259638104235997E-3</v>
      </c>
      <c r="CP14" s="88">
        <f t="shared" si="29"/>
        <v>8.1231673274684696E-3</v>
      </c>
      <c r="CQ14" s="92"/>
      <c r="CR14" t="s">
        <v>55</v>
      </c>
      <c r="CS14" s="88">
        <f t="shared" si="30"/>
        <v>1.8525778677153132E-2</v>
      </c>
      <c r="CT14" s="93">
        <f t="shared" si="31"/>
        <v>8.1231673274684696E-3</v>
      </c>
      <c r="CU14" s="106">
        <f t="shared" si="8"/>
        <v>2.8563266235836968E-2</v>
      </c>
      <c r="CV14" s="219">
        <f>SQRT($CV$10^2+$CU$14^2)</f>
        <v>2.8649009481551177E-2</v>
      </c>
    </row>
    <row r="15" spans="1:107" ht="15" x14ac:dyDescent="0.25">
      <c r="B15" t="s">
        <v>10</v>
      </c>
      <c r="C15" s="98">
        <v>8725.5861149053617</v>
      </c>
      <c r="D15" s="98">
        <v>8901.2603875370605</v>
      </c>
      <c r="E15" s="98">
        <v>9035.5995371965964</v>
      </c>
      <c r="F15" s="98">
        <v>9168.646964263251</v>
      </c>
      <c r="G15" s="98">
        <v>9140.2290672198869</v>
      </c>
      <c r="H15" s="98">
        <v>9020.0988660820349</v>
      </c>
      <c r="I15" s="98">
        <v>9442</v>
      </c>
      <c r="J15" s="98">
        <v>8951</v>
      </c>
      <c r="K15" s="98">
        <v>8973</v>
      </c>
      <c r="L15" s="98">
        <v>9012</v>
      </c>
      <c r="M15" s="98">
        <v>8715</v>
      </c>
      <c r="N15" s="98">
        <v>8181.2</v>
      </c>
      <c r="O15" s="98">
        <v>8074</v>
      </c>
      <c r="P15" s="98">
        <v>7978</v>
      </c>
      <c r="R15" s="87">
        <f t="shared" si="9"/>
        <v>8808.4014955145849</v>
      </c>
      <c r="S15" s="236">
        <f t="shared" si="32"/>
        <v>4.7588881691105325E-2</v>
      </c>
      <c r="U15" t="s">
        <v>10</v>
      </c>
      <c r="V15" s="98">
        <v>8774.1789368753998</v>
      </c>
      <c r="W15" s="98">
        <v>8896.1436866392305</v>
      </c>
      <c r="X15" s="98">
        <v>9009.7541040246106</v>
      </c>
      <c r="Y15" s="98">
        <v>9104.5143474441193</v>
      </c>
      <c r="Z15" s="98">
        <v>9169.5956440921309</v>
      </c>
      <c r="AA15" s="98">
        <v>9195.7521117567303</v>
      </c>
      <c r="AB15" s="98">
        <v>9176.4048115046207</v>
      </c>
      <c r="AC15" s="98">
        <v>9108.1875471660496</v>
      </c>
      <c r="AD15" s="98">
        <v>8991.1585162988395</v>
      </c>
      <c r="AE15" s="98">
        <v>8828.7841068911293</v>
      </c>
      <c r="AF15" s="98">
        <v>8627.6996790049507</v>
      </c>
      <c r="AG15" s="98">
        <v>8397.1496252799207</v>
      </c>
      <c r="AH15" s="98">
        <v>8147.9082401920296</v>
      </c>
      <c r="AI15" s="98">
        <v>7890.3895798302201</v>
      </c>
      <c r="AK15" s="87">
        <f t="shared" si="10"/>
        <v>8808.4014954999984</v>
      </c>
      <c r="AM15" t="s">
        <v>10</v>
      </c>
      <c r="AN15" s="87">
        <f t="shared" si="11"/>
        <v>48.592821970038131</v>
      </c>
      <c r="AO15" s="87">
        <f t="shared" si="12"/>
        <v>-5.1167008978300146</v>
      </c>
      <c r="AP15" s="87">
        <f t="shared" si="13"/>
        <v>-25.84543317198586</v>
      </c>
      <c r="AQ15" s="87">
        <f t="shared" si="14"/>
        <v>-64.132616819131727</v>
      </c>
      <c r="AR15" s="87">
        <f t="shared" si="15"/>
        <v>29.366576872243968</v>
      </c>
      <c r="AS15" s="87">
        <f t="shared" si="16"/>
        <v>175.65324567469543</v>
      </c>
      <c r="AT15" s="87">
        <f t="shared" si="17"/>
        <v>-265.59518849537926</v>
      </c>
      <c r="AU15" s="87">
        <f t="shared" si="18"/>
        <v>157.18754716604963</v>
      </c>
      <c r="AV15" s="87">
        <f t="shared" si="19"/>
        <v>18.158516298839459</v>
      </c>
      <c r="AW15" s="87">
        <f t="shared" si="20"/>
        <v>-183.21589310887066</v>
      </c>
      <c r="AX15" s="87">
        <f t="shared" si="21"/>
        <v>-87.300320995049333</v>
      </c>
      <c r="AY15" s="87">
        <f t="shared" si="22"/>
        <v>215.94962527992084</v>
      </c>
      <c r="AZ15" s="87">
        <f t="shared" si="23"/>
        <v>73.908240192029552</v>
      </c>
      <c r="BA15" s="87">
        <f t="shared" si="24"/>
        <v>-87.6104201697799</v>
      </c>
      <c r="BC15" s="87">
        <f t="shared" si="25"/>
        <v>-1.4586411063126953E-8</v>
      </c>
      <c r="BD15" s="87"/>
      <c r="BE15" s="87">
        <f t="shared" si="26"/>
        <v>134.57197251258742</v>
      </c>
      <c r="BG15" t="s">
        <v>10</v>
      </c>
      <c r="BH15" s="88">
        <f t="shared" si="6"/>
        <v>5.5381617265424354E-3</v>
      </c>
      <c r="BI15" s="88">
        <f t="shared" si="6"/>
        <v>-5.7515942615839124E-4</v>
      </c>
      <c r="BJ15" s="88">
        <f t="shared" si="6"/>
        <v>-2.8686058324766976E-3</v>
      </c>
      <c r="BK15" s="88">
        <f t="shared" si="6"/>
        <v>-7.0440458844612036E-3</v>
      </c>
      <c r="BL15" s="88">
        <f t="shared" si="6"/>
        <v>3.2026032566839007E-3</v>
      </c>
      <c r="BM15" s="88">
        <f t="shared" si="6"/>
        <v>1.9101563802500013E-2</v>
      </c>
      <c r="BN15" s="88">
        <f t="shared" si="6"/>
        <v>-2.894327287767404E-2</v>
      </c>
      <c r="BO15" s="88">
        <f t="shared" si="6"/>
        <v>1.7257829436654219E-2</v>
      </c>
      <c r="BP15" s="88">
        <f t="shared" si="6"/>
        <v>2.0195969480376053E-3</v>
      </c>
      <c r="BQ15" s="88">
        <f t="shared" si="6"/>
        <v>-2.0752109338121112E-2</v>
      </c>
      <c r="BR15" s="88">
        <f t="shared" si="6"/>
        <v>-1.0118609159228157E-2</v>
      </c>
      <c r="BS15" s="88">
        <f t="shared" si="6"/>
        <v>2.571701528692507E-2</v>
      </c>
      <c r="BT15" s="88">
        <f t="shared" si="6"/>
        <v>9.070823825365967E-3</v>
      </c>
      <c r="BU15" s="88">
        <f t="shared" si="6"/>
        <v>-1.1103434029890454E-2</v>
      </c>
      <c r="BW15" s="88">
        <f t="shared" si="27"/>
        <v>1.5200075053338556E-2</v>
      </c>
      <c r="BX15" s="90"/>
      <c r="BY15" s="85" t="s">
        <v>7</v>
      </c>
      <c r="BZ15" t="s">
        <v>10</v>
      </c>
      <c r="CA15" s="91">
        <f t="shared" si="28"/>
        <v>2.3351151962237252E-4</v>
      </c>
      <c r="CB15" s="91">
        <f t="shared" si="7"/>
        <v>4.7663256045366838E-3</v>
      </c>
      <c r="CC15" s="91">
        <f t="shared" si="7"/>
        <v>1.0058473419274601E-3</v>
      </c>
      <c r="CD15" s="91">
        <f t="shared" si="7"/>
        <v>-1.080381565381856E-2</v>
      </c>
      <c r="CE15" s="91">
        <f t="shared" si="7"/>
        <v>3.2938397612936559E-3</v>
      </c>
      <c r="CF15" s="91">
        <f t="shared" si="7"/>
        <v>6.3806450774999916E-3</v>
      </c>
      <c r="CG15" s="91">
        <f t="shared" si="7"/>
        <v>-7.4253234110348253E-3</v>
      </c>
      <c r="CH15" s="91">
        <f t="shared" si="7"/>
        <v>8.9533301455003954E-3</v>
      </c>
      <c r="CI15" s="91">
        <f t="shared" si="7"/>
        <v>-5.9693156180136361E-3</v>
      </c>
      <c r="CJ15" s="91">
        <f t="shared" si="7"/>
        <v>-1.0580167431249959E-2</v>
      </c>
      <c r="CK15" s="91">
        <f t="shared" si="7"/>
        <v>-2.5206612722124709E-3</v>
      </c>
      <c r="CL15" s="91">
        <f t="shared" si="7"/>
        <v>1.4622112669057987E-2</v>
      </c>
      <c r="CM15" s="91">
        <f t="shared" si="7"/>
        <v>6.2855665566591773E-3</v>
      </c>
      <c r="CN15" s="91">
        <f t="shared" si="7"/>
        <v>-7.9640585425079097E-3</v>
      </c>
      <c r="CP15" s="88">
        <f t="shared" si="29"/>
        <v>7.834969711616107E-3</v>
      </c>
      <c r="CQ15" s="92"/>
      <c r="CR15" t="s">
        <v>10</v>
      </c>
      <c r="CS15" s="88">
        <f t="shared" si="30"/>
        <v>5.3077662577667856E-2</v>
      </c>
      <c r="CT15" s="93">
        <f t="shared" si="31"/>
        <v>7.834969711616107E-3</v>
      </c>
      <c r="CU15" s="106">
        <f t="shared" si="8"/>
        <v>1.9608619425701659E-2</v>
      </c>
      <c r="CV15" s="219">
        <f>SQRT($CV$11^2+$CU$15^2)</f>
        <v>2.2543551283004934E-2</v>
      </c>
    </row>
    <row r="16" spans="1:107" ht="15" x14ac:dyDescent="0.25">
      <c r="B16" t="s">
        <v>8</v>
      </c>
      <c r="C16" s="98" t="s">
        <v>14</v>
      </c>
      <c r="D16" s="98" t="s">
        <v>14</v>
      </c>
      <c r="E16" s="98" t="s">
        <v>14</v>
      </c>
      <c r="F16" s="98" t="s">
        <v>14</v>
      </c>
      <c r="G16" s="98" t="s">
        <v>14</v>
      </c>
      <c r="H16" s="98" t="s">
        <v>14</v>
      </c>
      <c r="I16" s="98">
        <v>16490.2040096294</v>
      </c>
      <c r="J16" s="98">
        <v>16709.843063334432</v>
      </c>
      <c r="K16" s="98">
        <v>16201</v>
      </c>
      <c r="L16" s="98">
        <v>16255</v>
      </c>
      <c r="M16" s="98">
        <v>16009</v>
      </c>
      <c r="N16" s="98">
        <v>16048.1</v>
      </c>
      <c r="O16" s="98">
        <v>15742</v>
      </c>
      <c r="P16" s="98">
        <v>15610</v>
      </c>
      <c r="R16" s="87">
        <f t="shared" si="9"/>
        <v>16133.14338412048</v>
      </c>
      <c r="S16" s="236">
        <f t="shared" si="32"/>
        <v>9.3113868538249447E-2</v>
      </c>
      <c r="U16" t="s">
        <v>8</v>
      </c>
      <c r="V16" s="98" t="s">
        <v>14</v>
      </c>
      <c r="W16" s="98" t="s">
        <v>14</v>
      </c>
      <c r="X16" s="98" t="s">
        <v>14</v>
      </c>
      <c r="Y16" s="98" t="s">
        <v>14</v>
      </c>
      <c r="Z16" s="98" t="s">
        <v>14</v>
      </c>
      <c r="AA16" s="98" t="s">
        <v>14</v>
      </c>
      <c r="AB16" s="98">
        <v>16620.8650108697</v>
      </c>
      <c r="AC16" s="98">
        <v>16481.5164788168</v>
      </c>
      <c r="AD16" s="98">
        <v>16342.167801755901</v>
      </c>
      <c r="AE16" s="98">
        <v>16202.818844260701</v>
      </c>
      <c r="AF16" s="98">
        <v>16063.469523636601</v>
      </c>
      <c r="AG16" s="98">
        <v>15924.1198348284</v>
      </c>
      <c r="AH16" s="98">
        <v>15784.7698546219</v>
      </c>
      <c r="AI16" s="98">
        <v>15645.419721209901</v>
      </c>
      <c r="AK16" s="87">
        <f t="shared" si="10"/>
        <v>16133.143383749986</v>
      </c>
      <c r="AM16" t="s">
        <v>8</v>
      </c>
      <c r="AN16" s="87" t="str">
        <f t="shared" si="11"/>
        <v>-</v>
      </c>
      <c r="AO16" s="87" t="str">
        <f t="shared" si="12"/>
        <v>-</v>
      </c>
      <c r="AP16" s="87" t="str">
        <f t="shared" si="13"/>
        <v>-</v>
      </c>
      <c r="AQ16" s="87" t="str">
        <f t="shared" si="14"/>
        <v>-</v>
      </c>
      <c r="AR16" s="87" t="str">
        <f t="shared" si="15"/>
        <v>-</v>
      </c>
      <c r="AS16" s="87" t="str">
        <f t="shared" si="16"/>
        <v>-</v>
      </c>
      <c r="AT16" s="87">
        <f t="shared" si="17"/>
        <v>130.66100124029981</v>
      </c>
      <c r="AU16" s="87">
        <f t="shared" si="18"/>
        <v>-228.326584517632</v>
      </c>
      <c r="AV16" s="87">
        <f t="shared" si="19"/>
        <v>141.16780175590065</v>
      </c>
      <c r="AW16" s="87">
        <f t="shared" si="20"/>
        <v>-52.181155739299356</v>
      </c>
      <c r="AX16" s="87">
        <f t="shared" si="21"/>
        <v>54.46952363660057</v>
      </c>
      <c r="AY16" s="87">
        <f t="shared" si="22"/>
        <v>-123.98016517160067</v>
      </c>
      <c r="AZ16" s="87">
        <f t="shared" si="23"/>
        <v>42.769854621899867</v>
      </c>
      <c r="BA16" s="87">
        <f t="shared" si="24"/>
        <v>35.419721209900672</v>
      </c>
      <c r="BC16" s="87">
        <f t="shared" si="25"/>
        <v>-3.7049130696686916E-7</v>
      </c>
      <c r="BD16" s="87"/>
      <c r="BE16" s="87">
        <f t="shared" si="26"/>
        <v>127.21094696022955</v>
      </c>
      <c r="BG16" t="s">
        <v>8</v>
      </c>
      <c r="BH16" s="88" t="str">
        <f t="shared" si="6"/>
        <v>-</v>
      </c>
      <c r="BI16" s="88" t="str">
        <f t="shared" si="6"/>
        <v>-</v>
      </c>
      <c r="BJ16" s="88" t="str">
        <f t="shared" si="6"/>
        <v>-</v>
      </c>
      <c r="BK16" s="88" t="str">
        <f t="shared" si="6"/>
        <v>-</v>
      </c>
      <c r="BL16" s="88" t="str">
        <f t="shared" si="6"/>
        <v>-</v>
      </c>
      <c r="BM16" s="88" t="str">
        <f t="shared" si="6"/>
        <v>-</v>
      </c>
      <c r="BN16" s="88">
        <f t="shared" si="6"/>
        <v>7.8612636078116416E-3</v>
      </c>
      <c r="BO16" s="88">
        <f t="shared" si="6"/>
        <v>-1.385349368858705E-2</v>
      </c>
      <c r="BP16" s="88">
        <f t="shared" si="6"/>
        <v>8.6382543288248907E-3</v>
      </c>
      <c r="BQ16" s="88">
        <f t="shared" si="6"/>
        <v>-3.2204986206941862E-3</v>
      </c>
      <c r="BR16" s="88">
        <f t="shared" si="6"/>
        <v>3.3908940753086597E-3</v>
      </c>
      <c r="BS16" s="88">
        <f t="shared" si="6"/>
        <v>-7.7856840100159102E-3</v>
      </c>
      <c r="BT16" s="88">
        <f t="shared" si="6"/>
        <v>2.7095646636480118E-3</v>
      </c>
      <c r="BU16" s="88">
        <f t="shared" si="6"/>
        <v>2.2639035475592582E-3</v>
      </c>
      <c r="BW16" s="88">
        <f t="shared" si="27"/>
        <v>7.776262763513086E-3</v>
      </c>
      <c r="BX16" s="90"/>
      <c r="BY16" s="85" t="s">
        <v>36</v>
      </c>
      <c r="BZ16" t="s">
        <v>8</v>
      </c>
      <c r="CA16" s="91" t="str">
        <f t="shared" si="28"/>
        <v>-</v>
      </c>
      <c r="CB16" s="91" t="str">
        <f t="shared" si="7"/>
        <v>-</v>
      </c>
      <c r="CC16" s="91" t="str">
        <f t="shared" si="7"/>
        <v>-</v>
      </c>
      <c r="CD16" s="91" t="str">
        <f t="shared" si="7"/>
        <v>-</v>
      </c>
      <c r="CE16" s="91" t="str">
        <f t="shared" si="7"/>
        <v>-</v>
      </c>
      <c r="CF16" s="91" t="str">
        <f t="shared" si="7"/>
        <v>-</v>
      </c>
      <c r="CG16" s="91">
        <f t="shared" si="7"/>
        <v>3.4762354187675149E-2</v>
      </c>
      <c r="CH16" s="91">
        <f t="shared" si="7"/>
        <v>8.1200360140112962E-3</v>
      </c>
      <c r="CI16" s="91">
        <f t="shared" si="7"/>
        <v>2.9696962763368969E-3</v>
      </c>
      <c r="CJ16" s="91">
        <f t="shared" si="7"/>
        <v>-1.550114831860817E-3</v>
      </c>
      <c r="CK16" s="91">
        <f t="shared" si="7"/>
        <v>4.1501016245741049E-3</v>
      </c>
      <c r="CL16" s="91">
        <f t="shared" si="7"/>
        <v>-1.6846441720301725E-2</v>
      </c>
      <c r="CM16" s="91">
        <f t="shared" si="7"/>
        <v>-2.5030572703266972E-3</v>
      </c>
      <c r="CN16" s="91">
        <f t="shared" si="7"/>
        <v>8.6343038276709885E-3</v>
      </c>
      <c r="CP16" s="88">
        <f t="shared" si="29"/>
        <v>1.4586743736085329E-2</v>
      </c>
      <c r="CQ16" s="92"/>
      <c r="CR16" t="s">
        <v>8</v>
      </c>
      <c r="CS16" s="88">
        <f t="shared" si="30"/>
        <v>9.7215089627275889E-2</v>
      </c>
      <c r="CT16" s="93">
        <f t="shared" si="31"/>
        <v>1.4586743736085329E-2</v>
      </c>
      <c r="CU16" s="106">
        <f t="shared" si="8"/>
        <v>1.1016440969777348E-2</v>
      </c>
      <c r="CV16" s="219">
        <f>SQRT($CV$8^2 + $CU$16 ^2)</f>
        <v>1.1016440969777348E-2</v>
      </c>
    </row>
    <row r="17" spans="2:108" ht="15" x14ac:dyDescent="0.25">
      <c r="B17" t="s">
        <v>56</v>
      </c>
      <c r="C17" s="98" t="s">
        <v>14</v>
      </c>
      <c r="D17" s="98" t="s">
        <v>14</v>
      </c>
      <c r="E17" s="98" t="s">
        <v>14</v>
      </c>
      <c r="F17" s="98" t="s">
        <v>14</v>
      </c>
      <c r="G17" s="98" t="s">
        <v>14</v>
      </c>
      <c r="H17" s="98" t="s">
        <v>14</v>
      </c>
      <c r="I17" s="98" t="s">
        <v>14</v>
      </c>
      <c r="J17" s="98" t="s">
        <v>14</v>
      </c>
      <c r="K17" s="98" t="s">
        <v>14</v>
      </c>
      <c r="L17" s="98">
        <v>6164</v>
      </c>
      <c r="M17" s="98">
        <v>6250</v>
      </c>
      <c r="N17" s="98">
        <v>6029.7</v>
      </c>
      <c r="O17" s="98">
        <v>5979</v>
      </c>
      <c r="P17" s="98">
        <v>5865</v>
      </c>
      <c r="R17" s="87">
        <f t="shared" si="9"/>
        <v>6057.54</v>
      </c>
      <c r="S17" s="236">
        <f t="shared" si="32"/>
        <v>3.4984807109342285E-2</v>
      </c>
      <c r="U17" t="s">
        <v>56</v>
      </c>
      <c r="V17" s="98" t="s">
        <v>14</v>
      </c>
      <c r="W17" s="98" t="s">
        <v>14</v>
      </c>
      <c r="X17" s="98" t="s">
        <v>14</v>
      </c>
      <c r="Y17" s="98" t="s">
        <v>14</v>
      </c>
      <c r="Z17" s="98" t="s">
        <v>14</v>
      </c>
      <c r="AA17" s="98" t="s">
        <v>14</v>
      </c>
      <c r="AB17" s="98" t="s">
        <v>14</v>
      </c>
      <c r="AC17" s="98" t="s">
        <v>14</v>
      </c>
      <c r="AD17" s="98" t="s">
        <v>14</v>
      </c>
      <c r="AE17" s="98">
        <v>6231.33836438864</v>
      </c>
      <c r="AF17" s="98">
        <v>6144.4409817455498</v>
      </c>
      <c r="AG17" s="98">
        <v>6057.5415963366004</v>
      </c>
      <c r="AH17" s="98">
        <v>5970.6404045355603</v>
      </c>
      <c r="AI17" s="98">
        <v>5883.7386529936302</v>
      </c>
      <c r="AK17" s="87">
        <f t="shared" si="10"/>
        <v>6057.5399999999954</v>
      </c>
      <c r="AM17" t="s">
        <v>56</v>
      </c>
      <c r="AN17" s="87" t="str">
        <f t="shared" si="11"/>
        <v>-</v>
      </c>
      <c r="AO17" s="87" t="str">
        <f t="shared" si="12"/>
        <v>-</v>
      </c>
      <c r="AP17" s="87" t="str">
        <f t="shared" si="13"/>
        <v>-</v>
      </c>
      <c r="AQ17" s="87" t="str">
        <f t="shared" si="14"/>
        <v>-</v>
      </c>
      <c r="AR17" s="87" t="str">
        <f t="shared" si="15"/>
        <v>-</v>
      </c>
      <c r="AS17" s="87" t="str">
        <f t="shared" si="16"/>
        <v>-</v>
      </c>
      <c r="AT17" s="87" t="str">
        <f t="shared" si="17"/>
        <v>-</v>
      </c>
      <c r="AU17" s="87" t="str">
        <f t="shared" si="18"/>
        <v>-</v>
      </c>
      <c r="AV17" s="87" t="str">
        <f t="shared" si="19"/>
        <v>-</v>
      </c>
      <c r="AW17" s="87">
        <f t="shared" si="20"/>
        <v>67.338364388640002</v>
      </c>
      <c r="AX17" s="87">
        <f t="shared" si="21"/>
        <v>-105.55901825445017</v>
      </c>
      <c r="AY17" s="87">
        <f t="shared" si="22"/>
        <v>27.84159633660056</v>
      </c>
      <c r="AZ17" s="87">
        <f t="shared" si="23"/>
        <v>-8.3595954644397352</v>
      </c>
      <c r="BA17" s="87">
        <f t="shared" si="24"/>
        <v>18.73865299363024</v>
      </c>
      <c r="BC17" s="87">
        <f t="shared" si="25"/>
        <v>-3.8198777474462988E-12</v>
      </c>
      <c r="BD17" s="87"/>
      <c r="BE17" s="87">
        <f t="shared" si="26"/>
        <v>64.948703013023248</v>
      </c>
      <c r="BG17" t="s">
        <v>56</v>
      </c>
      <c r="BH17" s="88" t="str">
        <f t="shared" si="6"/>
        <v>-</v>
      </c>
      <c r="BI17" s="88" t="str">
        <f t="shared" si="6"/>
        <v>-</v>
      </c>
      <c r="BJ17" s="88" t="str">
        <f t="shared" si="6"/>
        <v>-</v>
      </c>
      <c r="BK17" s="88" t="str">
        <f t="shared" si="6"/>
        <v>-</v>
      </c>
      <c r="BL17" s="88" t="str">
        <f t="shared" si="6"/>
        <v>-</v>
      </c>
      <c r="BM17" s="88" t="str">
        <f t="shared" si="6"/>
        <v>-</v>
      </c>
      <c r="BN17" s="88" t="str">
        <f t="shared" si="6"/>
        <v>-</v>
      </c>
      <c r="BO17" s="88" t="str">
        <f t="shared" si="6"/>
        <v>-</v>
      </c>
      <c r="BP17" s="88" t="str">
        <f t="shared" si="6"/>
        <v>-</v>
      </c>
      <c r="BQ17" s="88">
        <f t="shared" si="6"/>
        <v>1.0806404732163282E-2</v>
      </c>
      <c r="BR17" s="88">
        <f t="shared" si="6"/>
        <v>-1.7179596739240275E-2</v>
      </c>
      <c r="BS17" s="88">
        <f t="shared" si="6"/>
        <v>4.5961873961275369E-3</v>
      </c>
      <c r="BT17" s="88">
        <f t="shared" si="6"/>
        <v>-1.4001170558001483E-3</v>
      </c>
      <c r="BU17" s="88">
        <f t="shared" si="6"/>
        <v>3.1848207574780812E-3</v>
      </c>
      <c r="BW17" s="88">
        <f t="shared" si="27"/>
        <v>1.054923297105723E-2</v>
      </c>
      <c r="BX17" s="90"/>
      <c r="BY17" s="85" t="s">
        <v>8</v>
      </c>
      <c r="BZ17" t="s">
        <v>56</v>
      </c>
      <c r="CA17" s="91" t="str">
        <f t="shared" si="28"/>
        <v>-</v>
      </c>
      <c r="CB17" s="91" t="str">
        <f t="shared" si="7"/>
        <v>-</v>
      </c>
      <c r="CC17" s="91" t="str">
        <f t="shared" si="7"/>
        <v>-</v>
      </c>
      <c r="CD17" s="91" t="str">
        <f t="shared" si="7"/>
        <v>-</v>
      </c>
      <c r="CE17" s="91" t="str">
        <f t="shared" si="7"/>
        <v>-</v>
      </c>
      <c r="CF17" s="91" t="str">
        <f t="shared" si="7"/>
        <v>-</v>
      </c>
      <c r="CG17" s="91" t="str">
        <f t="shared" si="7"/>
        <v>-</v>
      </c>
      <c r="CH17" s="91" t="str">
        <f t="shared" si="7"/>
        <v>-</v>
      </c>
      <c r="CI17" s="91" t="str">
        <f t="shared" si="7"/>
        <v>-</v>
      </c>
      <c r="CJ17" s="91">
        <f t="shared" si="7"/>
        <v>1.4026903352857467E-2</v>
      </c>
      <c r="CK17" s="91">
        <f t="shared" si="7"/>
        <v>-2.0570490814548936E-2</v>
      </c>
      <c r="CL17" s="91">
        <f t="shared" si="7"/>
        <v>1.2381871406143448E-2</v>
      </c>
      <c r="CM17" s="91">
        <f t="shared" si="7"/>
        <v>-4.1096817194481603E-3</v>
      </c>
      <c r="CN17" s="91">
        <f t="shared" si="7"/>
        <v>9.2091720991882304E-4</v>
      </c>
      <c r="CP17" s="88">
        <f t="shared" si="29"/>
        <v>1.4049407738723395E-2</v>
      </c>
      <c r="CQ17" s="92"/>
      <c r="CR17" t="s">
        <v>56</v>
      </c>
      <c r="CS17" s="88">
        <f t="shared" si="30"/>
        <v>3.6501522362990674E-2</v>
      </c>
      <c r="CT17" s="93">
        <f t="shared" si="31"/>
        <v>1.4049407738723395E-2</v>
      </c>
      <c r="CU17" s="106">
        <f t="shared" si="8"/>
        <v>2.3002470813061327E-2</v>
      </c>
      <c r="CV17" s="219">
        <f>SQRT($CV$16^2 + $CU$17 ^2)</f>
        <v>2.5504423834823774E-2</v>
      </c>
    </row>
    <row r="18" spans="2:108" ht="15" x14ac:dyDescent="0.25">
      <c r="B18" t="s">
        <v>16</v>
      </c>
      <c r="C18" s="98">
        <v>27139.785648061159</v>
      </c>
      <c r="D18" s="98">
        <v>27898.282807712192</v>
      </c>
      <c r="E18" s="98">
        <v>28552.959905253181</v>
      </c>
      <c r="F18" s="98">
        <v>29145.711389276767</v>
      </c>
      <c r="G18" s="98">
        <v>29484.897639252762</v>
      </c>
      <c r="H18" s="98">
        <v>29146.566378023555</v>
      </c>
      <c r="I18" s="98">
        <v>29482.454814261939</v>
      </c>
      <c r="J18" s="98">
        <v>28885.184104005326</v>
      </c>
      <c r="K18" s="98">
        <v>28780.142629399867</v>
      </c>
      <c r="L18" s="98">
        <v>28708.079292170543</v>
      </c>
      <c r="M18" s="98">
        <v>28991</v>
      </c>
      <c r="N18" s="98">
        <v>28045.8</v>
      </c>
      <c r="O18" s="98">
        <v>26509</v>
      </c>
      <c r="P18" s="98">
        <v>26224</v>
      </c>
      <c r="R18" s="87">
        <f t="shared" si="9"/>
        <v>28356.704614815524</v>
      </c>
      <c r="S18" s="236">
        <f t="shared" si="32"/>
        <v>0.15642652713305916</v>
      </c>
      <c r="U18" t="s">
        <v>16</v>
      </c>
      <c r="V18" s="98">
        <v>27404.660816169398</v>
      </c>
      <c r="W18" s="98">
        <v>27925.149532731499</v>
      </c>
      <c r="X18" s="98">
        <v>28417.607324522</v>
      </c>
      <c r="Y18" s="98">
        <v>28847.215531422898</v>
      </c>
      <c r="Z18" s="98">
        <v>29178.842306692801</v>
      </c>
      <c r="AA18" s="98">
        <v>29383.682676821802</v>
      </c>
      <c r="AB18" s="98">
        <v>29442.761466668599</v>
      </c>
      <c r="AC18" s="98">
        <v>29348.257194596201</v>
      </c>
      <c r="AD18" s="98">
        <v>29103.431048824699</v>
      </c>
      <c r="AE18" s="98">
        <v>28721.718911153501</v>
      </c>
      <c r="AF18" s="98">
        <v>28225.257600054199</v>
      </c>
      <c r="AG18" s="98">
        <v>27642.768618597798</v>
      </c>
      <c r="AH18" s="98">
        <v>27006.3310378846</v>
      </c>
      <c r="AI18" s="98">
        <v>26346.1805438597</v>
      </c>
      <c r="AK18" s="87">
        <f t="shared" si="10"/>
        <v>28356.704614999977</v>
      </c>
      <c r="AM18" t="s">
        <v>16</v>
      </c>
      <c r="AN18" s="87">
        <f t="shared" si="11"/>
        <v>264.87516810823945</v>
      </c>
      <c r="AO18" s="87">
        <f t="shared" si="12"/>
        <v>26.866725019306614</v>
      </c>
      <c r="AP18" s="87">
        <f t="shared" si="13"/>
        <v>-135.35258073118166</v>
      </c>
      <c r="AQ18" s="87">
        <f t="shared" si="14"/>
        <v>-298.49585785386807</v>
      </c>
      <c r="AR18" s="87">
        <f t="shared" si="15"/>
        <v>-306.05533255996124</v>
      </c>
      <c r="AS18" s="87">
        <f t="shared" si="16"/>
        <v>237.11629879824613</v>
      </c>
      <c r="AT18" s="87">
        <f t="shared" si="17"/>
        <v>-39.69334759334015</v>
      </c>
      <c r="AU18" s="87">
        <f t="shared" si="18"/>
        <v>463.07309059087493</v>
      </c>
      <c r="AV18" s="87">
        <f t="shared" si="19"/>
        <v>323.28841942483268</v>
      </c>
      <c r="AW18" s="87">
        <f t="shared" si="20"/>
        <v>13.639618982957472</v>
      </c>
      <c r="AX18" s="87">
        <f t="shared" si="21"/>
        <v>-765.74239994580057</v>
      </c>
      <c r="AY18" s="87">
        <f t="shared" si="22"/>
        <v>-403.03138140220108</v>
      </c>
      <c r="AZ18" s="87">
        <f t="shared" si="23"/>
        <v>497.33103788459994</v>
      </c>
      <c r="BA18" s="87">
        <f t="shared" si="24"/>
        <v>122.18054385970026</v>
      </c>
      <c r="BC18" s="87">
        <f t="shared" si="25"/>
        <v>1.8445747887848745E-7</v>
      </c>
      <c r="BD18" s="87"/>
      <c r="BE18" s="87">
        <f t="shared" si="26"/>
        <v>357.33742231505778</v>
      </c>
      <c r="BG18" t="s">
        <v>16</v>
      </c>
      <c r="BH18" s="88">
        <f t="shared" si="6"/>
        <v>9.6653328382724172E-3</v>
      </c>
      <c r="BI18" s="88">
        <f t="shared" si="6"/>
        <v>9.6209780319406028E-4</v>
      </c>
      <c r="BJ18" s="88">
        <f t="shared" si="6"/>
        <v>-4.7629830050605207E-3</v>
      </c>
      <c r="BK18" s="88">
        <f t="shared" si="6"/>
        <v>-1.034747556583825E-2</v>
      </c>
      <c r="BL18" s="88">
        <f t="shared" si="6"/>
        <v>-1.0488947071411426E-2</v>
      </c>
      <c r="BM18" s="88">
        <f t="shared" si="6"/>
        <v>8.0696589806725037E-3</v>
      </c>
      <c r="BN18" s="88">
        <f t="shared" si="6"/>
        <v>-1.3481530133739655E-3</v>
      </c>
      <c r="BO18" s="88">
        <f t="shared" si="6"/>
        <v>1.5778555009942432E-2</v>
      </c>
      <c r="BP18" s="88">
        <f t="shared" si="6"/>
        <v>1.1108257953588885E-2</v>
      </c>
      <c r="BQ18" s="88">
        <f t="shared" si="6"/>
        <v>4.7488867310308512E-4</v>
      </c>
      <c r="BR18" s="88">
        <f t="shared" si="6"/>
        <v>-2.712968684984934E-2</v>
      </c>
      <c r="BS18" s="88">
        <f t="shared" si="6"/>
        <v>-1.457999330541172E-2</v>
      </c>
      <c r="BT18" s="88">
        <f t="shared" si="6"/>
        <v>1.8415349985414227E-2</v>
      </c>
      <c r="BU18" s="88">
        <f t="shared" si="6"/>
        <v>4.637504994558915E-3</v>
      </c>
      <c r="BW18" s="88">
        <f t="shared" si="27"/>
        <v>1.2657773884528576E-2</v>
      </c>
      <c r="BX18" s="90"/>
      <c r="BY18" s="85" t="s">
        <v>36</v>
      </c>
      <c r="BZ18" t="s">
        <v>16</v>
      </c>
      <c r="CA18" s="91">
        <f t="shared" si="28"/>
        <v>3.9274531357788309E-3</v>
      </c>
      <c r="CB18" s="91">
        <f t="shared" si="7"/>
        <v>5.6183656845425773E-3</v>
      </c>
      <c r="CC18" s="91">
        <f t="shared" si="7"/>
        <v>6.0291662538020851E-3</v>
      </c>
      <c r="CD18" s="91">
        <f t="shared" si="7"/>
        <v>3.7486518568500739E-3</v>
      </c>
      <c r="CE18" s="91">
        <f t="shared" si="7"/>
        <v>-3.6449980702064441E-2</v>
      </c>
      <c r="CF18" s="91">
        <f t="shared" si="7"/>
        <v>-2.8138382006995727E-2</v>
      </c>
      <c r="CG18" s="91">
        <f t="shared" si="7"/>
        <v>2.5552937566489544E-2</v>
      </c>
      <c r="CH18" s="91">
        <f t="shared" si="7"/>
        <v>3.7752084712540782E-2</v>
      </c>
      <c r="CI18" s="91">
        <f t="shared" si="7"/>
        <v>5.439699901100891E-3</v>
      </c>
      <c r="CJ18" s="91">
        <f t="shared" si="7"/>
        <v>2.1452724619364545E-3</v>
      </c>
      <c r="CK18" s="91">
        <f t="shared" si="7"/>
        <v>-2.6370479300583893E-2</v>
      </c>
      <c r="CL18" s="91">
        <f t="shared" si="7"/>
        <v>-2.3640751015697535E-2</v>
      </c>
      <c r="CM18" s="91">
        <f t="shared" si="7"/>
        <v>1.3202728051439518E-2</v>
      </c>
      <c r="CN18" s="91">
        <f t="shared" si="7"/>
        <v>1.1007905274670646E-2</v>
      </c>
      <c r="CP18" s="88">
        <f t="shared" si="29"/>
        <v>2.1267345749610794E-2</v>
      </c>
      <c r="CQ18" s="92"/>
      <c r="CR18" t="s">
        <v>16</v>
      </c>
      <c r="CS18" s="88">
        <f t="shared" si="30"/>
        <v>0.1708718205143358</v>
      </c>
      <c r="CT18" s="93">
        <f t="shared" si="31"/>
        <v>2.1267345749610794E-2</v>
      </c>
      <c r="CU18" s="106">
        <f t="shared" si="8"/>
        <v>4.9407885677120152E-3</v>
      </c>
      <c r="CV18" s="219">
        <f>SQRT($CU$8^2 + $CU$18 ^2)</f>
        <v>4.9407885690085397E-3</v>
      </c>
    </row>
    <row r="19" spans="2:108" ht="15" x14ac:dyDescent="0.25">
      <c r="B19" t="s">
        <v>15</v>
      </c>
      <c r="C19" s="98">
        <v>8676.2354040708469</v>
      </c>
      <c r="D19" s="98">
        <v>8799.0934528399048</v>
      </c>
      <c r="E19" s="98">
        <v>8936.6944674612496</v>
      </c>
      <c r="F19" s="98">
        <v>9077.9812235456648</v>
      </c>
      <c r="G19" s="98">
        <v>9026.3808430626614</v>
      </c>
      <c r="H19" s="98">
        <v>9189.7820479255079</v>
      </c>
      <c r="I19" s="98">
        <v>9363.011896689879</v>
      </c>
      <c r="J19" s="98">
        <v>9097.638511348714</v>
      </c>
      <c r="K19" s="98">
        <v>8966.1803991658235</v>
      </c>
      <c r="L19" s="98">
        <v>8953.8945942889168</v>
      </c>
      <c r="M19" s="98">
        <v>8701</v>
      </c>
      <c r="N19" s="98">
        <v>8706.7000000000007</v>
      </c>
      <c r="O19" s="98">
        <v>8401</v>
      </c>
      <c r="P19" s="98">
        <v>8132</v>
      </c>
      <c r="R19" s="87">
        <f t="shared" si="9"/>
        <v>8859.1137743142262</v>
      </c>
      <c r="S19" s="236">
        <f t="shared" si="32"/>
        <v>4.8507493847088058E-2</v>
      </c>
      <c r="U19" t="s">
        <v>15</v>
      </c>
      <c r="V19" s="98">
        <v>8673.4610041363794</v>
      </c>
      <c r="W19" s="98">
        <v>8809.8877746338203</v>
      </c>
      <c r="X19" s="98">
        <v>8938.3394215398803</v>
      </c>
      <c r="Y19" s="98">
        <v>9048.8767219806905</v>
      </c>
      <c r="Z19" s="98">
        <v>9131.4048057149303</v>
      </c>
      <c r="AA19" s="98">
        <v>9177.5447818489592</v>
      </c>
      <c r="AB19" s="98">
        <v>9181.6414825962402</v>
      </c>
      <c r="AC19" s="98">
        <v>9141.1821274718695</v>
      </c>
      <c r="AD19" s="98">
        <v>9056.8407780355392</v>
      </c>
      <c r="AE19" s="98">
        <v>8932.2906664463608</v>
      </c>
      <c r="AF19" s="98">
        <v>8773.8404469168199</v>
      </c>
      <c r="AG19" s="98">
        <v>8589.8517576674694</v>
      </c>
      <c r="AH19" s="98">
        <v>8389.7884845955996</v>
      </c>
      <c r="AI19" s="98">
        <v>8182.6425864153398</v>
      </c>
      <c r="AK19" s="87">
        <f t="shared" si="10"/>
        <v>8859.1137742857063</v>
      </c>
      <c r="AM19" t="s">
        <v>15</v>
      </c>
      <c r="AN19" s="87">
        <f t="shared" si="11"/>
        <v>-2.7743999344675103</v>
      </c>
      <c r="AO19" s="87">
        <f t="shared" si="12"/>
        <v>10.794321793915515</v>
      </c>
      <c r="AP19" s="87">
        <f t="shared" si="13"/>
        <v>1.6449540786306898</v>
      </c>
      <c r="AQ19" s="87">
        <f t="shared" si="14"/>
        <v>-29.104501564974271</v>
      </c>
      <c r="AR19" s="87">
        <f t="shared" si="15"/>
        <v>105.02396265226889</v>
      </c>
      <c r="AS19" s="87">
        <f t="shared" si="16"/>
        <v>-12.237266076548622</v>
      </c>
      <c r="AT19" s="87">
        <f t="shared" si="17"/>
        <v>-181.37041409363883</v>
      </c>
      <c r="AU19" s="87">
        <f t="shared" si="18"/>
        <v>43.543616123155516</v>
      </c>
      <c r="AV19" s="87">
        <f t="shared" si="19"/>
        <v>90.660378869715714</v>
      </c>
      <c r="AW19" s="87">
        <f t="shared" si="20"/>
        <v>-21.603927842556004</v>
      </c>
      <c r="AX19" s="87">
        <f t="shared" si="21"/>
        <v>72.840446916819928</v>
      </c>
      <c r="AY19" s="87">
        <f t="shared" si="22"/>
        <v>-116.8482423325313</v>
      </c>
      <c r="AZ19" s="87">
        <f t="shared" si="23"/>
        <v>-11.211515404400416</v>
      </c>
      <c r="BA19" s="87">
        <f t="shared" si="24"/>
        <v>50.642586415339792</v>
      </c>
      <c r="BC19" s="87">
        <f t="shared" si="25"/>
        <v>-2.8519350183030057E-8</v>
      </c>
      <c r="BD19" s="87"/>
      <c r="BE19" s="87">
        <f t="shared" si="26"/>
        <v>77.101678951994998</v>
      </c>
      <c r="BG19" t="s">
        <v>15</v>
      </c>
      <c r="BH19" s="88">
        <f t="shared" si="6"/>
        <v>-3.1987230162727396E-4</v>
      </c>
      <c r="BI19" s="88">
        <f t="shared" si="6"/>
        <v>1.2252507716381412E-3</v>
      </c>
      <c r="BJ19" s="88">
        <f t="shared" si="6"/>
        <v>1.840335213346933E-4</v>
      </c>
      <c r="BK19" s="88">
        <f t="shared" si="6"/>
        <v>-3.216366236294978E-3</v>
      </c>
      <c r="BL19" s="88">
        <f t="shared" si="6"/>
        <v>1.1501402564755335E-2</v>
      </c>
      <c r="BM19" s="88">
        <f t="shared" si="6"/>
        <v>-1.3333921399927219E-3</v>
      </c>
      <c r="BN19" s="88">
        <f t="shared" si="6"/>
        <v>-1.9753593563572008E-2</v>
      </c>
      <c r="BO19" s="88">
        <f t="shared" si="6"/>
        <v>4.7634557014562132E-3</v>
      </c>
      <c r="BP19" s="88">
        <f t="shared" si="6"/>
        <v>1.0010154875371484E-2</v>
      </c>
      <c r="BQ19" s="88">
        <f t="shared" si="6"/>
        <v>-2.4186324258020312E-3</v>
      </c>
      <c r="BR19" s="88">
        <f t="shared" si="6"/>
        <v>8.3020026814388335E-3</v>
      </c>
      <c r="BS19" s="88">
        <f t="shared" si="6"/>
        <v>-1.3603056912854204E-2</v>
      </c>
      <c r="BT19" s="88">
        <f t="shared" si="6"/>
        <v>-1.3363287316463053E-3</v>
      </c>
      <c r="BU19" s="88">
        <f t="shared" si="6"/>
        <v>6.1890258410425506E-3</v>
      </c>
      <c r="BW19" s="88">
        <f t="shared" si="27"/>
        <v>8.5890991574228814E-3</v>
      </c>
      <c r="BX19" s="90"/>
      <c r="BY19" s="85" t="s">
        <v>7</v>
      </c>
      <c r="BZ19" t="s">
        <v>15</v>
      </c>
      <c r="CA19" s="91">
        <f t="shared" si="28"/>
        <v>-5.6245225085473369E-3</v>
      </c>
      <c r="CB19" s="91">
        <f t="shared" si="7"/>
        <v>6.5667358023332161E-3</v>
      </c>
      <c r="CC19" s="91">
        <f t="shared" si="7"/>
        <v>4.0584866957388511E-3</v>
      </c>
      <c r="CD19" s="91">
        <f t="shared" si="7"/>
        <v>-6.9761360056523345E-3</v>
      </c>
      <c r="CE19" s="91">
        <f t="shared" si="7"/>
        <v>1.159263906936509E-2</v>
      </c>
      <c r="CF19" s="91">
        <f t="shared" si="7"/>
        <v>-1.4054310864992743E-2</v>
      </c>
      <c r="CG19" s="91">
        <f t="shared" si="7"/>
        <v>1.7643559030672065E-3</v>
      </c>
      <c r="CH19" s="91">
        <f t="shared" si="7"/>
        <v>-3.54104358969761E-3</v>
      </c>
      <c r="CI19" s="91">
        <f t="shared" si="7"/>
        <v>2.0212423093202425E-3</v>
      </c>
      <c r="CJ19" s="91">
        <f t="shared" si="7"/>
        <v>7.7533094810691219E-3</v>
      </c>
      <c r="CK19" s="91">
        <f t="shared" si="7"/>
        <v>1.5899950568454519E-2</v>
      </c>
      <c r="CL19" s="91">
        <f t="shared" si="7"/>
        <v>-2.4697959530721285E-2</v>
      </c>
      <c r="CM19" s="91">
        <f t="shared" si="7"/>
        <v>-4.1215860003530952E-3</v>
      </c>
      <c r="CN19" s="91">
        <f t="shared" si="7"/>
        <v>9.3284013284250945E-3</v>
      </c>
      <c r="CP19" s="88">
        <f t="shared" si="29"/>
        <v>1.0807630047212493E-2</v>
      </c>
      <c r="CQ19" s="92"/>
      <c r="CR19" s="105" t="s">
        <v>15</v>
      </c>
      <c r="CS19" s="88">
        <f t="shared" si="30"/>
        <v>5.3383244609100301E-2</v>
      </c>
      <c r="CT19" s="93">
        <f t="shared" si="31"/>
        <v>1.0807630047212493E-2</v>
      </c>
      <c r="CU19" s="106">
        <f t="shared" si="8"/>
        <v>1.9381807770605504E-2</v>
      </c>
      <c r="CV19" s="219">
        <f>SQRT($CV$11^2 + $CU$19^2)</f>
        <v>2.2346548304473621E-2</v>
      </c>
    </row>
    <row r="20" spans="2:108" ht="15" x14ac:dyDescent="0.25">
      <c r="B20" t="s">
        <v>17</v>
      </c>
      <c r="C20" s="98">
        <v>10105.155751850139</v>
      </c>
      <c r="D20" s="98">
        <v>10260.815621994869</v>
      </c>
      <c r="E20" s="98">
        <v>10426.381120239717</v>
      </c>
      <c r="F20" s="98">
        <v>10599.022067127509</v>
      </c>
      <c r="G20" s="98">
        <v>10686.757630299993</v>
      </c>
      <c r="H20" s="98">
        <v>10468.833812097371</v>
      </c>
      <c r="I20" s="98">
        <v>10792.889359944127</v>
      </c>
      <c r="J20" s="98">
        <v>10732.040501614823</v>
      </c>
      <c r="K20" s="98">
        <v>10732.040501614823</v>
      </c>
      <c r="L20" s="98">
        <v>10727.795232429058</v>
      </c>
      <c r="M20" s="98">
        <v>10813</v>
      </c>
      <c r="N20" s="98">
        <v>10040.1</v>
      </c>
      <c r="O20" s="98">
        <v>10565</v>
      </c>
      <c r="P20" s="98">
        <v>9829</v>
      </c>
      <c r="R20" s="87">
        <f t="shared" si="9"/>
        <v>10484.202257086601</v>
      </c>
      <c r="S20" s="236">
        <f t="shared" si="32"/>
        <v>5.863012260489775E-2</v>
      </c>
      <c r="U20" t="s">
        <v>17</v>
      </c>
      <c r="V20" s="98">
        <v>10165.442075778499</v>
      </c>
      <c r="W20" s="98">
        <v>10282.758787606101</v>
      </c>
      <c r="X20" s="98">
        <v>10397.983275156101</v>
      </c>
      <c r="Y20" s="98">
        <v>10507.6016955291</v>
      </c>
      <c r="Z20" s="98">
        <v>10606.2267727081</v>
      </c>
      <c r="AA20" s="98">
        <v>10686.6055435586</v>
      </c>
      <c r="AB20" s="98">
        <v>10740.190007195701</v>
      </c>
      <c r="AC20" s="98">
        <v>10758.4036756482</v>
      </c>
      <c r="AD20" s="98">
        <v>10734.434050849301</v>
      </c>
      <c r="AE20" s="98">
        <v>10665.129352522101</v>
      </c>
      <c r="AF20" s="98">
        <v>10552.433028971</v>
      </c>
      <c r="AG20" s="98">
        <v>10403.772409900401</v>
      </c>
      <c r="AH20" s="98">
        <v>10230.911903448299</v>
      </c>
      <c r="AI20" s="98">
        <v>10046.939011128499</v>
      </c>
      <c r="AK20" s="87">
        <f t="shared" si="10"/>
        <v>10484.202256428571</v>
      </c>
      <c r="AM20" t="s">
        <v>17</v>
      </c>
      <c r="AN20" s="87">
        <f t="shared" si="11"/>
        <v>60.286323928359707</v>
      </c>
      <c r="AO20" s="87">
        <f t="shared" si="12"/>
        <v>21.943165611231962</v>
      </c>
      <c r="AP20" s="87">
        <f t="shared" si="13"/>
        <v>-28.39784508361663</v>
      </c>
      <c r="AQ20" s="87">
        <f t="shared" si="14"/>
        <v>-91.420371598409474</v>
      </c>
      <c r="AR20" s="87">
        <f t="shared" si="15"/>
        <v>-80.530857591893437</v>
      </c>
      <c r="AS20" s="87">
        <f t="shared" si="16"/>
        <v>217.77173146122914</v>
      </c>
      <c r="AT20" s="87">
        <f t="shared" si="17"/>
        <v>-52.699352748426463</v>
      </c>
      <c r="AU20" s="87">
        <f t="shared" si="18"/>
        <v>26.363174033376708</v>
      </c>
      <c r="AV20" s="87">
        <f t="shared" si="19"/>
        <v>2.3935492344771774</v>
      </c>
      <c r="AW20" s="87">
        <f t="shared" si="20"/>
        <v>-62.665879906957343</v>
      </c>
      <c r="AX20" s="87">
        <f t="shared" si="21"/>
        <v>-260.56697102900034</v>
      </c>
      <c r="AY20" s="87">
        <f t="shared" si="22"/>
        <v>363.67240990040045</v>
      </c>
      <c r="AZ20" s="87">
        <f t="shared" si="23"/>
        <v>-334.0880965517008</v>
      </c>
      <c r="BA20" s="87">
        <f t="shared" si="24"/>
        <v>217.93901112849926</v>
      </c>
      <c r="BC20" s="87">
        <f t="shared" si="25"/>
        <v>-6.5803072045257843E-7</v>
      </c>
      <c r="BD20" s="87"/>
      <c r="BE20" s="87">
        <f t="shared" si="26"/>
        <v>182.68506499046103</v>
      </c>
      <c r="BG20" t="s">
        <v>17</v>
      </c>
      <c r="BH20" s="88">
        <f t="shared" si="6"/>
        <v>5.9305166936129338E-3</v>
      </c>
      <c r="BI20" s="88">
        <f t="shared" si="6"/>
        <v>2.1339765003220977E-3</v>
      </c>
      <c r="BJ20" s="88">
        <f t="shared" si="6"/>
        <v>-2.7310916292265634E-3</v>
      </c>
      <c r="BK20" s="88">
        <f t="shared" si="6"/>
        <v>-8.700403217349599E-3</v>
      </c>
      <c r="BL20" s="88">
        <f t="shared" si="6"/>
        <v>-7.5927904727735142E-3</v>
      </c>
      <c r="BM20" s="88">
        <f t="shared" si="6"/>
        <v>2.0378007831728384E-2</v>
      </c>
      <c r="BN20" s="88">
        <f t="shared" si="6"/>
        <v>-4.9067430569774842E-3</v>
      </c>
      <c r="BO20" s="88">
        <f t="shared" si="6"/>
        <v>2.4504726563709567E-3</v>
      </c>
      <c r="BP20" s="88">
        <f t="shared" si="6"/>
        <v>2.2297861472145349E-4</v>
      </c>
      <c r="BQ20" s="88">
        <f t="shared" si="6"/>
        <v>-5.8757730765016973E-3</v>
      </c>
      <c r="BR20" s="88">
        <f t="shared" si="6"/>
        <v>-2.4692596514342344E-2</v>
      </c>
      <c r="BS20" s="88">
        <f t="shared" si="6"/>
        <v>3.4955821366711541E-2</v>
      </c>
      <c r="BT20" s="88">
        <f t="shared" si="6"/>
        <v>-3.265477209701096E-2</v>
      </c>
      <c r="BU20" s="88">
        <f t="shared" si="6"/>
        <v>2.1692080631434008E-2</v>
      </c>
      <c r="BW20" s="88">
        <f t="shared" si="27"/>
        <v>1.7604495767857491E-2</v>
      </c>
      <c r="BX20" s="90"/>
      <c r="BY20" s="85" t="s">
        <v>3</v>
      </c>
      <c r="BZ20" t="s">
        <v>17</v>
      </c>
      <c r="CA20" s="91">
        <f t="shared" si="28"/>
        <v>3.2188533664440338E-3</v>
      </c>
      <c r="CB20" s="91">
        <f t="shared" si="7"/>
        <v>2.6608285913983874E-3</v>
      </c>
      <c r="CC20" s="91">
        <f t="shared" si="7"/>
        <v>2.4356497388411031E-3</v>
      </c>
      <c r="CD20" s="91">
        <f t="shared" si="7"/>
        <v>-2.1240360899241029E-2</v>
      </c>
      <c r="CE20" s="91">
        <f t="shared" si="7"/>
        <v>8.155995579778974E-3</v>
      </c>
      <c r="CF20" s="91">
        <f t="shared" si="7"/>
        <v>1.579921382071094E-2</v>
      </c>
      <c r="CG20" s="91">
        <f t="shared" si="7"/>
        <v>3.4968568883387684E-4</v>
      </c>
      <c r="CH20" s="91">
        <f t="shared" si="7"/>
        <v>-5.6304700070217047E-3</v>
      </c>
      <c r="CI20" s="91">
        <f t="shared" si="7"/>
        <v>-1.1313894253220292E-2</v>
      </c>
      <c r="CJ20" s="91">
        <f t="shared" si="7"/>
        <v>1.1512386144608899E-3</v>
      </c>
      <c r="CK20" s="91">
        <f t="shared" si="7"/>
        <v>-1.4354682816238466E-2</v>
      </c>
      <c r="CL20" s="91">
        <f t="shared" si="7"/>
        <v>3.9454441352460422E-2</v>
      </c>
      <c r="CM20" s="91">
        <f t="shared" si="7"/>
        <v>-3.9084594559396418E-2</v>
      </c>
      <c r="CN20" s="91">
        <f t="shared" si="7"/>
        <v>1.8810339984581891E-2</v>
      </c>
      <c r="CP20" s="88">
        <f t="shared" si="29"/>
        <v>1.8802511981050062E-2</v>
      </c>
      <c r="CQ20" s="92"/>
      <c r="CR20" s="105" t="s">
        <v>17</v>
      </c>
      <c r="CS20" s="88">
        <f t="shared" si="30"/>
        <v>6.3175702206698409E-2</v>
      </c>
      <c r="CT20" s="93">
        <f t="shared" si="31"/>
        <v>1.8802511981050062E-2</v>
      </c>
      <c r="CU20" s="106">
        <f t="shared" si="8"/>
        <v>1.7049661440337052E-2</v>
      </c>
      <c r="CV20" s="219">
        <f>SQRT($CV$9^2+$CU$20^2)</f>
        <v>1.7051318976860332E-2</v>
      </c>
    </row>
    <row r="21" spans="2:108" ht="15" x14ac:dyDescent="0.25">
      <c r="B21" t="s">
        <v>57</v>
      </c>
      <c r="C21" s="98">
        <v>4111.0735249621785</v>
      </c>
      <c r="D21" s="98">
        <v>4171.9963691376697</v>
      </c>
      <c r="E21" s="98">
        <v>4230.4822995461418</v>
      </c>
      <c r="F21" s="98">
        <v>4291.405143721634</v>
      </c>
      <c r="G21" s="98">
        <v>4319.4296520423595</v>
      </c>
      <c r="H21" s="98">
        <v>4321.8665658093796</v>
      </c>
      <c r="I21" s="98">
        <v>4290.1866868381239</v>
      </c>
      <c r="J21" s="98">
        <v>4342.5803328290467</v>
      </c>
      <c r="K21" s="98">
        <v>4262.1621785173975</v>
      </c>
      <c r="L21" s="98">
        <v>4332.8326777609682</v>
      </c>
      <c r="M21" s="98">
        <v>4268.2544629349468</v>
      </c>
      <c r="N21" s="98">
        <v>4271.909833585476</v>
      </c>
      <c r="O21" s="98">
        <v>4074.5198184568831</v>
      </c>
      <c r="P21" s="98">
        <v>4027</v>
      </c>
      <c r="R21" s="87">
        <f t="shared" si="9"/>
        <v>4236.835681867301</v>
      </c>
      <c r="S21" s="236">
        <f t="shared" si="32"/>
        <v>2.40211113775484E-2</v>
      </c>
      <c r="U21" t="s">
        <v>57</v>
      </c>
      <c r="V21" s="98">
        <v>4132.7459751183396</v>
      </c>
      <c r="W21" s="98">
        <v>4177.2837135384398</v>
      </c>
      <c r="X21" s="98">
        <v>4220.5646240522601</v>
      </c>
      <c r="Y21" s="98">
        <v>4260.7610672577403</v>
      </c>
      <c r="Z21" s="98">
        <v>4295.4925732893098</v>
      </c>
      <c r="AA21" s="98">
        <v>4321.9814829593997</v>
      </c>
      <c r="AB21" s="98">
        <v>4337.3000542563504</v>
      </c>
      <c r="AC21" s="98">
        <v>4338.7698991021298</v>
      </c>
      <c r="AD21" s="98">
        <v>4324.4823618871196</v>
      </c>
      <c r="AE21" s="98">
        <v>4293.8299251722601</v>
      </c>
      <c r="AF21" s="98">
        <v>4247.8899353862898</v>
      </c>
      <c r="AG21" s="98">
        <v>4189.4889039480704</v>
      </c>
      <c r="AH21" s="98">
        <v>4122.7939799819997</v>
      </c>
      <c r="AI21" s="98">
        <v>4052.31505205027</v>
      </c>
      <c r="AK21" s="87">
        <f t="shared" si="10"/>
        <v>4236.8356819999981</v>
      </c>
      <c r="AM21" t="s">
        <v>57</v>
      </c>
      <c r="AN21" s="87">
        <f t="shared" si="11"/>
        <v>21.672450156161176</v>
      </c>
      <c r="AO21" s="87">
        <f t="shared" si="12"/>
        <v>5.2873444007700527</v>
      </c>
      <c r="AP21" s="87">
        <f t="shared" si="13"/>
        <v>-9.9176754938816885</v>
      </c>
      <c r="AQ21" s="87">
        <f t="shared" si="14"/>
        <v>-30.644076463893725</v>
      </c>
      <c r="AR21" s="87">
        <f t="shared" si="15"/>
        <v>-23.937078753049718</v>
      </c>
      <c r="AS21" s="87">
        <f t="shared" si="16"/>
        <v>0.11491715002011915</v>
      </c>
      <c r="AT21" s="87">
        <f t="shared" si="17"/>
        <v>47.113367418226517</v>
      </c>
      <c r="AU21" s="87">
        <f t="shared" si="18"/>
        <v>-3.8104337269169264</v>
      </c>
      <c r="AV21" s="87">
        <f t="shared" si="19"/>
        <v>62.320183369722145</v>
      </c>
      <c r="AW21" s="87">
        <f t="shared" si="20"/>
        <v>-39.002752588708063</v>
      </c>
      <c r="AX21" s="87">
        <f t="shared" si="21"/>
        <v>-20.364527548656952</v>
      </c>
      <c r="AY21" s="87">
        <f t="shared" si="22"/>
        <v>-82.420929637405607</v>
      </c>
      <c r="AZ21" s="87">
        <f t="shared" si="23"/>
        <v>48.274161525116597</v>
      </c>
      <c r="BA21" s="87">
        <f t="shared" si="24"/>
        <v>25.315052050269969</v>
      </c>
      <c r="BC21" s="87">
        <f t="shared" si="25"/>
        <v>1.326981354005901E-7</v>
      </c>
      <c r="BD21" s="87"/>
      <c r="BE21" s="87">
        <f t="shared" si="26"/>
        <v>39.151035624902029</v>
      </c>
      <c r="BG21" t="s">
        <v>57</v>
      </c>
      <c r="BH21" s="88">
        <f t="shared" si="6"/>
        <v>5.2440799136077056E-3</v>
      </c>
      <c r="BI21" s="88">
        <f t="shared" si="6"/>
        <v>1.2657374416858358E-3</v>
      </c>
      <c r="BJ21" s="88">
        <f t="shared" si="6"/>
        <v>-2.3498456669428991E-3</v>
      </c>
      <c r="BK21" s="88">
        <f t="shared" si="6"/>
        <v>-7.1921602690611557E-3</v>
      </c>
      <c r="BL21" s="88">
        <f t="shared" si="6"/>
        <v>-5.5726039201878302E-3</v>
      </c>
      <c r="BM21" s="88">
        <f t="shared" si="6"/>
        <v>2.6588996383536489E-5</v>
      </c>
      <c r="BN21" s="88">
        <f t="shared" si="6"/>
        <v>1.0862372173673447E-2</v>
      </c>
      <c r="BO21" s="88">
        <f t="shared" si="6"/>
        <v>-8.782290408406913E-4</v>
      </c>
      <c r="BP21" s="88">
        <f t="shared" si="6"/>
        <v>1.4411015736580976E-2</v>
      </c>
      <c r="BQ21" s="88">
        <f t="shared" si="6"/>
        <v>-9.0834414190597793E-3</v>
      </c>
      <c r="BR21" s="88">
        <f t="shared" si="6"/>
        <v>-4.7940337104814996E-3</v>
      </c>
      <c r="BS21" s="88">
        <f t="shared" si="6"/>
        <v>-1.9673266006202849E-2</v>
      </c>
      <c r="BT21" s="88">
        <f t="shared" si="6"/>
        <v>1.1709088972068248E-2</v>
      </c>
      <c r="BU21" s="88">
        <f t="shared" si="6"/>
        <v>6.2470592056907848E-3</v>
      </c>
      <c r="BW21" s="88">
        <f t="shared" si="27"/>
        <v>9.2507790314265842E-3</v>
      </c>
      <c r="BX21" s="90"/>
      <c r="BY21" s="85" t="s">
        <v>36</v>
      </c>
      <c r="BZ21" t="s">
        <v>57</v>
      </c>
      <c r="CA21" s="91">
        <f t="shared" si="28"/>
        <v>-4.9379978888588073E-4</v>
      </c>
      <c r="CB21" s="91">
        <f t="shared" si="7"/>
        <v>5.9220053230343529E-3</v>
      </c>
      <c r="CC21" s="91">
        <f t="shared" si="7"/>
        <v>8.4423035919197059E-3</v>
      </c>
      <c r="CD21" s="91">
        <f t="shared" si="7"/>
        <v>6.9039671536271678E-3</v>
      </c>
      <c r="CE21" s="91">
        <f t="shared" si="7"/>
        <v>-3.1533637550840841E-2</v>
      </c>
      <c r="CF21" s="91">
        <f t="shared" si="7"/>
        <v>-3.618145199128469E-2</v>
      </c>
      <c r="CG21" s="91">
        <f t="shared" si="7"/>
        <v>3.776346275353696E-2</v>
      </c>
      <c r="CH21" s="91">
        <f t="shared" si="7"/>
        <v>2.1095300661757656E-2</v>
      </c>
      <c r="CI21" s="91">
        <f t="shared" si="7"/>
        <v>8.7424576840929823E-3</v>
      </c>
      <c r="CJ21" s="91">
        <f t="shared" si="7"/>
        <v>-7.4130576302264099E-3</v>
      </c>
      <c r="CK21" s="91">
        <f t="shared" si="7"/>
        <v>-4.0348261612160544E-3</v>
      </c>
      <c r="CL21" s="91">
        <f t="shared" si="7"/>
        <v>-2.8734023716488664E-2</v>
      </c>
      <c r="CM21" s="91">
        <f t="shared" si="7"/>
        <v>6.4964670380935393E-3</v>
      </c>
      <c r="CN21" s="91">
        <f t="shared" si="7"/>
        <v>1.2617459485802514E-2</v>
      </c>
      <c r="CP21" s="88">
        <f t="shared" si="29"/>
        <v>2.0575396579337348E-2</v>
      </c>
      <c r="CQ21" s="92"/>
      <c r="CR21" s="105" t="s">
        <v>57</v>
      </c>
      <c r="CS21" s="88">
        <f t="shared" si="30"/>
        <v>2.5530322934722037E-2</v>
      </c>
      <c r="CT21" s="93">
        <f t="shared" si="31"/>
        <v>2.0575396579337348E-2</v>
      </c>
      <c r="CU21" s="106">
        <f t="shared" si="8"/>
        <v>2.6428907854147879E-2</v>
      </c>
      <c r="CV21" s="219">
        <f>SQRT($CU$8^2 + $CU$21 ^2)</f>
        <v>2.6428907854390258E-2</v>
      </c>
    </row>
    <row r="22" spans="2:108" ht="15" x14ac:dyDescent="0.25">
      <c r="B22" s="94" t="s">
        <v>18</v>
      </c>
      <c r="C22" s="99" t="s">
        <v>14</v>
      </c>
      <c r="D22" s="99" t="s">
        <v>14</v>
      </c>
      <c r="E22" s="99" t="s">
        <v>14</v>
      </c>
      <c r="F22" s="99" t="s">
        <v>14</v>
      </c>
      <c r="G22" s="99" t="s">
        <v>14</v>
      </c>
      <c r="H22" s="99" t="s">
        <v>14</v>
      </c>
      <c r="I22" s="99" t="s">
        <v>14</v>
      </c>
      <c r="J22" s="99">
        <v>8177.9898933183604</v>
      </c>
      <c r="K22" s="99">
        <v>7951.9932622122396</v>
      </c>
      <c r="L22" s="99">
        <v>7821.729365524985</v>
      </c>
      <c r="M22" s="99">
        <v>7766.7040988208873</v>
      </c>
      <c r="N22" s="99">
        <v>7615.1038742279616</v>
      </c>
      <c r="O22" s="99">
        <v>7543.5148792813025</v>
      </c>
      <c r="P22" s="99">
        <v>7500</v>
      </c>
      <c r="Q22" s="94"/>
      <c r="R22" s="95">
        <f t="shared" si="9"/>
        <v>7768.1479104836772</v>
      </c>
      <c r="S22" s="236">
        <f t="shared" si="32"/>
        <v>4.4737604999158929E-2</v>
      </c>
      <c r="U22" s="94" t="s">
        <v>18</v>
      </c>
      <c r="V22" s="99" t="s">
        <v>14</v>
      </c>
      <c r="W22" s="99" t="s">
        <v>14</v>
      </c>
      <c r="X22" s="99" t="s">
        <v>14</v>
      </c>
      <c r="Y22" s="99" t="s">
        <v>14</v>
      </c>
      <c r="Z22" s="99" t="s">
        <v>14</v>
      </c>
      <c r="AA22" s="99" t="s">
        <v>14</v>
      </c>
      <c r="AB22" s="99" t="s">
        <v>14</v>
      </c>
      <c r="AC22" s="99">
        <v>8147.5023531943898</v>
      </c>
      <c r="AD22" s="99">
        <v>7986.3414029329197</v>
      </c>
      <c r="AE22" s="99">
        <v>7842.6148312797104</v>
      </c>
      <c r="AF22" s="99">
        <v>7725.9337091662601</v>
      </c>
      <c r="AG22" s="99">
        <v>7633.6968081427203</v>
      </c>
      <c r="AH22" s="99">
        <v>7556.2828532660596</v>
      </c>
      <c r="AI22" s="99">
        <v>7484.6634150179598</v>
      </c>
      <c r="AJ22" s="94"/>
      <c r="AK22" s="95">
        <f>AVERAGE(V22:AI22)</f>
        <v>7768.1479104285736</v>
      </c>
      <c r="AM22" s="94" t="s">
        <v>18</v>
      </c>
      <c r="AN22" s="95" t="str">
        <f t="shared" si="11"/>
        <v>-</v>
      </c>
      <c r="AO22" s="95" t="str">
        <f t="shared" si="12"/>
        <v>-</v>
      </c>
      <c r="AP22" s="95" t="str">
        <f t="shared" si="13"/>
        <v>-</v>
      </c>
      <c r="AQ22" s="95" t="str">
        <f t="shared" si="14"/>
        <v>-</v>
      </c>
      <c r="AR22" s="95" t="str">
        <f t="shared" si="15"/>
        <v>-</v>
      </c>
      <c r="AS22" s="95" t="str">
        <f t="shared" si="16"/>
        <v>-</v>
      </c>
      <c r="AT22" s="95" t="str">
        <f t="shared" si="17"/>
        <v>-</v>
      </c>
      <c r="AU22" s="95">
        <f t="shared" si="18"/>
        <v>-30.487540123970575</v>
      </c>
      <c r="AV22" s="95">
        <f t="shared" si="19"/>
        <v>34.348140720680021</v>
      </c>
      <c r="AW22" s="95">
        <f t="shared" si="20"/>
        <v>20.885465754725374</v>
      </c>
      <c r="AX22" s="95">
        <f t="shared" si="21"/>
        <v>-40.770389654627252</v>
      </c>
      <c r="AY22" s="95">
        <f t="shared" si="22"/>
        <v>18.59293391475876</v>
      </c>
      <c r="AZ22" s="95">
        <f t="shared" si="23"/>
        <v>12.767973984757191</v>
      </c>
      <c r="BA22" s="95">
        <f t="shared" si="24"/>
        <v>-15.336584982040222</v>
      </c>
      <c r="BB22" s="94"/>
      <c r="BC22" s="95">
        <f t="shared" si="25"/>
        <v>-5.5102386145985549E-8</v>
      </c>
      <c r="BD22" s="95"/>
      <c r="BE22" s="87">
        <f t="shared" si="26"/>
        <v>28.72757506968308</v>
      </c>
      <c r="BG22" s="94" t="s">
        <v>18</v>
      </c>
      <c r="BH22" s="96" t="str">
        <f t="shared" si="6"/>
        <v>-</v>
      </c>
      <c r="BI22" s="96" t="str">
        <f t="shared" si="6"/>
        <v>-</v>
      </c>
      <c r="BJ22" s="96" t="str">
        <f t="shared" si="6"/>
        <v>-</v>
      </c>
      <c r="BK22" s="96" t="str">
        <f t="shared" si="6"/>
        <v>-</v>
      </c>
      <c r="BL22" s="96" t="str">
        <f t="shared" si="6"/>
        <v>-</v>
      </c>
      <c r="BM22" s="96" t="str">
        <f t="shared" si="6"/>
        <v>-</v>
      </c>
      <c r="BN22" s="96" t="str">
        <f t="shared" si="6"/>
        <v>-</v>
      </c>
      <c r="BO22" s="96">
        <f t="shared" si="6"/>
        <v>-3.7419492259511077E-3</v>
      </c>
      <c r="BP22" s="96">
        <f t="shared" si="6"/>
        <v>4.3008605552557451E-3</v>
      </c>
      <c r="BQ22" s="96">
        <f t="shared" si="6"/>
        <v>2.6630742684729566E-3</v>
      </c>
      <c r="BR22" s="96">
        <f t="shared" si="6"/>
        <v>-5.2770825105910683E-3</v>
      </c>
      <c r="BS22" s="96">
        <f t="shared" si="6"/>
        <v>2.435639557353919E-3</v>
      </c>
      <c r="BT22" s="96">
        <f t="shared" si="6"/>
        <v>1.6897162576753565E-3</v>
      </c>
      <c r="BU22" s="96">
        <f t="shared" si="6"/>
        <v>-2.0490680918620065E-3</v>
      </c>
      <c r="BV22" s="94"/>
      <c r="BW22" s="96">
        <f t="shared" si="27"/>
        <v>3.6611757421208062E-3</v>
      </c>
      <c r="BX22" s="90"/>
      <c r="BY22" s="85" t="s">
        <v>36</v>
      </c>
      <c r="BZ22" s="94" t="s">
        <v>18</v>
      </c>
      <c r="CA22" s="97" t="str">
        <f t="shared" si="28"/>
        <v>-</v>
      </c>
      <c r="CB22" s="97" t="str">
        <f t="shared" si="7"/>
        <v>-</v>
      </c>
      <c r="CC22" s="97" t="str">
        <f t="shared" si="7"/>
        <v>-</v>
      </c>
      <c r="CD22" s="97" t="str">
        <f t="shared" si="7"/>
        <v>-</v>
      </c>
      <c r="CE22" s="97" t="str">
        <f t="shared" si="7"/>
        <v>-</v>
      </c>
      <c r="CF22" s="97" t="str">
        <f t="shared" si="7"/>
        <v>-</v>
      </c>
      <c r="CG22" s="97" t="str">
        <f t="shared" si="7"/>
        <v>-</v>
      </c>
      <c r="CH22" s="97">
        <f t="shared" si="7"/>
        <v>1.823158047664724E-2</v>
      </c>
      <c r="CI22" s="97">
        <f t="shared" si="7"/>
        <v>-1.3676974972322486E-3</v>
      </c>
      <c r="CJ22" s="97">
        <f t="shared" si="7"/>
        <v>4.3334580573063256E-3</v>
      </c>
      <c r="CK22" s="97">
        <f t="shared" si="7"/>
        <v>-4.5178749613256231E-3</v>
      </c>
      <c r="CL22" s="97">
        <f t="shared" si="7"/>
        <v>-6.6251181529318965E-3</v>
      </c>
      <c r="CM22" s="97">
        <f t="shared" si="7"/>
        <v>-3.5229056762993522E-3</v>
      </c>
      <c r="CN22" s="97">
        <f t="shared" si="7"/>
        <v>4.3213321882497237E-3</v>
      </c>
      <c r="CO22" s="94"/>
      <c r="CP22" s="96">
        <f t="shared" si="29"/>
        <v>8.481372147244164E-3</v>
      </c>
      <c r="CQ22" s="92"/>
      <c r="CR22" s="105" t="s">
        <v>18</v>
      </c>
      <c r="CS22" s="88">
        <f t="shared" si="30"/>
        <v>4.6809302897469804E-2</v>
      </c>
      <c r="CT22" s="93">
        <f t="shared" si="31"/>
        <v>8.481372147244164E-3</v>
      </c>
      <c r="CU22" s="106">
        <f t="shared" si="8"/>
        <v>2.0329663219027076E-2</v>
      </c>
      <c r="CV22" s="219">
        <f>SQRT($CU$8^2 + $CU$22 ^2)</f>
        <v>2.0329663219342174E-2</v>
      </c>
      <c r="DD22" s="94"/>
    </row>
    <row r="23" spans="2:108" ht="6" customHeight="1" thickBot="1" x14ac:dyDescent="0.3"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86"/>
      <c r="BD23" s="86"/>
      <c r="BE23" s="86"/>
      <c r="BG23" s="86"/>
      <c r="BH23" s="86"/>
      <c r="BI23" s="86"/>
      <c r="BJ23" s="86"/>
      <c r="BK23" s="86"/>
      <c r="BL23" s="86"/>
      <c r="BM23" s="86"/>
      <c r="BN23" s="86"/>
      <c r="BO23" s="86"/>
      <c r="BP23" s="86"/>
      <c r="BQ23" s="86"/>
      <c r="BR23" s="86"/>
      <c r="BS23" s="86"/>
      <c r="BT23" s="86"/>
      <c r="BU23" s="86"/>
      <c r="BV23" s="86"/>
      <c r="BW23" s="86"/>
      <c r="BZ23" s="86"/>
      <c r="CA23" s="86"/>
      <c r="CB23" s="86"/>
      <c r="CC23" s="86"/>
      <c r="CD23" s="86"/>
      <c r="CE23" s="86"/>
      <c r="CF23" s="86"/>
      <c r="CG23" s="86"/>
      <c r="CH23" s="86"/>
      <c r="CI23" s="86"/>
      <c r="CJ23" s="86"/>
      <c r="CK23" s="86"/>
      <c r="CL23" s="86"/>
      <c r="CM23" s="86"/>
      <c r="CN23" s="86"/>
      <c r="CO23" s="86"/>
      <c r="CP23" s="86"/>
      <c r="CR23" s="86"/>
      <c r="CS23" s="86"/>
      <c r="CT23" s="86"/>
      <c r="CU23" s="86"/>
      <c r="CV23" s="86"/>
    </row>
    <row r="24" spans="2:108" ht="6" customHeight="1" thickTop="1" x14ac:dyDescent="0.25"/>
    <row r="25" spans="2:108" ht="15" x14ac:dyDescent="0.25">
      <c r="CA25" s="90"/>
      <c r="CB25" s="90"/>
      <c r="CC25" s="90"/>
      <c r="CD25" s="90"/>
      <c r="CE25" s="90"/>
      <c r="CF25" s="90"/>
      <c r="CG25" s="90"/>
      <c r="CH25" s="90"/>
      <c r="CI25" s="90"/>
      <c r="CJ25" s="90"/>
      <c r="CK25" s="90"/>
      <c r="CL25" s="90"/>
      <c r="CM25" s="90"/>
      <c r="CN25" s="90"/>
    </row>
    <row r="27" spans="2:108" ht="14.4" customHeight="1" x14ac:dyDescent="0.25">
      <c r="CS27" t="s">
        <v>131</v>
      </c>
    </row>
    <row r="28" spans="2:108" ht="14.4" customHeight="1" x14ac:dyDescent="0.25">
      <c r="CS28" t="s">
        <v>4</v>
      </c>
      <c r="CT28" s="248">
        <f>INDEX(LOGEST($CT$8:$CT$22,$CS$8:$CS$22),,2)</f>
        <v>3.5826548762311165E-2</v>
      </c>
    </row>
    <row r="29" spans="2:108" ht="14.4" customHeight="1" x14ac:dyDescent="0.25">
      <c r="CS29" t="s">
        <v>5</v>
      </c>
      <c r="CT29" s="249">
        <f>LN(INDEX(LOGEST($CT$8:$CT$22,$CS$8:$CS$22),,1))</f>
        <v>-12.665142497667343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1">
    <tabColor theme="9"/>
  </sheetPr>
  <dimension ref="A1:BJ85"/>
  <sheetViews>
    <sheetView showGridLines="0" zoomScale="85" zoomScaleNormal="85" zoomScaleSheetLayoutView="55" workbookViewId="0"/>
  </sheetViews>
  <sheetFormatPr defaultColWidth="9.33203125" defaultRowHeight="13.8" outlineLevelCol="2" x14ac:dyDescent="0.3"/>
  <cols>
    <col min="1" max="1" width="8.6640625" style="1" customWidth="1" outlineLevel="2"/>
    <col min="2" max="2" width="10.33203125" style="4" customWidth="1"/>
    <col min="3" max="3" width="15.6640625" style="4" customWidth="1"/>
    <col min="4" max="4" width="2.6640625" style="4" customWidth="1"/>
    <col min="5" max="5" width="10.33203125" style="4" customWidth="1"/>
    <col min="6" max="6" width="7.5546875" style="4" customWidth="1"/>
    <col min="7" max="7" width="7.33203125" style="4" customWidth="1"/>
    <col min="8" max="8" width="8.88671875" style="4" customWidth="1"/>
    <col min="9" max="9" width="10" style="4" customWidth="1"/>
    <col min="10" max="11" width="9.33203125" style="4" customWidth="1"/>
    <col min="12" max="12" width="7.33203125" style="4" customWidth="1"/>
    <col min="13" max="13" width="8.88671875" style="4" customWidth="1"/>
    <col min="14" max="14" width="10" style="4" customWidth="1"/>
    <col min="15" max="15" width="9.88671875" style="4" customWidth="1"/>
    <col min="16" max="16" width="9.33203125" style="4" customWidth="1"/>
    <col min="17" max="17" width="6" style="136" bestFit="1" customWidth="1"/>
    <col min="18" max="18" width="8.33203125" style="4" customWidth="1"/>
    <col min="19" max="19" width="10" style="4" customWidth="1"/>
    <col min="20" max="21" width="9.33203125" style="4" customWidth="1"/>
    <col min="22" max="22" width="0.6640625" style="4" customWidth="1"/>
    <col min="23" max="23" width="6.5546875" style="4" customWidth="1"/>
    <col min="24" max="24" width="10" style="4" customWidth="1"/>
    <col min="25" max="26" width="9.33203125" style="4" customWidth="1"/>
    <col min="27" max="27" width="5" style="4" customWidth="1"/>
    <col min="28" max="28" width="10.6640625" style="4" customWidth="1"/>
    <col min="29" max="29" width="13.33203125" style="4" customWidth="1"/>
    <col min="30" max="33" width="7" style="4" customWidth="1"/>
    <col min="34" max="34" width="11.6640625" style="4" customWidth="1"/>
    <col min="35" max="36" width="7" style="4" customWidth="1"/>
    <col min="37" max="40" width="14.33203125" style="4" bestFit="1" customWidth="1"/>
    <col min="41" max="43" width="12.6640625" style="4" bestFit="1" customWidth="1"/>
    <col min="44" max="44" width="13.6640625" style="4" bestFit="1" customWidth="1"/>
    <col min="45" max="46" width="13.6640625" style="4" customWidth="1"/>
    <col min="47" max="16384" width="9.33203125" style="4"/>
  </cols>
  <sheetData>
    <row r="1" spans="1:62" s="141" customFormat="1" ht="21" x14ac:dyDescent="0.25">
      <c r="A1" s="1"/>
      <c r="B1" s="143" t="s">
        <v>63</v>
      </c>
      <c r="Q1" s="142"/>
    </row>
    <row r="2" spans="1:62" s="12" customFormat="1" ht="12.75" x14ac:dyDescent="0.25">
      <c r="A2" s="1"/>
      <c r="B2" s="4"/>
      <c r="C2" s="4"/>
      <c r="D2" s="4"/>
      <c r="E2" s="4"/>
      <c r="F2" s="4"/>
      <c r="G2" s="4"/>
      <c r="H2" s="4"/>
      <c r="I2" s="5"/>
      <c r="J2" s="4"/>
      <c r="K2" s="6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228" t="s">
        <v>4</v>
      </c>
      <c r="AA2" s="229"/>
      <c r="AB2" s="230">
        <f>LN(INDEX(LOGEST($P$64:$P$78,$E$64:$E$78),,1))</f>
        <v>-6.1750442436254583E-6</v>
      </c>
      <c r="AD2" s="4"/>
      <c r="AE2" s="4"/>
      <c r="AF2" s="4"/>
      <c r="AG2" s="4"/>
      <c r="AH2" s="4"/>
      <c r="AI2" s="4"/>
      <c r="AJ2" s="4"/>
    </row>
    <row r="3" spans="1:62" s="12" customFormat="1" ht="12.75" x14ac:dyDescent="0.25">
      <c r="A3" s="1"/>
      <c r="B3" s="4"/>
      <c r="C3" s="4"/>
      <c r="D3" s="4"/>
      <c r="E3" s="4"/>
      <c r="F3" s="4"/>
      <c r="G3" s="4"/>
      <c r="H3" s="4"/>
      <c r="I3" s="5"/>
      <c r="J3" s="4"/>
      <c r="K3" s="6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8"/>
      <c r="X3" s="8"/>
      <c r="Y3" s="8"/>
      <c r="Z3" s="228" t="s">
        <v>5</v>
      </c>
      <c r="AA3" s="229"/>
      <c r="AB3" s="231">
        <f>INDEX(LOGEST($P$64:$P$78,$E$64:$E$78),,2)</f>
        <v>5.163783766881682E-2</v>
      </c>
      <c r="AD3" s="4"/>
      <c r="AE3" s="4"/>
      <c r="AF3" s="4"/>
      <c r="AG3" s="4"/>
      <c r="AH3" s="4"/>
      <c r="AI3" s="4"/>
      <c r="AJ3" s="4"/>
    </row>
    <row r="4" spans="1:62" s="12" customFormat="1" ht="12.75" x14ac:dyDescent="0.25">
      <c r="A4" s="1"/>
      <c r="B4" s="4"/>
      <c r="C4" s="4"/>
      <c r="D4" s="4"/>
      <c r="E4" s="4"/>
      <c r="F4" s="4"/>
      <c r="G4" s="4"/>
      <c r="H4" s="4"/>
      <c r="I4" s="5"/>
      <c r="J4" s="4"/>
      <c r="K4" s="6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8"/>
      <c r="X4" s="8"/>
      <c r="Y4" s="8"/>
      <c r="Z4" s="8"/>
      <c r="AA4" s="4"/>
      <c r="AC4" s="54"/>
      <c r="AD4" s="4"/>
      <c r="AE4" s="4"/>
      <c r="AF4" s="139"/>
      <c r="AG4" s="4"/>
      <c r="AH4" s="4"/>
      <c r="AI4" s="4"/>
      <c r="AJ4" s="4"/>
    </row>
    <row r="5" spans="1:62" s="12" customFormat="1" ht="6" customHeight="1" thickBot="1" x14ac:dyDescent="0.3">
      <c r="A5" s="1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5"/>
      <c r="AE5" s="15"/>
      <c r="AF5" s="33"/>
      <c r="AG5" s="33"/>
      <c r="AH5" s="33"/>
      <c r="AI5" s="33"/>
      <c r="AJ5" s="33"/>
    </row>
    <row r="6" spans="1:62" s="12" customFormat="1" ht="6" customHeight="1" thickTop="1" x14ac:dyDescent="0.25">
      <c r="A6" s="1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8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5"/>
      <c r="AE6" s="15"/>
      <c r="AF6" s="33"/>
      <c r="AG6" s="33"/>
      <c r="AH6" s="33"/>
      <c r="AI6" s="33"/>
      <c r="AJ6" s="33"/>
    </row>
    <row r="7" spans="1:62" s="12" customFormat="1" ht="12.75" x14ac:dyDescent="0.2">
      <c r="A7" s="1"/>
      <c r="B7" s="17"/>
      <c r="C7" s="17"/>
      <c r="D7" s="17"/>
      <c r="E7" s="19" t="s">
        <v>19</v>
      </c>
      <c r="F7" s="19"/>
      <c r="G7" s="19"/>
      <c r="H7" s="19"/>
      <c r="I7" s="19"/>
      <c r="J7" s="19"/>
      <c r="K7" s="20"/>
      <c r="L7" s="20"/>
      <c r="M7" s="20"/>
      <c r="N7" s="20"/>
      <c r="O7" s="20"/>
      <c r="P7" s="20"/>
      <c r="Q7" s="21"/>
      <c r="R7" s="22" t="s">
        <v>20</v>
      </c>
      <c r="S7" s="23"/>
      <c r="T7" s="23"/>
      <c r="U7" s="23"/>
      <c r="V7" s="23"/>
      <c r="W7" s="23"/>
      <c r="X7" s="23"/>
      <c r="Y7" s="23"/>
      <c r="Z7" s="23"/>
      <c r="AA7" s="17"/>
      <c r="AB7" s="158" t="s">
        <v>68</v>
      </c>
      <c r="AC7" s="159"/>
      <c r="AD7" s="15"/>
      <c r="AE7" s="15"/>
      <c r="AF7" s="33"/>
      <c r="AG7" s="33"/>
      <c r="AH7" s="33"/>
      <c r="AI7" s="33"/>
      <c r="AJ7" s="33"/>
      <c r="AK7" s="107"/>
      <c r="AL7" s="107"/>
      <c r="AM7" s="107"/>
      <c r="AN7" s="107"/>
      <c r="AO7" s="107"/>
      <c r="AP7" s="107"/>
      <c r="AQ7" s="130"/>
      <c r="AR7" s="130"/>
      <c r="AS7" s="130"/>
      <c r="AT7" s="130"/>
      <c r="AU7" s="130"/>
      <c r="AV7" s="130"/>
      <c r="AW7" s="38"/>
      <c r="AX7" s="131"/>
      <c r="AY7" s="132"/>
      <c r="AZ7" s="132"/>
      <c r="BA7" s="132"/>
      <c r="BB7" s="132"/>
      <c r="BC7" s="132"/>
      <c r="BD7" s="132"/>
      <c r="BE7" s="132"/>
      <c r="BF7" s="132"/>
      <c r="BG7" s="33"/>
      <c r="BH7" s="131"/>
      <c r="BI7" s="110"/>
      <c r="BJ7" s="111"/>
    </row>
    <row r="8" spans="1:62" s="12" customFormat="1" ht="40.5" customHeight="1" x14ac:dyDescent="0.35">
      <c r="A8" s="1"/>
      <c r="B8" s="17"/>
      <c r="C8" s="17"/>
      <c r="D8" s="17"/>
      <c r="E8" s="24">
        <v>2009</v>
      </c>
      <c r="F8" s="24">
        <v>2010</v>
      </c>
      <c r="G8" s="24">
        <v>2011</v>
      </c>
      <c r="H8" s="24">
        <v>2012</v>
      </c>
      <c r="I8" s="24">
        <v>2013</v>
      </c>
      <c r="J8" s="24">
        <v>2014</v>
      </c>
      <c r="K8" s="24">
        <v>2015</v>
      </c>
      <c r="L8" s="24">
        <v>2016</v>
      </c>
      <c r="M8" s="24">
        <v>2017</v>
      </c>
      <c r="N8" s="24">
        <v>2018</v>
      </c>
      <c r="O8" s="24">
        <v>2019</v>
      </c>
      <c r="P8" s="24">
        <v>2020</v>
      </c>
      <c r="Q8" s="18"/>
      <c r="R8" s="2" t="s">
        <v>21</v>
      </c>
      <c r="S8" s="2" t="s">
        <v>22</v>
      </c>
      <c r="T8" s="2" t="s">
        <v>23</v>
      </c>
      <c r="U8" s="2" t="s">
        <v>24</v>
      </c>
      <c r="V8" s="2"/>
      <c r="W8" s="2" t="s">
        <v>21</v>
      </c>
      <c r="X8" s="2" t="s">
        <v>22</v>
      </c>
      <c r="Y8" s="2" t="s">
        <v>23</v>
      </c>
      <c r="Z8" s="2" t="s">
        <v>24</v>
      </c>
      <c r="AA8" s="17"/>
      <c r="AB8" s="160" t="s">
        <v>69</v>
      </c>
      <c r="AC8" s="160" t="s">
        <v>70</v>
      </c>
      <c r="AD8" s="15"/>
      <c r="AE8" s="15"/>
      <c r="AF8" s="33"/>
      <c r="AG8" s="33"/>
      <c r="AH8" s="33"/>
      <c r="AI8" s="33"/>
      <c r="AJ8" s="33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33"/>
      <c r="AX8" s="111"/>
      <c r="AY8" s="111"/>
      <c r="AZ8" s="111"/>
      <c r="BA8" s="111"/>
      <c r="BB8" s="111"/>
      <c r="BC8" s="111"/>
      <c r="BD8" s="111"/>
      <c r="BE8" s="111"/>
      <c r="BF8" s="111"/>
      <c r="BG8" s="33"/>
      <c r="BH8" s="114"/>
      <c r="BI8" s="111"/>
      <c r="BJ8" s="111"/>
    </row>
    <row r="9" spans="1:62" s="134" customFormat="1" ht="13.2" x14ac:dyDescent="0.35">
      <c r="A9" s="25"/>
      <c r="B9" s="26"/>
      <c r="C9" s="26"/>
      <c r="D9" s="26"/>
      <c r="E9" s="27" t="s">
        <v>1</v>
      </c>
      <c r="F9" s="27" t="s">
        <v>1</v>
      </c>
      <c r="G9" s="27" t="s">
        <v>1</v>
      </c>
      <c r="H9" s="27" t="s">
        <v>1</v>
      </c>
      <c r="I9" s="27" t="s">
        <v>1</v>
      </c>
      <c r="J9" s="27" t="s">
        <v>1</v>
      </c>
      <c r="K9" s="27" t="s">
        <v>1</v>
      </c>
      <c r="L9" s="27" t="s">
        <v>1</v>
      </c>
      <c r="M9" s="27" t="s">
        <v>1</v>
      </c>
      <c r="N9" s="27" t="s">
        <v>1</v>
      </c>
      <c r="O9" s="27" t="s">
        <v>1</v>
      </c>
      <c r="P9" s="27" t="s">
        <v>1</v>
      </c>
      <c r="Q9" s="28"/>
      <c r="R9" s="28" t="s">
        <v>1</v>
      </c>
      <c r="S9" s="28" t="s">
        <v>1</v>
      </c>
      <c r="T9" s="28" t="s">
        <v>1</v>
      </c>
      <c r="U9" s="28" t="s">
        <v>1</v>
      </c>
      <c r="V9" s="28"/>
      <c r="W9" s="29" t="s">
        <v>2</v>
      </c>
      <c r="X9" s="29" t="s">
        <v>2</v>
      </c>
      <c r="Y9" s="29" t="s">
        <v>2</v>
      </c>
      <c r="Z9" s="29" t="s">
        <v>2</v>
      </c>
      <c r="AA9" s="26"/>
      <c r="AB9" s="28" t="s">
        <v>1</v>
      </c>
      <c r="AC9" s="28" t="s">
        <v>1</v>
      </c>
      <c r="AD9" s="15"/>
      <c r="AE9" s="15"/>
      <c r="AF9" s="33"/>
      <c r="AG9" s="33"/>
      <c r="AH9" s="33"/>
      <c r="AI9" s="33"/>
      <c r="AJ9" s="33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112"/>
      <c r="AX9" s="112"/>
      <c r="AY9" s="112"/>
      <c r="AZ9" s="112"/>
      <c r="BA9" s="112"/>
      <c r="BB9" s="112"/>
      <c r="BC9" s="113"/>
      <c r="BD9" s="113"/>
      <c r="BE9" s="113"/>
      <c r="BF9" s="113"/>
      <c r="BG9" s="114"/>
      <c r="BH9" s="112"/>
      <c r="BI9" s="112"/>
      <c r="BJ9" s="112"/>
    </row>
    <row r="10" spans="1:62" s="134" customFormat="1" ht="13.2" x14ac:dyDescent="0.35">
      <c r="A10" s="25"/>
      <c r="B10" s="26"/>
      <c r="C10" s="26"/>
      <c r="D10" s="26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3">
        <v>1</v>
      </c>
      <c r="S10" s="3">
        <v>2</v>
      </c>
      <c r="T10" s="3">
        <v>3</v>
      </c>
      <c r="U10" s="3">
        <v>4</v>
      </c>
      <c r="V10" s="3"/>
      <c r="W10" s="3">
        <v>5</v>
      </c>
      <c r="X10" s="3">
        <v>6</v>
      </c>
      <c r="Y10" s="3">
        <v>7</v>
      </c>
      <c r="Z10" s="3">
        <v>8</v>
      </c>
      <c r="AA10" s="3"/>
      <c r="AB10" s="3">
        <v>9</v>
      </c>
      <c r="AC10" s="3">
        <v>10</v>
      </c>
      <c r="AD10" s="15"/>
      <c r="AE10" s="15"/>
      <c r="AF10" s="33"/>
      <c r="AG10" s="33"/>
      <c r="AH10" s="33"/>
      <c r="AI10" s="33"/>
      <c r="AJ10" s="33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  <c r="BI10" s="135"/>
      <c r="BJ10" s="135"/>
    </row>
    <row r="11" spans="1:62" s="12" customFormat="1" ht="3.75" customHeight="1" x14ac:dyDescent="0.35">
      <c r="A11" s="1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1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15"/>
      <c r="AE11" s="15"/>
      <c r="AF11" s="33"/>
      <c r="AG11" s="33"/>
      <c r="AH11" s="33"/>
      <c r="AI11" s="33"/>
      <c r="AJ11" s="33"/>
    </row>
    <row r="12" spans="1:62" s="12" customFormat="1" ht="3.75" customHeight="1" x14ac:dyDescent="0.35">
      <c r="A12" s="1"/>
      <c r="B12" s="15"/>
      <c r="C12" s="15"/>
      <c r="D12" s="15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1"/>
      <c r="R12" s="27"/>
      <c r="S12" s="27"/>
      <c r="T12" s="27"/>
      <c r="U12" s="27"/>
      <c r="V12" s="27"/>
      <c r="W12" s="32"/>
      <c r="X12" s="32"/>
      <c r="Y12" s="32"/>
      <c r="Z12" s="32"/>
      <c r="AA12" s="33"/>
      <c r="AB12" s="33"/>
      <c r="AC12" s="34"/>
      <c r="AD12" s="15"/>
      <c r="AE12" s="15"/>
      <c r="AF12" s="33"/>
      <c r="AG12" s="33"/>
      <c r="AH12" s="33"/>
      <c r="AI12" s="33"/>
      <c r="AJ12" s="33"/>
    </row>
    <row r="13" spans="1:62" s="12" customFormat="1" ht="13.2" x14ac:dyDescent="0.3">
      <c r="A13" s="35"/>
      <c r="B13" s="36" t="s">
        <v>25</v>
      </c>
      <c r="C13" s="15"/>
      <c r="D13" s="15"/>
      <c r="E13" s="27"/>
      <c r="F13" s="27"/>
      <c r="G13" s="27"/>
      <c r="H13" s="27"/>
      <c r="I13" s="27"/>
      <c r="J13" s="27"/>
      <c r="K13" s="27"/>
      <c r="L13" s="37"/>
      <c r="M13" s="37"/>
      <c r="N13" s="37"/>
      <c r="O13" s="37"/>
      <c r="P13" s="37"/>
      <c r="Q13" s="38"/>
      <c r="R13" s="37"/>
      <c r="S13" s="37"/>
      <c r="T13" s="37"/>
      <c r="U13" s="37"/>
      <c r="V13" s="37"/>
      <c r="W13" s="39"/>
      <c r="X13" s="39"/>
      <c r="Y13" s="39"/>
      <c r="Z13" s="39"/>
      <c r="AA13" s="33"/>
      <c r="AB13" s="33"/>
      <c r="AC13" s="34"/>
      <c r="AD13" s="15"/>
      <c r="AE13" s="15"/>
      <c r="AF13" s="33"/>
      <c r="AG13" s="33"/>
      <c r="AH13" s="116"/>
      <c r="AI13" s="33"/>
      <c r="AJ13" s="33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8"/>
      <c r="AX13" s="37"/>
      <c r="AY13" s="37"/>
      <c r="AZ13" s="37"/>
      <c r="BA13" s="37"/>
      <c r="BB13" s="37"/>
      <c r="BC13" s="39"/>
      <c r="BD13" s="39"/>
      <c r="BE13" s="39"/>
      <c r="BF13" s="39"/>
      <c r="BG13" s="33"/>
      <c r="BH13" s="34"/>
      <c r="BI13" s="34"/>
      <c r="BJ13" s="34"/>
    </row>
    <row r="14" spans="1:62" ht="15" x14ac:dyDescent="0.25">
      <c r="A14" s="40">
        <f>AVERAGE(E14:P14)</f>
        <v>163475.84166666665</v>
      </c>
      <c r="B14" s="42" t="s">
        <v>26</v>
      </c>
      <c r="C14" s="15"/>
      <c r="D14" s="17"/>
      <c r="E14" s="43">
        <v>133551.00000000006</v>
      </c>
      <c r="F14" s="43">
        <v>133092.7000000001</v>
      </c>
      <c r="G14" s="43">
        <v>137720.30000000005</v>
      </c>
      <c r="H14" s="43">
        <v>145373.30000000005</v>
      </c>
      <c r="I14" s="43">
        <v>160898.09999999983</v>
      </c>
      <c r="J14" s="43">
        <v>160486.29999999993</v>
      </c>
      <c r="K14" s="43">
        <v>178587.69999999992</v>
      </c>
      <c r="L14" s="44">
        <v>184379.99999999997</v>
      </c>
      <c r="M14" s="44">
        <v>178838.49999999988</v>
      </c>
      <c r="N14" s="44">
        <v>179891.19999999998</v>
      </c>
      <c r="O14" s="44">
        <v>185539.49999999988</v>
      </c>
      <c r="P14" s="44">
        <v>183351.50000000015</v>
      </c>
      <c r="Q14" s="44"/>
      <c r="R14" s="144">
        <f>_xlfn.STDEV.S(E14:P14)</f>
        <v>21058.225925771389</v>
      </c>
      <c r="S14" s="144">
        <f>_xlfn.STDEV.S(F14 - E14, G14 - F14, H14 - G14, I14 - H14, J14 - I14, K14 - J14, L14 - K14, M14 - L14, N14 - M14, O14 - N14, P14 - O14)</f>
        <v>7250.0887752934086</v>
      </c>
      <c r="T14" s="45">
        <v>7158.9193070669407</v>
      </c>
      <c r="U14" s="45">
        <v>5349.759801077339</v>
      </c>
      <c r="V14" s="44"/>
      <c r="W14" s="146">
        <f>R14/$A14</f>
        <v>0.12881552228805709</v>
      </c>
      <c r="X14" s="146">
        <f t="shared" ref="X14:X17" si="0">S14/$A14</f>
        <v>4.434960359510863E-2</v>
      </c>
      <c r="Y14" s="146">
        <f t="shared" ref="Y14:Y17" si="1">T14/$A14</f>
        <v>4.3791909765262108E-2</v>
      </c>
      <c r="Z14" s="146">
        <f t="shared" ref="Z14:Z17" si="2">U14/$A14</f>
        <v>3.2725078803910977E-2</v>
      </c>
      <c r="AA14" s="33"/>
      <c r="AB14" s="232">
        <f>$AB$3 * EXP($P14 * $AB$2) * $P14</f>
        <v>3051.7062604711991</v>
      </c>
      <c r="AC14" s="48">
        <v>2987.6641798051792</v>
      </c>
      <c r="AD14"/>
      <c r="AE14" s="15"/>
      <c r="AF14" s="33"/>
      <c r="AG14" s="117"/>
      <c r="AH14" s="118"/>
      <c r="AI14" s="33"/>
      <c r="AJ14" s="5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50"/>
      <c r="AY14" s="50"/>
      <c r="AZ14" s="50"/>
      <c r="BA14" s="50"/>
      <c r="BB14" s="44"/>
      <c r="BC14" s="47"/>
      <c r="BD14" s="51"/>
      <c r="BE14" s="51"/>
      <c r="BF14" s="52"/>
      <c r="BG14" s="33"/>
      <c r="BH14" s="44"/>
      <c r="BI14" s="48"/>
      <c r="BJ14" s="48"/>
    </row>
    <row r="15" spans="1:62" ht="12.75" x14ac:dyDescent="0.25">
      <c r="A15" s="40">
        <f t="shared" ref="A15:A17" si="3">AVERAGE(E15:P15)</f>
        <v>152647.28333333335</v>
      </c>
      <c r="B15" s="42" t="s">
        <v>27</v>
      </c>
      <c r="C15" s="15"/>
      <c r="D15" s="26" t="s">
        <v>28</v>
      </c>
      <c r="E15" s="43">
        <v>133551.00000000006</v>
      </c>
      <c r="F15" s="43">
        <v>133092.7000000001</v>
      </c>
      <c r="G15" s="43">
        <v>137720.30000000005</v>
      </c>
      <c r="H15" s="43">
        <v>145373.30000000005</v>
      </c>
      <c r="I15" s="43">
        <v>147499.19999999984</v>
      </c>
      <c r="J15" s="43">
        <v>147743.09999999992</v>
      </c>
      <c r="K15" s="43">
        <v>163693.79999999993</v>
      </c>
      <c r="L15" s="44">
        <v>165620.09999999998</v>
      </c>
      <c r="M15" s="44">
        <v>161236.99999999988</v>
      </c>
      <c r="N15" s="44">
        <v>163297.99999999997</v>
      </c>
      <c r="O15" s="44">
        <v>167567.6999999999</v>
      </c>
      <c r="P15" s="44">
        <v>165371.20000000016</v>
      </c>
      <c r="Q15" s="44"/>
      <c r="R15" s="144">
        <f t="shared" ref="R15:R17" si="4">_xlfn.STDEV.S(E15:P15)</f>
        <v>13264.397313988015</v>
      </c>
      <c r="S15" s="144">
        <f t="shared" ref="S15:S17" si="5">_xlfn.STDEV.S(F15 - E15, G15 - F15, H15 - G15, I15 - H15, J15 - I15, K15 - J15, L15 - K15, M15 - L15, N15 - M15, O15 - N15, P15 - O15)</f>
        <v>5453.2011505836708</v>
      </c>
      <c r="T15" s="45">
        <v>4527.4738565915122</v>
      </c>
      <c r="U15" s="45">
        <v>3722.6499490904666</v>
      </c>
      <c r="V15" s="44"/>
      <c r="W15" s="146">
        <f t="shared" ref="W15:W17" si="6">R15/$A15</f>
        <v>8.6895731285454775E-2</v>
      </c>
      <c r="X15" s="146">
        <f t="shared" si="0"/>
        <v>3.572419391621668E-2</v>
      </c>
      <c r="Y15" s="146">
        <f t="shared" si="1"/>
        <v>2.9659708038858066E-2</v>
      </c>
      <c r="Z15" s="146">
        <f t="shared" si="2"/>
        <v>2.4387266303071881E-2</v>
      </c>
      <c r="AA15" s="33"/>
      <c r="AB15" s="48" t="s">
        <v>14</v>
      </c>
      <c r="AC15" s="48" t="s">
        <v>14</v>
      </c>
      <c r="AD15" s="49"/>
      <c r="AE15" s="15"/>
      <c r="AF15" s="33"/>
      <c r="AG15" s="117"/>
      <c r="AH15" s="118"/>
      <c r="AI15" s="33"/>
      <c r="AJ15" s="11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50"/>
      <c r="AY15" s="50"/>
      <c r="AZ15" s="50"/>
      <c r="BA15" s="50"/>
      <c r="BB15" s="44"/>
      <c r="BC15" s="47"/>
      <c r="BD15" s="51"/>
      <c r="BE15" s="51"/>
      <c r="BF15" s="51"/>
      <c r="BG15" s="33"/>
      <c r="BH15" s="46"/>
      <c r="BI15" s="48"/>
      <c r="BJ15" s="48"/>
    </row>
    <row r="16" spans="1:62" ht="12.75" x14ac:dyDescent="0.25">
      <c r="A16" s="40">
        <f t="shared" si="3"/>
        <v>182621.42314874954</v>
      </c>
      <c r="B16" s="42" t="s">
        <v>29</v>
      </c>
      <c r="C16" s="15"/>
      <c r="D16" s="26" t="s">
        <v>30</v>
      </c>
      <c r="E16" s="44">
        <v>156484.07427652739</v>
      </c>
      <c r="F16" s="44">
        <v>156899.65056164656</v>
      </c>
      <c r="G16" s="44">
        <v>161312.70000000004</v>
      </c>
      <c r="H16" s="44">
        <v>169129.48976000005</v>
      </c>
      <c r="I16" s="44">
        <v>184458.39999999982</v>
      </c>
      <c r="J16" s="44">
        <v>190249.69999999992</v>
      </c>
      <c r="K16" s="44">
        <v>192994.39999999994</v>
      </c>
      <c r="L16" s="44">
        <v>198584.69999999998</v>
      </c>
      <c r="M16" s="44">
        <v>191039.06318682063</v>
      </c>
      <c r="N16" s="44">
        <v>194180.59999999998</v>
      </c>
      <c r="O16" s="44">
        <v>199483.89999999988</v>
      </c>
      <c r="P16" s="44">
        <v>196640.40000000014</v>
      </c>
      <c r="Q16" s="44"/>
      <c r="R16" s="144">
        <f t="shared" si="4"/>
        <v>16760.886717020869</v>
      </c>
      <c r="S16" s="144">
        <f t="shared" si="5"/>
        <v>5869.1743742031204</v>
      </c>
      <c r="T16" s="45">
        <v>6952.764110727956</v>
      </c>
      <c r="U16" s="45">
        <v>4129.2970933426332</v>
      </c>
      <c r="V16" s="44"/>
      <c r="W16" s="146">
        <f t="shared" si="6"/>
        <v>9.1779411352898743E-2</v>
      </c>
      <c r="X16" s="146">
        <f t="shared" si="0"/>
        <v>3.2138476817270979E-2</v>
      </c>
      <c r="Y16" s="146">
        <f t="shared" si="1"/>
        <v>3.8072007056175236E-2</v>
      </c>
      <c r="Z16" s="146">
        <f t="shared" si="2"/>
        <v>2.2611241453195891E-2</v>
      </c>
      <c r="AA16" s="33"/>
      <c r="AB16" s="48" t="s">
        <v>14</v>
      </c>
      <c r="AC16" s="48" t="s">
        <v>14</v>
      </c>
      <c r="AD16" s="49"/>
      <c r="AE16" s="15"/>
      <c r="AF16" s="33"/>
      <c r="AG16" s="117"/>
      <c r="AH16" s="118"/>
      <c r="AI16" s="33"/>
      <c r="AJ16" s="11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50"/>
      <c r="AY16" s="50"/>
      <c r="AZ16" s="50"/>
      <c r="BA16" s="50"/>
      <c r="BB16" s="44"/>
      <c r="BC16" s="47"/>
      <c r="BD16" s="51"/>
      <c r="BE16" s="51"/>
      <c r="BF16" s="51"/>
      <c r="BG16" s="33"/>
      <c r="BH16" s="46"/>
      <c r="BI16" s="48"/>
      <c r="BJ16" s="48"/>
    </row>
    <row r="17" spans="1:62" ht="12.75" x14ac:dyDescent="0.25">
      <c r="A17" s="40">
        <f t="shared" si="3"/>
        <v>170814.35540091715</v>
      </c>
      <c r="B17" s="42" t="s">
        <v>31</v>
      </c>
      <c r="C17" s="15"/>
      <c r="D17" s="26" t="s">
        <v>32</v>
      </c>
      <c r="E17" s="44">
        <v>156484.07427652739</v>
      </c>
      <c r="F17" s="44">
        <v>156899.65056164656</v>
      </c>
      <c r="G17" s="44">
        <v>161312.70000000004</v>
      </c>
      <c r="H17" s="44">
        <v>169129.48976000005</v>
      </c>
      <c r="I17" s="44">
        <v>171059.49999999983</v>
      </c>
      <c r="J17" s="44">
        <v>171493.46263772971</v>
      </c>
      <c r="K17" s="44">
        <v>177120.58682530464</v>
      </c>
      <c r="L17" s="44">
        <v>178814.07215604707</v>
      </c>
      <c r="M17" s="44">
        <v>172592.92924817707</v>
      </c>
      <c r="N17" s="44">
        <v>176612.68440272359</v>
      </c>
      <c r="O17" s="44">
        <v>180567.74049815055</v>
      </c>
      <c r="P17" s="44">
        <v>177685.37444469958</v>
      </c>
      <c r="Q17" s="44"/>
      <c r="R17" s="144">
        <f t="shared" si="4"/>
        <v>8396.4541683102143</v>
      </c>
      <c r="S17" s="144">
        <f t="shared" si="5"/>
        <v>3964.1386614112703</v>
      </c>
      <c r="T17" s="45">
        <v>3656.9895895281802</v>
      </c>
      <c r="U17" s="45">
        <v>2336.0278126221906</v>
      </c>
      <c r="V17" s="44"/>
      <c r="W17" s="146">
        <f t="shared" si="6"/>
        <v>4.9155436313317792E-2</v>
      </c>
      <c r="X17" s="146">
        <f t="shared" si="0"/>
        <v>2.3207292221470898E-2</v>
      </c>
      <c r="Y17" s="146">
        <f t="shared" si="1"/>
        <v>2.1409146678245432E-2</v>
      </c>
      <c r="Z17" s="146">
        <f t="shared" si="2"/>
        <v>1.3675828399429992E-2</v>
      </c>
      <c r="AA17" s="33"/>
      <c r="AB17" s="48" t="s">
        <v>14</v>
      </c>
      <c r="AC17" s="48" t="s">
        <v>14</v>
      </c>
      <c r="AD17" s="49"/>
      <c r="AE17" s="15"/>
      <c r="AF17" s="33"/>
      <c r="AG17" s="117"/>
      <c r="AH17" s="118"/>
      <c r="AI17" s="33"/>
      <c r="AJ17" s="11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50"/>
      <c r="AY17" s="50"/>
      <c r="AZ17" s="50"/>
      <c r="BA17" s="50"/>
      <c r="BB17" s="44"/>
      <c r="BC17" s="47"/>
      <c r="BD17" s="51"/>
      <c r="BE17" s="51"/>
      <c r="BF17" s="51"/>
      <c r="BG17" s="33"/>
      <c r="BH17" s="46"/>
      <c r="BI17" s="48"/>
      <c r="BJ17" s="48"/>
    </row>
    <row r="18" spans="1:62" ht="6.75" customHeight="1" x14ac:dyDescent="0.25">
      <c r="A18" s="59"/>
      <c r="B18" s="56"/>
      <c r="C18" s="56"/>
      <c r="D18" s="56"/>
      <c r="E18" s="17"/>
      <c r="F18" s="17"/>
      <c r="G18" s="17"/>
      <c r="H18" s="17"/>
      <c r="I18" s="17"/>
      <c r="J18" s="17"/>
      <c r="K18" s="17"/>
      <c r="L18" s="54"/>
      <c r="M18" s="54"/>
      <c r="N18" s="54"/>
      <c r="O18" s="54"/>
      <c r="P18" s="54"/>
      <c r="Q18" s="53"/>
      <c r="R18" s="6"/>
      <c r="S18" s="6"/>
      <c r="T18" s="6"/>
      <c r="U18" s="45"/>
      <c r="V18" s="54"/>
      <c r="W18" s="46"/>
      <c r="X18" s="47"/>
      <c r="Y18" s="46"/>
      <c r="Z18" s="47"/>
      <c r="AA18" s="54"/>
      <c r="AB18" s="58"/>
      <c r="AC18" s="58"/>
      <c r="AD18" s="49"/>
      <c r="AE18" s="60"/>
      <c r="AF18" s="60"/>
      <c r="AG18" s="117"/>
      <c r="AH18" s="119"/>
      <c r="AI18" s="119"/>
      <c r="AJ18" s="119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3"/>
      <c r="AX18" s="55"/>
      <c r="AY18" s="55"/>
      <c r="AZ18" s="55"/>
      <c r="BA18" s="50"/>
      <c r="BB18" s="54"/>
      <c r="BC18" s="47"/>
      <c r="BD18" s="51"/>
      <c r="BE18" s="51"/>
      <c r="BF18" s="51"/>
      <c r="BG18" s="54"/>
      <c r="BH18" s="60"/>
      <c r="BI18" s="58"/>
      <c r="BJ18" s="58"/>
    </row>
    <row r="19" spans="1:62" ht="12.75" x14ac:dyDescent="0.25">
      <c r="A19" s="59"/>
      <c r="B19" s="61" t="s">
        <v>33</v>
      </c>
      <c r="C19" s="56"/>
      <c r="D19" s="56"/>
      <c r="E19" s="43"/>
      <c r="F19" s="43"/>
      <c r="G19" s="43"/>
      <c r="H19" s="43"/>
      <c r="I19" s="43"/>
      <c r="J19" s="43"/>
      <c r="K19" s="43"/>
      <c r="L19" s="44"/>
      <c r="M19" s="44"/>
      <c r="N19" s="44"/>
      <c r="O19" s="44"/>
      <c r="P19" s="44"/>
      <c r="Q19" s="53"/>
      <c r="R19" s="6"/>
      <c r="S19" s="6"/>
      <c r="T19" s="6"/>
      <c r="U19" s="45"/>
      <c r="V19" s="54"/>
      <c r="W19" s="46"/>
      <c r="X19" s="47"/>
      <c r="Y19" s="46"/>
      <c r="Z19" s="47"/>
      <c r="AA19" s="54"/>
      <c r="AB19" s="58"/>
      <c r="AC19" s="58"/>
      <c r="AD19" s="49"/>
      <c r="AE19" s="60"/>
      <c r="AF19" s="60"/>
      <c r="AG19" s="117"/>
      <c r="AH19" s="120"/>
      <c r="AI19" s="119"/>
      <c r="AJ19" s="119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53"/>
      <c r="AX19" s="55"/>
      <c r="AY19" s="55"/>
      <c r="AZ19" s="55"/>
      <c r="BA19" s="50"/>
      <c r="BB19" s="54"/>
      <c r="BC19" s="47"/>
      <c r="BD19" s="51"/>
      <c r="BE19" s="51"/>
      <c r="BF19" s="51"/>
      <c r="BG19" s="54"/>
      <c r="BH19" s="60"/>
      <c r="BI19" s="58"/>
      <c r="BJ19" s="58"/>
    </row>
    <row r="20" spans="1:62" ht="12.75" x14ac:dyDescent="0.25">
      <c r="A20" s="40">
        <f t="shared" ref="A20:A24" si="7">AVERAGE(E20:P20)</f>
        <v>69959.083333333343</v>
      </c>
      <c r="B20" s="42" t="s">
        <v>3</v>
      </c>
      <c r="C20" s="56"/>
      <c r="D20" s="56"/>
      <c r="E20" s="43">
        <v>63425.600000000093</v>
      </c>
      <c r="F20" s="43">
        <v>63819.800000000061</v>
      </c>
      <c r="G20" s="43">
        <v>65373.20000000007</v>
      </c>
      <c r="H20" s="43">
        <v>68295.500000000058</v>
      </c>
      <c r="I20" s="43">
        <v>68338</v>
      </c>
      <c r="J20" s="43">
        <v>70885.399999999994</v>
      </c>
      <c r="K20" s="43">
        <v>74260.499999999971</v>
      </c>
      <c r="L20" s="44">
        <v>71608.3</v>
      </c>
      <c r="M20" s="44">
        <v>72351.299999999959</v>
      </c>
      <c r="N20" s="44">
        <v>73545.699999999968</v>
      </c>
      <c r="O20" s="44">
        <v>74632.999999999985</v>
      </c>
      <c r="P20" s="44">
        <v>72972.7</v>
      </c>
      <c r="Q20" s="53"/>
      <c r="R20" s="144">
        <f t="shared" ref="R20:R24" si="8">_xlfn.STDEV.S(E20:P20)</f>
        <v>4027.1467067737249</v>
      </c>
      <c r="S20" s="144">
        <f>_xlfn.STDEV.S(F20 - E20, G20 - F20, H20 - G20, I20 - H20, J20 - I20, K20 - J20, L20 - K20, M20 - L20, N20 - M20, O20 - N20, P20 - O20)</f>
        <v>1834.5614303250609</v>
      </c>
      <c r="T20" s="45">
        <v>1604.0211406619421</v>
      </c>
      <c r="U20" s="45">
        <v>1073.7219054649865</v>
      </c>
      <c r="V20" s="44"/>
      <c r="W20" s="146">
        <f t="shared" ref="W20:W24" si="9">R20/$A20</f>
        <v>5.7564314952293173E-2</v>
      </c>
      <c r="X20" s="146">
        <f t="shared" ref="X20:X24" si="10">S20/$A20</f>
        <v>2.6223348604840123E-2</v>
      </c>
      <c r="Y20" s="146">
        <f t="shared" ref="Y20:Y24" si="11">T20/$A20</f>
        <v>2.2927989679614277E-2</v>
      </c>
      <c r="Z20" s="146">
        <f t="shared" ref="Z20:Z24" si="12">U20/$A20</f>
        <v>1.5347855550780084E-2</v>
      </c>
      <c r="AA20" s="54"/>
      <c r="AB20" s="232">
        <f>$AB$3 * EXP($P20 * $AB$2) * $P20</f>
        <v>2401.215723263826</v>
      </c>
      <c r="AC20" s="48">
        <v>2355.8883766695817</v>
      </c>
      <c r="AD20" s="49"/>
      <c r="AE20" s="15"/>
      <c r="AF20" s="33"/>
      <c r="AG20" s="117"/>
      <c r="AH20" s="118"/>
      <c r="AI20" s="119"/>
      <c r="AJ20" s="119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53"/>
      <c r="AX20" s="50"/>
      <c r="AY20" s="50"/>
      <c r="AZ20" s="50"/>
      <c r="BA20" s="50"/>
      <c r="BB20" s="44"/>
      <c r="BC20" s="47"/>
      <c r="BD20" s="51"/>
      <c r="BE20" s="51"/>
      <c r="BF20" s="51"/>
      <c r="BG20" s="54"/>
      <c r="BH20" s="44"/>
      <c r="BI20" s="48"/>
      <c r="BJ20" s="48"/>
    </row>
    <row r="21" spans="1:62" ht="12.75" x14ac:dyDescent="0.25">
      <c r="A21" s="40">
        <f t="shared" si="7"/>
        <v>33190.466666666682</v>
      </c>
      <c r="B21" s="42" t="s">
        <v>6</v>
      </c>
      <c r="C21" s="56"/>
      <c r="D21" s="56"/>
      <c r="E21" s="43">
        <v>31639.100000000082</v>
      </c>
      <c r="F21" s="43">
        <v>31075.100000000071</v>
      </c>
      <c r="G21" s="43">
        <v>31876.400000000078</v>
      </c>
      <c r="H21" s="43">
        <v>32982.500000000065</v>
      </c>
      <c r="I21" s="43">
        <v>33007.400000000052</v>
      </c>
      <c r="J21" s="43">
        <v>34519.599999999984</v>
      </c>
      <c r="K21" s="43">
        <v>37226.399999999987</v>
      </c>
      <c r="L21" s="44">
        <v>34139.899999999972</v>
      </c>
      <c r="M21" s="44">
        <v>33705.999999999956</v>
      </c>
      <c r="N21" s="44">
        <v>33839.999999999978</v>
      </c>
      <c r="O21" s="44">
        <v>33228.199999999961</v>
      </c>
      <c r="P21" s="44">
        <v>31044.999999999993</v>
      </c>
      <c r="Q21" s="53"/>
      <c r="R21" s="144">
        <f t="shared" si="8"/>
        <v>1730.3164594076061</v>
      </c>
      <c r="S21" s="144">
        <f t="shared" ref="S21:S24" si="13">_xlfn.STDEV.S(F21 - E21, G21 - F21, H21 - G21, I21 - H21, J21 - I21, K21 - J21, L21 - K21, M21 - L21, N21 - M21, O21 - N21, P21 - O21)</f>
        <v>1632.1474237669431</v>
      </c>
      <c r="T21" s="45">
        <v>1668.6697937539748</v>
      </c>
      <c r="U21" s="45">
        <v>1023.8024542263892</v>
      </c>
      <c r="V21" s="44"/>
      <c r="W21" s="146">
        <f t="shared" si="9"/>
        <v>5.2132935543969611E-2</v>
      </c>
      <c r="X21" s="146">
        <f t="shared" si="10"/>
        <v>4.9175187566920089E-2</v>
      </c>
      <c r="Y21" s="146">
        <f t="shared" si="11"/>
        <v>5.0275574926755294E-2</v>
      </c>
      <c r="Z21" s="146">
        <f t="shared" si="12"/>
        <v>3.0846280786241492E-2</v>
      </c>
      <c r="AA21" s="54"/>
      <c r="AB21" s="232">
        <f>$AB$3 * EXP($P21 * $AB$2) * $P21</f>
        <v>1323.4380438158164</v>
      </c>
      <c r="AC21" s="48">
        <v>1338.4698202126374</v>
      </c>
      <c r="AD21" s="49"/>
      <c r="AE21" s="15"/>
      <c r="AF21" s="33"/>
      <c r="AG21" s="117"/>
      <c r="AH21" s="118"/>
      <c r="AI21" s="119"/>
      <c r="AJ21" s="119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53"/>
      <c r="AX21" s="50"/>
      <c r="AY21" s="50"/>
      <c r="AZ21" s="50"/>
      <c r="BA21" s="50"/>
      <c r="BB21" s="44"/>
      <c r="BC21" s="47"/>
      <c r="BD21" s="51"/>
      <c r="BE21" s="51"/>
      <c r="BF21" s="51"/>
      <c r="BG21" s="54"/>
      <c r="BH21" s="44"/>
      <c r="BI21" s="48"/>
      <c r="BJ21" s="48"/>
    </row>
    <row r="22" spans="1:62" ht="12.75" x14ac:dyDescent="0.25">
      <c r="A22" s="40">
        <f t="shared" si="7"/>
        <v>12173.516666666668</v>
      </c>
      <c r="B22" s="42" t="s">
        <v>7</v>
      </c>
      <c r="C22" s="56"/>
      <c r="D22" s="56"/>
      <c r="E22" s="43">
        <v>10311.700000000001</v>
      </c>
      <c r="F22" s="43">
        <v>10928.2</v>
      </c>
      <c r="G22" s="43">
        <v>11651.100000000002</v>
      </c>
      <c r="H22" s="43">
        <v>12395.8</v>
      </c>
      <c r="I22" s="43">
        <v>11768.199999999999</v>
      </c>
      <c r="J22" s="43">
        <v>12457.800000000003</v>
      </c>
      <c r="K22" s="43">
        <v>12721.900000000005</v>
      </c>
      <c r="L22" s="44">
        <v>12386.000000000004</v>
      </c>
      <c r="M22" s="44">
        <v>12645.000000000004</v>
      </c>
      <c r="N22" s="44">
        <v>12621.200000000004</v>
      </c>
      <c r="O22" s="44">
        <v>13299.899999999994</v>
      </c>
      <c r="P22" s="44">
        <v>12895.400000000009</v>
      </c>
      <c r="Q22" s="53"/>
      <c r="R22" s="144">
        <f t="shared" si="8"/>
        <v>860.3935609341637</v>
      </c>
      <c r="S22" s="144">
        <f t="shared" si="13"/>
        <v>509.34070290559072</v>
      </c>
      <c r="T22" s="45">
        <v>411.87726644591248</v>
      </c>
      <c r="U22" s="45">
        <v>311.09804371286259</v>
      </c>
      <c r="V22" s="44"/>
      <c r="W22" s="146">
        <f t="shared" si="9"/>
        <v>7.0677486587756508E-2</v>
      </c>
      <c r="X22" s="146">
        <f t="shared" si="10"/>
        <v>4.1840062888340177E-2</v>
      </c>
      <c r="Y22" s="146">
        <f t="shared" si="11"/>
        <v>3.3833877072983222E-2</v>
      </c>
      <c r="Z22" s="146">
        <f t="shared" si="12"/>
        <v>2.555531423099016E-2</v>
      </c>
      <c r="AA22" s="54"/>
      <c r="AB22" s="232">
        <f>$AB$3 * EXP($P22 * $AB$2) * $P22</f>
        <v>614.92215650494563</v>
      </c>
      <c r="AC22" s="48">
        <v>622.03942275153611</v>
      </c>
      <c r="AD22" s="49"/>
      <c r="AE22" s="15"/>
      <c r="AF22" s="33"/>
      <c r="AG22" s="117"/>
      <c r="AH22" s="118"/>
      <c r="AI22" s="119"/>
      <c r="AJ22" s="119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53"/>
      <c r="AX22" s="50"/>
      <c r="AY22" s="50"/>
      <c r="AZ22" s="50"/>
      <c r="BA22" s="50"/>
      <c r="BB22" s="44"/>
      <c r="BC22" s="47"/>
      <c r="BD22" s="51"/>
      <c r="BE22" s="51"/>
      <c r="BF22" s="51"/>
      <c r="BG22" s="54"/>
      <c r="BH22" s="44"/>
      <c r="BI22" s="48"/>
      <c r="BJ22" s="48"/>
    </row>
    <row r="23" spans="1:62" ht="12.75" x14ac:dyDescent="0.25">
      <c r="A23" s="40">
        <f t="shared" si="7"/>
        <v>12174.250000000002</v>
      </c>
      <c r="B23" s="42" t="s">
        <v>8</v>
      </c>
      <c r="C23" s="56"/>
      <c r="D23" s="56"/>
      <c r="E23" s="62" t="s">
        <v>34</v>
      </c>
      <c r="F23" s="62" t="s">
        <v>34</v>
      </c>
      <c r="G23" s="62" t="s">
        <v>34</v>
      </c>
      <c r="H23" s="62" t="s">
        <v>34</v>
      </c>
      <c r="I23" s="43">
        <v>13334.999999999998</v>
      </c>
      <c r="J23" s="43">
        <v>12679.400000000011</v>
      </c>
      <c r="K23" s="43">
        <v>11777.100000000002</v>
      </c>
      <c r="L23" s="44">
        <v>12791.300000000003</v>
      </c>
      <c r="M23" s="44">
        <v>12172.6</v>
      </c>
      <c r="N23" s="44">
        <v>11085.700000000006</v>
      </c>
      <c r="O23" s="44">
        <v>11847.699999999997</v>
      </c>
      <c r="P23" s="44">
        <v>11705.199999999997</v>
      </c>
      <c r="Q23" s="53"/>
      <c r="R23" s="144">
        <f t="shared" si="8"/>
        <v>722.35552584187076</v>
      </c>
      <c r="S23" s="144">
        <f>_xlfn.STDEV.S(J23 - I23, K23 - J23, L23 - K23, M23 - L23, N23 - M23, O23 - N23, P23 - O23)</f>
        <v>822.41370715369396</v>
      </c>
      <c r="T23" s="45">
        <v>488.12973169639059</v>
      </c>
      <c r="U23" s="45">
        <v>488.12254841032717</v>
      </c>
      <c r="V23" s="44"/>
      <c r="W23" s="146">
        <f t="shared" si="9"/>
        <v>5.9334704465726487E-2</v>
      </c>
      <c r="X23" s="146">
        <f t="shared" si="10"/>
        <v>6.7553541873519418E-2</v>
      </c>
      <c r="Y23" s="146">
        <f t="shared" si="11"/>
        <v>4.0095261038371195E-2</v>
      </c>
      <c r="Z23" s="146">
        <f t="shared" si="12"/>
        <v>4.0094670999061714E-2</v>
      </c>
      <c r="AA23" s="54"/>
      <c r="AB23" s="232">
        <f>$AB$3 * EXP($P23 * $AB$2) * $P23</f>
        <v>562.28438866111321</v>
      </c>
      <c r="AC23" s="48">
        <v>569.3021248943993</v>
      </c>
      <c r="AD23" s="49"/>
      <c r="AE23" s="15"/>
      <c r="AF23" s="33"/>
      <c r="AG23" s="117"/>
      <c r="AH23" s="118"/>
      <c r="AI23" s="119"/>
      <c r="AJ23" s="119"/>
      <c r="AK23" s="45"/>
      <c r="AL23" s="45"/>
      <c r="AM23" s="45"/>
      <c r="AN23" s="45"/>
      <c r="AO23" s="44"/>
      <c r="AP23" s="44"/>
      <c r="AQ23" s="44"/>
      <c r="AR23" s="44"/>
      <c r="AS23" s="44"/>
      <c r="AT23" s="44"/>
      <c r="AU23" s="44"/>
      <c r="AV23" s="44"/>
      <c r="AW23" s="53"/>
      <c r="AX23" s="50"/>
      <c r="AY23" s="50"/>
      <c r="AZ23" s="50"/>
      <c r="BA23" s="50"/>
      <c r="BB23" s="44"/>
      <c r="BC23" s="47"/>
      <c r="BD23" s="51"/>
      <c r="BE23" s="51"/>
      <c r="BF23" s="51"/>
      <c r="BG23" s="54"/>
      <c r="BH23" s="44"/>
      <c r="BI23" s="48"/>
      <c r="BJ23" s="48"/>
    </row>
    <row r="24" spans="1:62" ht="12.75" x14ac:dyDescent="0.25">
      <c r="A24" s="40">
        <f t="shared" si="7"/>
        <v>7272.5499999999993</v>
      </c>
      <c r="B24" s="42" t="s">
        <v>9</v>
      </c>
      <c r="C24" s="56"/>
      <c r="D24" s="56"/>
      <c r="E24" s="43">
        <v>6994.6</v>
      </c>
      <c r="F24" s="43">
        <v>7243.9000000000015</v>
      </c>
      <c r="G24" s="43">
        <v>7427.0000000000018</v>
      </c>
      <c r="H24" s="43">
        <v>7460.5000000000018</v>
      </c>
      <c r="I24" s="43">
        <v>8064.1</v>
      </c>
      <c r="J24" s="43">
        <v>8214.6000000000022</v>
      </c>
      <c r="K24" s="43">
        <v>8964.0999999999949</v>
      </c>
      <c r="L24" s="44">
        <v>6795.8999999999978</v>
      </c>
      <c r="M24" s="44">
        <v>6833.0999999999967</v>
      </c>
      <c r="N24" s="44">
        <v>6939.2999999999993</v>
      </c>
      <c r="O24" s="44">
        <v>6633.9999999999945</v>
      </c>
      <c r="P24" s="44">
        <v>5699.5000000000027</v>
      </c>
      <c r="Q24" s="53"/>
      <c r="R24" s="144">
        <f t="shared" si="8"/>
        <v>848.86060157665315</v>
      </c>
      <c r="S24" s="144">
        <f t="shared" si="13"/>
        <v>810.75910759327951</v>
      </c>
      <c r="T24" s="45">
        <v>764.02802661171177</v>
      </c>
      <c r="U24" s="45">
        <v>470.87055997636173</v>
      </c>
      <c r="V24" s="44"/>
      <c r="W24" s="146">
        <f t="shared" si="9"/>
        <v>0.11672117779549858</v>
      </c>
      <c r="X24" s="146">
        <f t="shared" si="10"/>
        <v>0.11148209467013352</v>
      </c>
      <c r="Y24" s="146">
        <f t="shared" si="11"/>
        <v>0.10505641440921161</v>
      </c>
      <c r="Z24" s="146">
        <f t="shared" si="12"/>
        <v>6.4746280187329308E-2</v>
      </c>
      <c r="AA24" s="54"/>
      <c r="AB24" s="232">
        <f>$AB$3 * EXP($P24 * $AB$2) * $P24</f>
        <v>284.13187499156845</v>
      </c>
      <c r="AC24" s="48">
        <v>294.60729620157605</v>
      </c>
      <c r="AD24" s="49"/>
      <c r="AE24" s="15"/>
      <c r="AF24" s="33"/>
      <c r="AG24" s="117"/>
      <c r="AH24" s="118"/>
      <c r="AI24" s="119"/>
      <c r="AJ24" s="119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53"/>
      <c r="AX24" s="50"/>
      <c r="AY24" s="50"/>
      <c r="AZ24" s="50"/>
      <c r="BA24" s="50"/>
      <c r="BB24" s="44"/>
      <c r="BC24" s="47"/>
      <c r="BD24" s="51"/>
      <c r="BE24" s="51"/>
      <c r="BF24" s="51"/>
      <c r="BG24" s="54"/>
      <c r="BH24" s="44"/>
      <c r="BI24" s="48"/>
      <c r="BJ24" s="48"/>
    </row>
    <row r="25" spans="1:62" ht="12.75" x14ac:dyDescent="0.25">
      <c r="A25" s="59"/>
      <c r="B25" s="63" t="s">
        <v>35</v>
      </c>
      <c r="C25" s="56"/>
      <c r="D25" s="56"/>
      <c r="E25" s="17"/>
      <c r="F25" s="17"/>
      <c r="G25" s="17"/>
      <c r="H25" s="17"/>
      <c r="I25" s="17"/>
      <c r="J25" s="17"/>
      <c r="K25" s="17"/>
      <c r="L25" s="54"/>
      <c r="M25" s="54"/>
      <c r="N25" s="54"/>
      <c r="O25" s="54"/>
      <c r="P25" s="54"/>
      <c r="Q25" s="53"/>
      <c r="R25" s="145">
        <f>AVERAGE(R20:R24)</f>
        <v>1637.8145709068037</v>
      </c>
      <c r="S25" s="145">
        <f>AVERAGE(S20:S24)</f>
        <v>1121.8444743489138</v>
      </c>
      <c r="T25" s="145">
        <f t="shared" ref="T25:U25" si="14">AVERAGE(T20:T24)</f>
        <v>987.34519183398629</v>
      </c>
      <c r="U25" s="145">
        <f t="shared" si="14"/>
        <v>673.52310235818527</v>
      </c>
      <c r="V25" s="64"/>
      <c r="W25" s="147">
        <f t="shared" ref="W25" si="15">AVERAGE(W20:W24)</f>
        <v>7.1286123869048867E-2</v>
      </c>
      <c r="X25" s="147">
        <f t="shared" ref="X25" si="16">AVERAGE(X20:X24)</f>
        <v>5.9254847120750666E-2</v>
      </c>
      <c r="Y25" s="147">
        <f t="shared" ref="Y25" si="17">AVERAGE(Y20:Y24)</f>
        <v>5.0437823425387121E-2</v>
      </c>
      <c r="Z25" s="147">
        <f t="shared" ref="Z25" si="18">AVERAGE(Z20:Z24)</f>
        <v>3.5318080350880555E-2</v>
      </c>
      <c r="AA25" s="54"/>
      <c r="AB25" s="161">
        <f>AVERAGE(AB20:AB24)</f>
        <v>1037.1984374474539</v>
      </c>
      <c r="AC25" s="66">
        <v>1036.0614081459462</v>
      </c>
      <c r="AD25" s="49"/>
      <c r="AE25" s="60"/>
      <c r="AF25" s="60"/>
      <c r="AG25" s="117"/>
      <c r="AH25" s="121"/>
      <c r="AI25" s="119"/>
      <c r="AJ25" s="119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3"/>
      <c r="AX25" s="67"/>
      <c r="AY25" s="67"/>
      <c r="AZ25" s="67"/>
      <c r="BA25" s="67"/>
      <c r="BB25" s="64"/>
      <c r="BC25" s="65"/>
      <c r="BD25" s="68"/>
      <c r="BE25" s="68"/>
      <c r="BF25" s="68"/>
      <c r="BG25" s="54"/>
      <c r="BH25" s="64"/>
      <c r="BI25" s="66"/>
      <c r="BJ25" s="66"/>
    </row>
    <row r="26" spans="1:62" ht="6.75" customHeight="1" x14ac:dyDescent="0.25">
      <c r="A26" s="59"/>
      <c r="B26" s="56"/>
      <c r="C26" s="56"/>
      <c r="D26" s="56"/>
      <c r="E26" s="17"/>
      <c r="F26" s="17"/>
      <c r="G26" s="17"/>
      <c r="H26" s="17"/>
      <c r="I26" s="17"/>
      <c r="J26" s="17"/>
      <c r="K26" s="17"/>
      <c r="L26" s="54"/>
      <c r="M26" s="54"/>
      <c r="N26" s="54"/>
      <c r="O26" s="54"/>
      <c r="P26" s="54"/>
      <c r="Q26" s="53"/>
      <c r="R26" s="6"/>
      <c r="S26" s="6"/>
      <c r="T26" s="6"/>
      <c r="U26" s="45"/>
      <c r="V26" s="54"/>
      <c r="W26" s="46"/>
      <c r="X26" s="47"/>
      <c r="Y26" s="46"/>
      <c r="Z26" s="47"/>
      <c r="AA26" s="54"/>
      <c r="AB26" s="58"/>
      <c r="AC26" s="58"/>
      <c r="AD26" s="49"/>
      <c r="AE26" s="60"/>
      <c r="AF26" s="60"/>
      <c r="AG26" s="117"/>
      <c r="AH26" s="119"/>
      <c r="AI26" s="119"/>
      <c r="AJ26" s="119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3"/>
      <c r="AX26" s="55"/>
      <c r="AY26" s="55"/>
      <c r="AZ26" s="55"/>
      <c r="BA26" s="50"/>
      <c r="BB26" s="54"/>
      <c r="BC26" s="47"/>
      <c r="BD26" s="51"/>
      <c r="BE26" s="51"/>
      <c r="BF26" s="51"/>
      <c r="BG26" s="54"/>
      <c r="BH26" s="60"/>
      <c r="BI26" s="58"/>
      <c r="BJ26" s="58"/>
    </row>
    <row r="27" spans="1:62" ht="15" x14ac:dyDescent="0.25">
      <c r="A27" s="59"/>
      <c r="B27" s="61" t="s">
        <v>37</v>
      </c>
      <c r="C27" s="61"/>
      <c r="D27" s="61"/>
      <c r="E27" s="17"/>
      <c r="F27" s="16"/>
      <c r="G27" s="17"/>
      <c r="H27" s="17"/>
      <c r="I27" s="17"/>
      <c r="J27" s="17"/>
      <c r="K27" s="17"/>
      <c r="L27" s="54"/>
      <c r="M27" s="54"/>
      <c r="N27" s="54"/>
      <c r="O27" s="54"/>
      <c r="P27" s="54"/>
      <c r="Q27" s="53"/>
      <c r="R27" s="6"/>
      <c r="S27" s="6"/>
      <c r="T27" s="6"/>
      <c r="U27" s="45"/>
      <c r="V27" s="54"/>
      <c r="W27" s="46"/>
      <c r="X27" s="47"/>
      <c r="Y27" s="46"/>
      <c r="Z27" s="47"/>
      <c r="AA27" s="54"/>
      <c r="AB27" s="58"/>
      <c r="AC27" s="58"/>
      <c r="AD27" s="49"/>
      <c r="AE27" s="60"/>
      <c r="AF27" s="60"/>
      <c r="AG27" s="117"/>
      <c r="AH27" s="120"/>
      <c r="AI27" s="120"/>
      <c r="AJ27" s="120"/>
      <c r="AK27" s="54"/>
      <c r="AL27" s="122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3"/>
      <c r="AX27" s="55"/>
      <c r="AY27" s="55"/>
      <c r="AZ27" s="55"/>
      <c r="BA27" s="50"/>
      <c r="BB27" s="54"/>
      <c r="BC27" s="47"/>
      <c r="BD27" s="51"/>
      <c r="BE27" s="51"/>
      <c r="BF27" s="51"/>
      <c r="BG27" s="54"/>
      <c r="BH27" s="60"/>
      <c r="BI27" s="58"/>
      <c r="BJ27" s="58"/>
    </row>
    <row r="28" spans="1:62" ht="12.75" x14ac:dyDescent="0.25">
      <c r="A28" s="40">
        <f t="shared" ref="A28:A36" si="19">AVERAGE(E28:P28)</f>
        <v>5915.9250000000029</v>
      </c>
      <c r="B28" s="69" t="s">
        <v>10</v>
      </c>
      <c r="C28" s="70"/>
      <c r="D28" s="70"/>
      <c r="E28" s="43">
        <v>5063.9000000000005</v>
      </c>
      <c r="F28" s="43">
        <v>5497.5000000000009</v>
      </c>
      <c r="G28" s="43">
        <v>5670.300000000002</v>
      </c>
      <c r="H28" s="43">
        <v>5381.4999999999991</v>
      </c>
      <c r="I28" s="43">
        <v>5288.9</v>
      </c>
      <c r="J28" s="43">
        <v>5875.2000000000035</v>
      </c>
      <c r="K28" s="43">
        <v>6235.1000000000031</v>
      </c>
      <c r="L28" s="43">
        <v>6126.1000000000031</v>
      </c>
      <c r="M28" s="43">
        <v>6133.7000000000025</v>
      </c>
      <c r="N28" s="43">
        <v>5991.2000000000044</v>
      </c>
      <c r="O28" s="43">
        <v>6786.5999999999976</v>
      </c>
      <c r="P28" s="43">
        <v>6941.1000000000085</v>
      </c>
      <c r="Q28" s="57"/>
      <c r="R28" s="144">
        <f t="shared" ref="R28:R36" si="20">_xlfn.STDEV.S(E28:P28)</f>
        <v>576.03534475680613</v>
      </c>
      <c r="S28" s="144">
        <f t="shared" ref="S28:S35" si="21">_xlfn.STDEV.S(F28 - E28, G28 - F28, H28 - G28, I28 - H28, J28 - I28, K28 - J28, L28 - K28, M28 - L28, N28 - M28, O28 - N28, P28 - O28)</f>
        <v>339.34472255697796</v>
      </c>
      <c r="T28" s="45">
        <v>250.91128198470616</v>
      </c>
      <c r="U28" s="45">
        <v>250.89645414163991</v>
      </c>
      <c r="V28" s="44"/>
      <c r="W28" s="146">
        <f t="shared" ref="W28:W36" si="22">R28/$A28</f>
        <v>9.7370292009585288E-2</v>
      </c>
      <c r="X28" s="146">
        <f t="shared" ref="X28:X36" si="23">S28/$A28</f>
        <v>5.7361227966375126E-2</v>
      </c>
      <c r="Y28" s="146">
        <f t="shared" ref="Y28:Y36" si="24">T28/$A28</f>
        <v>4.2412857158382847E-2</v>
      </c>
      <c r="Z28" s="146">
        <f t="shared" ref="Z28:Z36" si="25">U28/$A28</f>
        <v>4.241035072987568E-2</v>
      </c>
      <c r="AA28" s="54"/>
      <c r="AB28" s="232">
        <f t="shared" ref="AB28:AB36" si="26">$AB$3 * EXP($P28 * $AB$2) * $P28</f>
        <v>343.38537396294998</v>
      </c>
      <c r="AC28" s="48">
        <v>335.8158840996731</v>
      </c>
      <c r="AD28" s="49"/>
      <c r="AE28" s="15"/>
      <c r="AF28" s="33"/>
      <c r="AG28" s="117"/>
      <c r="AH28" s="123"/>
      <c r="AI28" s="124"/>
      <c r="AJ28" s="12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57"/>
      <c r="AX28" s="50"/>
      <c r="AY28" s="50"/>
      <c r="AZ28" s="50"/>
      <c r="BA28" s="50"/>
      <c r="BB28" s="44"/>
      <c r="BC28" s="47"/>
      <c r="BD28" s="51"/>
      <c r="BE28" s="51"/>
      <c r="BF28" s="51"/>
      <c r="BG28" s="54"/>
      <c r="BH28" s="44"/>
      <c r="BI28" s="48"/>
      <c r="BJ28" s="48"/>
    </row>
    <row r="29" spans="1:62" ht="12.75" x14ac:dyDescent="0.25">
      <c r="A29" s="40">
        <f t="shared" si="19"/>
        <v>3874.4500000000003</v>
      </c>
      <c r="B29" s="42" t="s">
        <v>11</v>
      </c>
      <c r="C29" s="56"/>
      <c r="D29" s="56"/>
      <c r="E29" s="43">
        <v>3428.9</v>
      </c>
      <c r="F29" s="43">
        <v>3525.8000000000011</v>
      </c>
      <c r="G29" s="43">
        <v>3664.5000000000009</v>
      </c>
      <c r="H29" s="43">
        <v>3745.3000000000015</v>
      </c>
      <c r="I29" s="43">
        <v>4154.9000000000024</v>
      </c>
      <c r="J29" s="43">
        <v>4150.5000000000009</v>
      </c>
      <c r="K29" s="43">
        <v>4911.7999999999965</v>
      </c>
      <c r="L29" s="43">
        <v>4161.7</v>
      </c>
      <c r="M29" s="43">
        <v>4019.0999999999985</v>
      </c>
      <c r="N29" s="43">
        <v>3645.3000000000011</v>
      </c>
      <c r="O29" s="43">
        <v>3726.4999999999955</v>
      </c>
      <c r="P29" s="43">
        <v>3359.1000000000045</v>
      </c>
      <c r="Q29" s="57"/>
      <c r="R29" s="144">
        <f t="shared" si="20"/>
        <v>432.24592221642411</v>
      </c>
      <c r="S29" s="144">
        <f t="shared" si="21"/>
        <v>405.75480863111261</v>
      </c>
      <c r="T29" s="45">
        <v>430.52690434575931</v>
      </c>
      <c r="U29" s="45">
        <v>233.44302653830226</v>
      </c>
      <c r="V29" s="44"/>
      <c r="W29" s="146">
        <f t="shared" si="22"/>
        <v>0.11156316953797935</v>
      </c>
      <c r="X29" s="146">
        <f t="shared" si="23"/>
        <v>0.10472578266105191</v>
      </c>
      <c r="Y29" s="146">
        <f t="shared" si="24"/>
        <v>0.11111948904896418</v>
      </c>
      <c r="Z29" s="146">
        <f t="shared" si="25"/>
        <v>6.025191357181077E-2</v>
      </c>
      <c r="AA29" s="54"/>
      <c r="AB29" s="232">
        <f t="shared" si="26"/>
        <v>169.89577855971078</v>
      </c>
      <c r="AC29" s="48">
        <v>169.87350183419824</v>
      </c>
      <c r="AD29" s="49"/>
      <c r="AE29" s="15"/>
      <c r="AF29" s="33"/>
      <c r="AG29" s="117"/>
      <c r="AH29" s="118"/>
      <c r="AI29" s="119"/>
      <c r="AJ29" s="119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57"/>
      <c r="AX29" s="50"/>
      <c r="AY29" s="50"/>
      <c r="AZ29" s="50"/>
      <c r="BA29" s="50"/>
      <c r="BB29" s="44"/>
      <c r="BC29" s="47"/>
      <c r="BD29" s="51"/>
      <c r="BE29" s="51"/>
      <c r="BF29" s="51"/>
      <c r="BG29" s="54"/>
      <c r="BH29" s="44"/>
      <c r="BI29" s="48"/>
      <c r="BJ29" s="48"/>
    </row>
    <row r="30" spans="1:62" ht="12.75" x14ac:dyDescent="0.25">
      <c r="A30" s="40">
        <f t="shared" si="19"/>
        <v>2401.2124999999987</v>
      </c>
      <c r="B30" s="42" t="s">
        <v>12</v>
      </c>
      <c r="C30" s="56"/>
      <c r="D30" s="56"/>
      <c r="E30" s="62" t="s">
        <v>34</v>
      </c>
      <c r="F30" s="62" t="s">
        <v>34</v>
      </c>
      <c r="G30" s="62" t="s">
        <v>34</v>
      </c>
      <c r="H30" s="62" t="s">
        <v>34</v>
      </c>
      <c r="I30" s="43">
        <v>2232.2000000000003</v>
      </c>
      <c r="J30" s="43">
        <v>2341.2000000000003</v>
      </c>
      <c r="K30" s="43">
        <v>1656.4999999999998</v>
      </c>
      <c r="L30" s="43">
        <v>2874.2999999999993</v>
      </c>
      <c r="M30" s="43">
        <v>2561</v>
      </c>
      <c r="N30" s="43">
        <v>2590.3999999999974</v>
      </c>
      <c r="O30" s="43">
        <v>2486.6999999999944</v>
      </c>
      <c r="P30" s="43">
        <v>2467.3999999999996</v>
      </c>
      <c r="Q30" s="57"/>
      <c r="R30" s="144">
        <f t="shared" si="20"/>
        <v>355.28420590322605</v>
      </c>
      <c r="S30" s="144">
        <f>_xlfn.STDEV.S(J30 - I30, K30 - J30, L30 - K30, M30 - L30, N30 - M30, O30 - N30, P30 - O30)</f>
        <v>586.79591000619621</v>
      </c>
      <c r="T30" s="45">
        <v>325.76549600034951</v>
      </c>
      <c r="U30" s="45">
        <v>325.76425282322009</v>
      </c>
      <c r="V30" s="44"/>
      <c r="W30" s="146">
        <f t="shared" si="22"/>
        <v>0.14796033499876676</v>
      </c>
      <c r="X30" s="146">
        <f t="shared" si="23"/>
        <v>0.24437483563249671</v>
      </c>
      <c r="Y30" s="146">
        <f t="shared" si="24"/>
        <v>0.13566708319249116</v>
      </c>
      <c r="Z30" s="146">
        <f t="shared" si="25"/>
        <v>0.13566656546358152</v>
      </c>
      <c r="AA30" s="54"/>
      <c r="AB30" s="232">
        <f t="shared" si="26"/>
        <v>125.48463896647307</v>
      </c>
      <c r="AC30" s="48">
        <v>125.66714005033678</v>
      </c>
      <c r="AD30" s="49"/>
      <c r="AE30" s="15"/>
      <c r="AF30" s="33"/>
      <c r="AG30" s="117"/>
      <c r="AH30" s="118"/>
      <c r="AI30" s="119"/>
      <c r="AJ30" s="119"/>
      <c r="AK30" s="45"/>
      <c r="AL30" s="45"/>
      <c r="AM30" s="45"/>
      <c r="AN30" s="45"/>
      <c r="AO30" s="44"/>
      <c r="AP30" s="44"/>
      <c r="AQ30" s="44"/>
      <c r="AR30" s="44"/>
      <c r="AS30" s="44"/>
      <c r="AT30" s="44"/>
      <c r="AU30" s="44"/>
      <c r="AV30" s="44"/>
      <c r="AW30" s="57"/>
      <c r="AX30" s="50"/>
      <c r="AY30" s="50"/>
      <c r="AZ30" s="50"/>
      <c r="BA30" s="50"/>
      <c r="BB30" s="44"/>
      <c r="BC30" s="47"/>
      <c r="BD30" s="51"/>
      <c r="BE30" s="51"/>
      <c r="BF30" s="51"/>
      <c r="BG30" s="54"/>
      <c r="BH30" s="44"/>
      <c r="BI30" s="48"/>
      <c r="BJ30" s="48"/>
    </row>
    <row r="31" spans="1:62" ht="12.75" x14ac:dyDescent="0.25">
      <c r="A31" s="40">
        <f t="shared" si="19"/>
        <v>1633.6499999999999</v>
      </c>
      <c r="B31" s="69" t="s">
        <v>13</v>
      </c>
      <c r="C31" s="70"/>
      <c r="D31" s="70"/>
      <c r="E31" s="43">
        <v>1505.1</v>
      </c>
      <c r="F31" s="43">
        <v>1546.1</v>
      </c>
      <c r="G31" s="43">
        <v>1460.3000000000002</v>
      </c>
      <c r="H31" s="43">
        <v>1498.8999999999999</v>
      </c>
      <c r="I31" s="43">
        <v>1612.4000000000005</v>
      </c>
      <c r="J31" s="43">
        <v>1600.3999999999994</v>
      </c>
      <c r="K31" s="43">
        <v>1767.6999999999982</v>
      </c>
      <c r="L31" s="43">
        <v>1766.6999999999982</v>
      </c>
      <c r="M31" s="43">
        <v>1686.3999999999996</v>
      </c>
      <c r="N31" s="43">
        <v>1748.2</v>
      </c>
      <c r="O31" s="43">
        <v>1723.7000000000005</v>
      </c>
      <c r="P31" s="43">
        <v>1687.9000000000015</v>
      </c>
      <c r="Q31" s="57"/>
      <c r="R31" s="144">
        <f t="shared" si="20"/>
        <v>111.42998209230245</v>
      </c>
      <c r="S31" s="144">
        <f t="shared" si="21"/>
        <v>77.884887085772775</v>
      </c>
      <c r="T31" s="45">
        <v>64.772284086325243</v>
      </c>
      <c r="U31" s="45">
        <v>60.495459889597576</v>
      </c>
      <c r="V31" s="44"/>
      <c r="W31" s="146">
        <f t="shared" si="22"/>
        <v>6.820921378037062E-2</v>
      </c>
      <c r="X31" s="146">
        <f t="shared" si="23"/>
        <v>4.7675381560170649E-2</v>
      </c>
      <c r="Y31" s="146">
        <f t="shared" si="24"/>
        <v>3.9648813446163653E-2</v>
      </c>
      <c r="Z31" s="146">
        <f t="shared" si="25"/>
        <v>3.703085721519149E-2</v>
      </c>
      <c r="AA31" s="54"/>
      <c r="AB31" s="232">
        <f t="shared" si="26"/>
        <v>86.255773038603451</v>
      </c>
      <c r="AC31" s="48">
        <v>84.824249734429159</v>
      </c>
      <c r="AD31" s="49"/>
      <c r="AE31" s="15"/>
      <c r="AF31" s="33"/>
      <c r="AG31" s="117"/>
      <c r="AH31" s="123"/>
      <c r="AI31" s="124"/>
      <c r="AJ31" s="12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57"/>
      <c r="AX31" s="50"/>
      <c r="AY31" s="50"/>
      <c r="AZ31" s="50"/>
      <c r="BA31" s="50"/>
      <c r="BB31" s="44"/>
      <c r="BC31" s="47"/>
      <c r="BD31" s="51"/>
      <c r="BE31" s="51"/>
      <c r="BF31" s="51"/>
      <c r="BG31" s="54"/>
      <c r="BH31" s="44"/>
      <c r="BI31" s="48"/>
      <c r="BJ31" s="48"/>
    </row>
    <row r="32" spans="1:62" ht="12.75" x14ac:dyDescent="0.2">
      <c r="A32" s="40">
        <f t="shared" si="19"/>
        <v>4323.041666666667</v>
      </c>
      <c r="B32" s="71" t="s">
        <v>15</v>
      </c>
      <c r="C32" s="70"/>
      <c r="D32" s="70"/>
      <c r="E32" s="43">
        <v>3538.4</v>
      </c>
      <c r="F32" s="43">
        <v>3721.3</v>
      </c>
      <c r="G32" s="43">
        <v>4271.3999999999987</v>
      </c>
      <c r="H32" s="43">
        <v>5309.8</v>
      </c>
      <c r="I32" s="43">
        <v>4770.4999999999991</v>
      </c>
      <c r="J32" s="43">
        <v>4919.0999999999985</v>
      </c>
      <c r="K32" s="43">
        <v>4791.9000000000005</v>
      </c>
      <c r="L32" s="43">
        <v>4578.2</v>
      </c>
      <c r="M32" s="43">
        <v>4107</v>
      </c>
      <c r="N32" s="43">
        <v>4224.8999999999987</v>
      </c>
      <c r="O32" s="43">
        <v>4100.699999999998</v>
      </c>
      <c r="P32" s="43">
        <v>3543.2999999999993</v>
      </c>
      <c r="Q32" s="57"/>
      <c r="R32" s="144">
        <f t="shared" si="20"/>
        <v>564.74383003322919</v>
      </c>
      <c r="S32" s="144">
        <f t="shared" si="21"/>
        <v>484.88751554074139</v>
      </c>
      <c r="T32" s="45">
        <v>562.94247478996726</v>
      </c>
      <c r="U32" s="45">
        <v>281.20456721396266</v>
      </c>
      <c r="V32" s="44"/>
      <c r="W32" s="146">
        <f t="shared" si="22"/>
        <v>0.13063575916645784</v>
      </c>
      <c r="X32" s="146">
        <f t="shared" si="23"/>
        <v>0.11216350730077966</v>
      </c>
      <c r="Y32" s="146">
        <f t="shared" si="24"/>
        <v>0.13021907217101397</v>
      </c>
      <c r="Z32" s="146">
        <f t="shared" si="25"/>
        <v>6.5047850309245064E-2</v>
      </c>
      <c r="AA32" s="54"/>
      <c r="AB32" s="232">
        <f t="shared" si="26"/>
        <v>179.00847551288655</v>
      </c>
      <c r="AC32" s="48">
        <v>184.18718480982903</v>
      </c>
      <c r="AD32" s="49"/>
      <c r="AE32" s="15"/>
      <c r="AF32" s="33"/>
      <c r="AG32" s="117"/>
      <c r="AH32" s="125"/>
      <c r="AI32" s="124"/>
      <c r="AJ32" s="124"/>
      <c r="AK32" s="45"/>
      <c r="AL32" s="45"/>
      <c r="AM32" s="45"/>
      <c r="AN32" s="45"/>
      <c r="AO32" s="45"/>
      <c r="AP32" s="45"/>
      <c r="AQ32" s="45"/>
      <c r="AR32" s="44"/>
      <c r="AS32" s="44"/>
      <c r="AT32" s="44"/>
      <c r="AU32" s="44"/>
      <c r="AV32" s="44"/>
      <c r="AW32" s="57"/>
      <c r="AX32" s="50"/>
      <c r="AY32" s="50"/>
      <c r="AZ32" s="50"/>
      <c r="BA32" s="50"/>
      <c r="BB32" s="44"/>
      <c r="BC32" s="47"/>
      <c r="BD32" s="51"/>
      <c r="BE32" s="51"/>
      <c r="BF32" s="51"/>
      <c r="BG32" s="54"/>
      <c r="BH32" s="44"/>
      <c r="BI32" s="48"/>
      <c r="BJ32" s="48"/>
    </row>
    <row r="33" spans="1:62" ht="12.75" x14ac:dyDescent="0.2">
      <c r="A33" s="40">
        <f t="shared" si="19"/>
        <v>26063.624999999989</v>
      </c>
      <c r="B33" s="71" t="s">
        <v>38</v>
      </c>
      <c r="C33" s="70"/>
      <c r="D33" s="70"/>
      <c r="E33" s="43">
        <v>24585.300000000003</v>
      </c>
      <c r="F33" s="43">
        <v>24139.1</v>
      </c>
      <c r="G33" s="43">
        <v>24634.499999999993</v>
      </c>
      <c r="H33" s="43">
        <v>25647.199999999986</v>
      </c>
      <c r="I33" s="43">
        <v>26747.699999999946</v>
      </c>
      <c r="J33" s="43">
        <v>25945.299999999996</v>
      </c>
      <c r="K33" s="43">
        <v>27412.199999999986</v>
      </c>
      <c r="L33" s="43">
        <v>26649.800000000014</v>
      </c>
      <c r="M33" s="43">
        <v>26701.300000000025</v>
      </c>
      <c r="N33" s="43">
        <v>26275.599999999999</v>
      </c>
      <c r="O33" s="43">
        <v>26588.700000000037</v>
      </c>
      <c r="P33" s="43">
        <v>27436.799999999959</v>
      </c>
      <c r="Q33" s="57"/>
      <c r="R33" s="144">
        <f t="shared" si="20"/>
        <v>1102.1524619208415</v>
      </c>
      <c r="S33" s="144">
        <f t="shared" si="21"/>
        <v>794.9882805310948</v>
      </c>
      <c r="T33" s="45">
        <v>637.00457829981599</v>
      </c>
      <c r="U33" s="45">
        <v>521.84662596146836</v>
      </c>
      <c r="V33" s="44"/>
      <c r="W33" s="146">
        <f t="shared" si="22"/>
        <v>4.2286998140927901E-2</v>
      </c>
      <c r="X33" s="146">
        <f t="shared" si="23"/>
        <v>3.0501830828639345E-2</v>
      </c>
      <c r="Y33" s="146">
        <f t="shared" si="24"/>
        <v>2.4440367688677852E-2</v>
      </c>
      <c r="Z33" s="146">
        <f t="shared" si="25"/>
        <v>2.0022027863026291E-2</v>
      </c>
      <c r="AA33" s="54"/>
      <c r="AB33" s="232">
        <f t="shared" si="26"/>
        <v>1195.9742641339974</v>
      </c>
      <c r="AC33" s="48">
        <v>1203.9753013941602</v>
      </c>
      <c r="AD33" s="49"/>
      <c r="AE33" s="15"/>
      <c r="AF33" s="33"/>
      <c r="AG33" s="117"/>
      <c r="AH33" s="125"/>
      <c r="AI33" s="124"/>
      <c r="AJ33" s="124"/>
      <c r="AK33" s="45"/>
      <c r="AL33" s="45"/>
      <c r="AM33" s="45"/>
      <c r="AN33" s="45"/>
      <c r="AO33" s="45"/>
      <c r="AP33" s="45"/>
      <c r="AQ33" s="45"/>
      <c r="AR33" s="44"/>
      <c r="AS33" s="44"/>
      <c r="AT33" s="44"/>
      <c r="AU33" s="44"/>
      <c r="AV33" s="44"/>
      <c r="AW33" s="57"/>
      <c r="AX33" s="50"/>
      <c r="AY33" s="50"/>
      <c r="AZ33" s="50"/>
      <c r="BA33" s="50"/>
      <c r="BB33" s="44"/>
      <c r="BC33" s="47"/>
      <c r="BD33" s="51"/>
      <c r="BE33" s="51"/>
      <c r="BF33" s="51"/>
      <c r="BG33" s="54"/>
      <c r="BH33" s="44"/>
      <c r="BI33" s="48"/>
      <c r="BJ33" s="48"/>
    </row>
    <row r="34" spans="1:62" ht="12.75" x14ac:dyDescent="0.2">
      <c r="A34" s="40">
        <f t="shared" si="19"/>
        <v>3160.7916666666674</v>
      </c>
      <c r="B34" s="71" t="s">
        <v>39</v>
      </c>
      <c r="C34" s="70"/>
      <c r="D34" s="70"/>
      <c r="E34" s="43">
        <v>2336.6000000000004</v>
      </c>
      <c r="F34" s="43">
        <v>2335.1999999999975</v>
      </c>
      <c r="G34" s="43">
        <v>2439.3000000000006</v>
      </c>
      <c r="H34" s="43">
        <v>2742.0000000000005</v>
      </c>
      <c r="I34" s="43">
        <v>2691.8000000000011</v>
      </c>
      <c r="J34" s="43">
        <v>2599.2999999999997</v>
      </c>
      <c r="K34" s="43">
        <v>4437.8999999999987</v>
      </c>
      <c r="L34" s="43">
        <v>4376.2</v>
      </c>
      <c r="M34" s="43">
        <v>4129.9999999999991</v>
      </c>
      <c r="N34" s="43">
        <v>4145.1999999999989</v>
      </c>
      <c r="O34" s="43">
        <v>4026.8000000000025</v>
      </c>
      <c r="P34" s="43">
        <v>1669.2000000000032</v>
      </c>
      <c r="Q34" s="57"/>
      <c r="R34" s="144">
        <f t="shared" si="20"/>
        <v>980.88642976955214</v>
      </c>
      <c r="S34" s="144">
        <f t="shared" si="21"/>
        <v>953.4384102719049</v>
      </c>
      <c r="T34" s="45">
        <v>884.37021783425701</v>
      </c>
      <c r="U34" s="45">
        <v>750.35424417903766</v>
      </c>
      <c r="V34" s="44"/>
      <c r="W34" s="146">
        <f t="shared" si="22"/>
        <v>0.310329352014517</v>
      </c>
      <c r="X34" s="146">
        <f t="shared" si="23"/>
        <v>0.30164544545176858</v>
      </c>
      <c r="Y34" s="146">
        <f t="shared" si="24"/>
        <v>0.27979389694066836</v>
      </c>
      <c r="Z34" s="146">
        <f t="shared" si="25"/>
        <v>0.23739440093195138</v>
      </c>
      <c r="AA34" s="54"/>
      <c r="AB34" s="232">
        <f t="shared" si="26"/>
        <v>85.310008264976702</v>
      </c>
      <c r="AC34" s="48">
        <v>85.138073185140868</v>
      </c>
      <c r="AD34" s="49"/>
      <c r="AE34" s="15"/>
      <c r="AF34" s="33"/>
      <c r="AG34" s="117"/>
      <c r="AH34" s="125"/>
      <c r="AI34" s="124"/>
      <c r="AJ34" s="124"/>
      <c r="AK34" s="45"/>
      <c r="AL34" s="45"/>
      <c r="AM34" s="45"/>
      <c r="AN34" s="45"/>
      <c r="AO34" s="45"/>
      <c r="AP34" s="45"/>
      <c r="AQ34" s="45"/>
      <c r="AR34" s="44"/>
      <c r="AS34" s="44"/>
      <c r="AT34" s="44"/>
      <c r="AU34" s="44"/>
      <c r="AV34" s="44"/>
      <c r="AW34" s="57"/>
      <c r="AX34" s="50"/>
      <c r="AY34" s="50"/>
      <c r="AZ34" s="50"/>
      <c r="BA34" s="50"/>
      <c r="BB34" s="44"/>
      <c r="BC34" s="47"/>
      <c r="BD34" s="51"/>
      <c r="BE34" s="51"/>
      <c r="BF34" s="51"/>
      <c r="BG34" s="54"/>
      <c r="BH34" s="44"/>
      <c r="BI34" s="48"/>
      <c r="BJ34" s="48"/>
    </row>
    <row r="35" spans="1:62" ht="12.75" x14ac:dyDescent="0.2">
      <c r="A35" s="40">
        <f t="shared" si="19"/>
        <v>10035.833333333334</v>
      </c>
      <c r="B35" s="71" t="s">
        <v>17</v>
      </c>
      <c r="C35" s="70"/>
      <c r="D35" s="70"/>
      <c r="E35" s="43">
        <v>8334.8000000000065</v>
      </c>
      <c r="F35" s="43">
        <v>8339.0000000000036</v>
      </c>
      <c r="G35" s="43">
        <v>8418.7000000000007</v>
      </c>
      <c r="H35" s="43">
        <v>9149</v>
      </c>
      <c r="I35" s="43">
        <v>9447.1999999999898</v>
      </c>
      <c r="J35" s="43">
        <v>10232.099999999991</v>
      </c>
      <c r="K35" s="43">
        <v>10863.399999999998</v>
      </c>
      <c r="L35" s="43">
        <v>11096.900000000003</v>
      </c>
      <c r="M35" s="43">
        <v>11294.300000000005</v>
      </c>
      <c r="N35" s="43">
        <v>11157.599999999997</v>
      </c>
      <c r="O35" s="43">
        <v>11167.3</v>
      </c>
      <c r="P35" s="43">
        <v>10929.700000000006</v>
      </c>
      <c r="Q35" s="57"/>
      <c r="R35" s="144">
        <f t="shared" si="20"/>
        <v>1216.9785030844457</v>
      </c>
      <c r="S35" s="144">
        <f t="shared" si="21"/>
        <v>346.38498812737328</v>
      </c>
      <c r="T35" s="45">
        <v>456.70919944371815</v>
      </c>
      <c r="U35" s="45">
        <v>324.26178069045653</v>
      </c>
      <c r="V35" s="44"/>
      <c r="W35" s="146">
        <f t="shared" si="22"/>
        <v>0.12126332339959602</v>
      </c>
      <c r="X35" s="146">
        <f t="shared" si="23"/>
        <v>3.4514820705210322E-2</v>
      </c>
      <c r="Y35" s="146">
        <f t="shared" si="24"/>
        <v>4.5507850148008115E-2</v>
      </c>
      <c r="Z35" s="146">
        <f t="shared" si="25"/>
        <v>3.2310399138798289E-2</v>
      </c>
      <c r="AA35" s="54"/>
      <c r="AB35" s="232">
        <f t="shared" si="26"/>
        <v>527.55185575539633</v>
      </c>
      <c r="AC35" s="48">
        <v>538.03686831604205</v>
      </c>
      <c r="AD35" s="49"/>
      <c r="AE35" s="15"/>
      <c r="AF35" s="33"/>
      <c r="AG35" s="117"/>
      <c r="AH35" s="125"/>
      <c r="AI35" s="124"/>
      <c r="AJ35" s="124"/>
      <c r="AK35" s="45"/>
      <c r="AL35" s="45"/>
      <c r="AM35" s="45"/>
      <c r="AN35" s="45"/>
      <c r="AO35" s="45"/>
      <c r="AP35" s="45"/>
      <c r="AQ35" s="45"/>
      <c r="AR35" s="44"/>
      <c r="AS35" s="44"/>
      <c r="AT35" s="44"/>
      <c r="AU35" s="44"/>
      <c r="AV35" s="44"/>
      <c r="AW35" s="57"/>
      <c r="AX35" s="50"/>
      <c r="AY35" s="50"/>
      <c r="AZ35" s="50"/>
      <c r="BA35" s="50"/>
      <c r="BB35" s="44"/>
      <c r="BC35" s="47"/>
      <c r="BD35" s="51"/>
      <c r="BE35" s="51"/>
      <c r="BF35" s="72"/>
      <c r="BG35" s="54"/>
      <c r="BH35" s="44"/>
      <c r="BI35" s="48"/>
      <c r="BJ35" s="48"/>
    </row>
    <row r="36" spans="1:62" ht="12.75" x14ac:dyDescent="0.2">
      <c r="A36" s="40">
        <f t="shared" si="19"/>
        <v>3055.7166666666653</v>
      </c>
      <c r="B36" s="71" t="s">
        <v>18</v>
      </c>
      <c r="C36" s="70"/>
      <c r="D36" s="70"/>
      <c r="E36" s="62" t="s">
        <v>34</v>
      </c>
      <c r="F36" s="62" t="s">
        <v>34</v>
      </c>
      <c r="G36" s="62" t="s">
        <v>34</v>
      </c>
      <c r="H36" s="62" t="s">
        <v>34</v>
      </c>
      <c r="I36" s="62" t="s">
        <v>34</v>
      </c>
      <c r="J36" s="62" t="s">
        <v>34</v>
      </c>
      <c r="K36" s="43">
        <v>3055.7999999999984</v>
      </c>
      <c r="L36" s="43">
        <v>3233.5999999999995</v>
      </c>
      <c r="M36" s="43">
        <v>2840.1999999999989</v>
      </c>
      <c r="N36" s="43">
        <v>2957.9000000000005</v>
      </c>
      <c r="O36" s="43">
        <v>3080.0999999999972</v>
      </c>
      <c r="P36" s="43">
        <v>3166.6999999999994</v>
      </c>
      <c r="Q36" s="57"/>
      <c r="R36" s="144">
        <f t="shared" si="20"/>
        <v>141.82374154797444</v>
      </c>
      <c r="S36" s="144">
        <f>_xlfn.STDEV.S(L36 - K36, M36 - L36, N36 - M36, O36 - N36, P36 - O36)</f>
        <v>234.6286043942643</v>
      </c>
      <c r="T36" s="45">
        <v>141.37158628778224</v>
      </c>
      <c r="U36" s="45">
        <v>125.22840733657853</v>
      </c>
      <c r="V36" s="44"/>
      <c r="W36" s="146">
        <f t="shared" si="22"/>
        <v>4.6412595478848226E-2</v>
      </c>
      <c r="X36" s="146">
        <f t="shared" si="23"/>
        <v>7.6783494672040181E-2</v>
      </c>
      <c r="Y36" s="146">
        <f t="shared" si="24"/>
        <v>4.6264625195763881E-2</v>
      </c>
      <c r="Z36" s="146">
        <f t="shared" si="25"/>
        <v>4.0981681548762236E-2</v>
      </c>
      <c r="AA36" s="54"/>
      <c r="AB36" s="232">
        <f t="shared" si="26"/>
        <v>160.35501732926281</v>
      </c>
      <c r="AC36" s="48">
        <v>160.25118697831925</v>
      </c>
      <c r="AD36" s="49"/>
      <c r="AE36" s="15"/>
      <c r="AF36" s="33"/>
      <c r="AG36" s="117"/>
      <c r="AH36" s="125"/>
      <c r="AI36" s="124"/>
      <c r="AJ36" s="124"/>
      <c r="AK36" s="45"/>
      <c r="AL36" s="45"/>
      <c r="AM36" s="45"/>
      <c r="AN36" s="45"/>
      <c r="AO36" s="45"/>
      <c r="AP36" s="45"/>
      <c r="AQ36" s="45"/>
      <c r="AR36" s="44"/>
      <c r="AS36" s="44"/>
      <c r="AT36" s="44"/>
      <c r="AU36" s="44"/>
      <c r="AV36" s="44"/>
      <c r="AW36" s="57"/>
      <c r="AX36" s="50"/>
      <c r="AY36" s="50"/>
      <c r="AZ36" s="50"/>
      <c r="BA36" s="50"/>
      <c r="BB36" s="44"/>
      <c r="BC36" s="47"/>
      <c r="BD36" s="51"/>
      <c r="BE36" s="51"/>
      <c r="BF36" s="51"/>
      <c r="BG36" s="54"/>
      <c r="BH36" s="44"/>
      <c r="BI36" s="48"/>
      <c r="BJ36" s="48"/>
    </row>
    <row r="37" spans="1:62" ht="15" x14ac:dyDescent="0.25">
      <c r="A37" s="35"/>
      <c r="B37" s="63" t="s">
        <v>35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57"/>
      <c r="R37" s="145">
        <f>AVERAGE(R28:R36)</f>
        <v>609.06449125831125</v>
      </c>
      <c r="S37" s="145">
        <f>AVERAGE(S28:S36)</f>
        <v>469.34534746060427</v>
      </c>
      <c r="T37" s="145">
        <f t="shared" ref="T37:U37" si="27">AVERAGE(T28:T36)</f>
        <v>417.15266923029787</v>
      </c>
      <c r="U37" s="145">
        <f t="shared" si="27"/>
        <v>319.27720208602926</v>
      </c>
      <c r="V37" s="64"/>
      <c r="W37" s="148">
        <f>AVERAGE(W28:W36)</f>
        <v>0.11955900428078323</v>
      </c>
      <c r="X37" s="148">
        <f t="shared" ref="X37:Z37" si="28">AVERAGE(X28:X36)</f>
        <v>0.11219403630872583</v>
      </c>
      <c r="Y37" s="148">
        <f t="shared" si="28"/>
        <v>9.5008228332237113E-2</v>
      </c>
      <c r="Z37" s="148">
        <f t="shared" si="28"/>
        <v>7.4568449641360307E-2</v>
      </c>
      <c r="AA37" s="54"/>
      <c r="AB37" s="161">
        <f>AVERAGE(AB28:AB36)</f>
        <v>319.24679839158415</v>
      </c>
      <c r="AC37" s="66">
        <v>320.86326560023656</v>
      </c>
      <c r="AD37" s="64"/>
      <c r="AE37" s="64"/>
      <c r="AF37" s="64"/>
      <c r="AG37" s="117"/>
      <c r="AH37" s="121"/>
      <c r="AI37" s="122"/>
      <c r="AJ37" s="122"/>
      <c r="AK37" s="122"/>
      <c r="AL37" s="122"/>
      <c r="AM37" s="122"/>
      <c r="AN37" s="122"/>
      <c r="AO37" s="122"/>
      <c r="AP37" s="122"/>
      <c r="AQ37" s="122"/>
      <c r="AR37" s="122"/>
      <c r="AS37" s="122"/>
      <c r="AT37" s="122"/>
      <c r="AU37" s="122"/>
      <c r="AV37" s="122"/>
      <c r="AW37" s="57"/>
      <c r="AX37" s="67"/>
      <c r="AY37" s="67"/>
      <c r="AZ37" s="67"/>
      <c r="BA37" s="67"/>
      <c r="BB37" s="64"/>
      <c r="BC37" s="65"/>
      <c r="BD37" s="65"/>
      <c r="BE37" s="65"/>
      <c r="BF37" s="65"/>
      <c r="BG37" s="54"/>
      <c r="BH37" s="64"/>
      <c r="BI37" s="66"/>
      <c r="BJ37" s="66"/>
    </row>
    <row r="38" spans="1:62" ht="6" customHeight="1" thickBot="1" x14ac:dyDescent="0.3">
      <c r="A38" s="41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4"/>
      <c r="R38" s="7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5"/>
      <c r="AE38" s="15"/>
      <c r="AF38" s="33"/>
      <c r="AG38" s="33"/>
      <c r="AH38" s="33"/>
      <c r="AI38" s="33"/>
      <c r="AJ38" s="33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</row>
    <row r="39" spans="1:62" ht="6" customHeight="1" thickTop="1" x14ac:dyDescent="0.25"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8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54"/>
      <c r="AG39" s="54"/>
      <c r="AH39" s="54"/>
      <c r="AI39" s="54"/>
      <c r="AJ39" s="54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</row>
    <row r="40" spans="1:62" ht="12.75" x14ac:dyDescent="0.25">
      <c r="B40" s="17" t="s">
        <v>71</v>
      </c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8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54"/>
      <c r="AG40" s="54"/>
      <c r="AH40" s="54"/>
      <c r="AI40" s="54"/>
      <c r="AJ40" s="54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</row>
    <row r="41" spans="1:62" x14ac:dyDescent="0.3">
      <c r="B41" s="74" t="s">
        <v>40</v>
      </c>
      <c r="C41" s="75" t="s">
        <v>85</v>
      </c>
      <c r="D41" s="75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8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54"/>
      <c r="AG41" s="54"/>
      <c r="AH41" s="54"/>
      <c r="AI41" s="54"/>
      <c r="AJ41" s="54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</row>
    <row r="42" spans="1:62" x14ac:dyDescent="0.3">
      <c r="B42" s="74" t="s">
        <v>41</v>
      </c>
      <c r="C42" s="162" t="s">
        <v>72</v>
      </c>
      <c r="D42" s="75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8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54"/>
      <c r="AG42" s="54"/>
      <c r="AH42" s="54"/>
      <c r="AI42" s="54"/>
      <c r="AJ42" s="54"/>
      <c r="AK42" s="76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</row>
    <row r="43" spans="1:62" x14ac:dyDescent="0.3">
      <c r="B43" s="74" t="s">
        <v>42</v>
      </c>
      <c r="C43" s="162" t="s">
        <v>86</v>
      </c>
      <c r="D43" s="75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8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54"/>
      <c r="AG43" s="54"/>
      <c r="AH43" s="54"/>
      <c r="AI43" s="54"/>
      <c r="AJ43" s="54"/>
      <c r="AK43" s="76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</row>
    <row r="44" spans="1:62" ht="6" customHeight="1" x14ac:dyDescent="0.3">
      <c r="B44" s="7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8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54"/>
      <c r="AG44" s="54"/>
      <c r="AH44" s="54"/>
      <c r="AI44" s="54"/>
      <c r="AJ44" s="54"/>
      <c r="AK44" s="76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</row>
    <row r="45" spans="1:62" x14ac:dyDescent="0.3">
      <c r="B45" s="77">
        <v>1</v>
      </c>
      <c r="C45" s="17" t="s">
        <v>43</v>
      </c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8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54"/>
      <c r="AG45" s="54"/>
      <c r="AH45" s="54"/>
      <c r="AI45" s="54"/>
      <c r="AJ45" s="54"/>
      <c r="AK45" s="76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</row>
    <row r="46" spans="1:62" x14ac:dyDescent="0.3">
      <c r="B46" s="77">
        <v>2</v>
      </c>
      <c r="C46" s="17" t="s">
        <v>44</v>
      </c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8"/>
      <c r="R46" s="17"/>
      <c r="S46" s="17"/>
      <c r="T46" s="78"/>
      <c r="U46" s="78"/>
      <c r="V46" s="78"/>
      <c r="W46" s="17"/>
      <c r="X46" s="17"/>
      <c r="Y46" s="17"/>
      <c r="Z46" s="17"/>
      <c r="AA46" s="17"/>
      <c r="AB46" s="17"/>
      <c r="AC46" s="17"/>
      <c r="AD46" s="17"/>
      <c r="AE46" s="17"/>
      <c r="AF46" s="54"/>
      <c r="AG46" s="54"/>
      <c r="AH46" s="54"/>
      <c r="AI46" s="54"/>
      <c r="AJ46" s="54"/>
      <c r="AK46" s="76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</row>
    <row r="47" spans="1:62" x14ac:dyDescent="0.3">
      <c r="B47" s="77">
        <v>3</v>
      </c>
      <c r="C47" s="17" t="s">
        <v>45</v>
      </c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8"/>
      <c r="R47" s="17"/>
      <c r="S47" s="17"/>
      <c r="T47" s="16"/>
      <c r="U47" s="16"/>
      <c r="V47" s="16"/>
      <c r="W47" s="16"/>
      <c r="X47" s="16"/>
      <c r="Y47" s="16"/>
      <c r="Z47" s="16"/>
      <c r="AA47" s="16"/>
      <c r="AB47" s="16"/>
      <c r="AC47" s="17"/>
      <c r="AD47" s="17"/>
      <c r="AE47" s="17"/>
      <c r="AF47" s="54"/>
      <c r="AG47" s="54"/>
      <c r="AH47" s="54"/>
      <c r="AI47" s="54"/>
      <c r="AJ47" s="54"/>
      <c r="AK47" s="126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</row>
    <row r="48" spans="1:62" x14ac:dyDescent="0.3">
      <c r="B48" s="77">
        <v>4</v>
      </c>
      <c r="C48" s="17" t="s">
        <v>84</v>
      </c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8"/>
      <c r="R48" s="17"/>
      <c r="S48" s="17"/>
      <c r="T48" s="16"/>
      <c r="U48" s="16"/>
      <c r="V48" s="16"/>
      <c r="W48" s="16"/>
      <c r="X48" s="16"/>
      <c r="Y48" s="16"/>
      <c r="Z48" s="16"/>
      <c r="AA48" s="16"/>
      <c r="AB48" s="16"/>
      <c r="AC48" s="17"/>
      <c r="AD48" s="17"/>
      <c r="AE48" s="17"/>
      <c r="AF48" s="54"/>
      <c r="AG48" s="54"/>
      <c r="AH48" s="54"/>
      <c r="AI48" s="54"/>
      <c r="AJ48" s="54"/>
      <c r="AK48" s="126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</row>
    <row r="49" spans="1:62" x14ac:dyDescent="0.3">
      <c r="B49" s="77">
        <v>5</v>
      </c>
      <c r="C49" s="17" t="s">
        <v>46</v>
      </c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8"/>
      <c r="R49" s="17"/>
      <c r="S49" s="17"/>
      <c r="T49" s="16"/>
      <c r="U49" s="16"/>
      <c r="V49" s="16"/>
      <c r="W49" s="79"/>
      <c r="X49" s="80"/>
      <c r="Y49" s="16"/>
      <c r="Z49" s="16"/>
      <c r="AA49" s="17"/>
      <c r="AB49" s="17"/>
      <c r="AC49" s="16"/>
      <c r="AD49" s="17"/>
      <c r="AE49" s="17"/>
      <c r="AF49" s="54"/>
      <c r="AG49" s="54"/>
      <c r="AH49" s="54"/>
      <c r="AI49" s="54"/>
      <c r="AJ49" s="54"/>
      <c r="AK49" s="126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</row>
    <row r="50" spans="1:62" x14ac:dyDescent="0.3">
      <c r="B50" s="77">
        <v>6</v>
      </c>
      <c r="C50" s="17" t="s">
        <v>47</v>
      </c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8"/>
      <c r="R50" s="17"/>
      <c r="S50" s="17"/>
      <c r="T50" s="16"/>
      <c r="U50" s="16"/>
      <c r="V50" s="16"/>
      <c r="W50" s="79"/>
      <c r="X50" s="80"/>
      <c r="Y50" s="16"/>
      <c r="Z50" s="16"/>
      <c r="AA50" s="17"/>
      <c r="AB50" s="17"/>
      <c r="AC50" s="81"/>
      <c r="AD50" s="17"/>
      <c r="AE50" s="17"/>
      <c r="AF50" s="54"/>
      <c r="AG50" s="54"/>
      <c r="AH50" s="54"/>
      <c r="AI50" s="54"/>
      <c r="AJ50" s="54"/>
      <c r="AK50" s="126"/>
      <c r="AL50" s="12"/>
    </row>
    <row r="51" spans="1:62" x14ac:dyDescent="0.3">
      <c r="B51" s="77">
        <v>7</v>
      </c>
      <c r="C51" s="17" t="s">
        <v>48</v>
      </c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8"/>
      <c r="R51" s="17"/>
      <c r="S51" s="17"/>
      <c r="T51" s="16"/>
      <c r="U51" s="16"/>
      <c r="V51" s="16"/>
      <c r="W51" s="79"/>
      <c r="X51" s="80"/>
      <c r="Y51" s="16"/>
      <c r="Z51" s="16"/>
      <c r="AA51" s="17"/>
      <c r="AB51" s="17"/>
      <c r="AC51" s="82"/>
      <c r="AD51" s="17"/>
      <c r="AE51" s="17"/>
      <c r="AF51" s="54"/>
      <c r="AG51" s="54"/>
      <c r="AH51" s="54"/>
      <c r="AI51" s="54"/>
      <c r="AJ51" s="54"/>
      <c r="AK51" s="126"/>
      <c r="AL51" s="12"/>
    </row>
    <row r="52" spans="1:62" x14ac:dyDescent="0.3">
      <c r="B52" s="77">
        <v>8</v>
      </c>
      <c r="C52" s="17" t="s">
        <v>73</v>
      </c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8"/>
      <c r="R52" s="17"/>
      <c r="S52" s="17"/>
      <c r="T52" s="16"/>
      <c r="U52" s="16"/>
      <c r="V52" s="16"/>
      <c r="W52" s="79"/>
      <c r="X52" s="80"/>
      <c r="Y52" s="16"/>
      <c r="Z52" s="16"/>
      <c r="AA52" s="17"/>
      <c r="AB52" s="17"/>
      <c r="AC52" s="82"/>
      <c r="AD52" s="17"/>
      <c r="AE52" s="17"/>
      <c r="AF52" s="54"/>
      <c r="AG52" s="54"/>
      <c r="AH52" s="54"/>
      <c r="AI52" s="54"/>
      <c r="AJ52" s="54"/>
      <c r="AK52" s="126"/>
      <c r="AL52" s="12"/>
    </row>
    <row r="53" spans="1:62" x14ac:dyDescent="0.3">
      <c r="B53" s="77">
        <v>9</v>
      </c>
      <c r="C53" s="17" t="s">
        <v>74</v>
      </c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8"/>
      <c r="R53" s="17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7"/>
      <c r="AE53" s="17"/>
      <c r="AF53" s="54"/>
      <c r="AG53" s="54"/>
      <c r="AH53" s="54"/>
      <c r="AI53" s="54"/>
      <c r="AJ53" s="54"/>
    </row>
    <row r="54" spans="1:62" x14ac:dyDescent="0.3">
      <c r="B54" s="77">
        <v>9</v>
      </c>
      <c r="C54" s="17" t="s">
        <v>75</v>
      </c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8"/>
      <c r="R54" s="17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81"/>
      <c r="AD54" s="17"/>
      <c r="AE54" s="17"/>
      <c r="AF54" s="54"/>
      <c r="AG54" s="54"/>
      <c r="AH54" s="54"/>
      <c r="AI54" s="54"/>
      <c r="AJ54" s="54"/>
    </row>
    <row r="55" spans="1:62" x14ac:dyDescent="0.3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83"/>
      <c r="R55" s="16"/>
      <c r="S55" s="16"/>
      <c r="T55" s="61"/>
      <c r="U55" s="61"/>
      <c r="V55" s="61"/>
      <c r="W55" s="16"/>
      <c r="X55" s="16"/>
      <c r="Y55" s="16"/>
      <c r="Z55" s="16"/>
      <c r="AA55" s="16"/>
      <c r="AB55" s="16"/>
      <c r="AC55" s="84"/>
      <c r="AD55" s="16"/>
      <c r="AE55" s="16"/>
    </row>
    <row r="56" spans="1:62" s="141" customFormat="1" ht="21" x14ac:dyDescent="0.3">
      <c r="A56" s="1"/>
      <c r="B56" s="143" t="s">
        <v>64</v>
      </c>
      <c r="Q56" s="142"/>
      <c r="T56" s="149"/>
      <c r="U56" s="149"/>
      <c r="V56" s="149"/>
      <c r="AC56" s="150"/>
    </row>
    <row r="57" spans="1:62" ht="21" x14ac:dyDescent="0.3">
      <c r="B57" s="153"/>
      <c r="T57" s="120"/>
      <c r="U57" s="120"/>
      <c r="V57" s="120"/>
      <c r="AC57" s="128"/>
    </row>
    <row r="58" spans="1:62" x14ac:dyDescent="0.3">
      <c r="B58" s="225" t="s">
        <v>65</v>
      </c>
      <c r="C58" s="12"/>
      <c r="E58" s="154" t="s">
        <v>66</v>
      </c>
      <c r="F58" s="155"/>
      <c r="H58" s="154" t="s">
        <v>0</v>
      </c>
      <c r="I58" s="154"/>
      <c r="J58" s="154"/>
      <c r="K58" s="154"/>
      <c r="L58" s="154"/>
      <c r="M58" s="154"/>
      <c r="N58" s="154"/>
      <c r="O58" s="154"/>
      <c r="P58" s="154"/>
      <c r="Q58" s="4"/>
      <c r="R58" s="154" t="s">
        <v>112</v>
      </c>
      <c r="S58" s="155"/>
    </row>
    <row r="59" spans="1:62" ht="38.25" customHeight="1" x14ac:dyDescent="0.3">
      <c r="D59" s="151"/>
      <c r="E59" s="152" t="s">
        <v>67</v>
      </c>
      <c r="F59" s="152" t="s">
        <v>114</v>
      </c>
      <c r="G59" s="152"/>
      <c r="H59" s="2" t="s">
        <v>21</v>
      </c>
      <c r="I59" s="2" t="s">
        <v>22</v>
      </c>
      <c r="J59" s="2" t="s">
        <v>23</v>
      </c>
      <c r="K59" s="2" t="s">
        <v>24</v>
      </c>
      <c r="L59" s="2"/>
      <c r="M59" s="2" t="s">
        <v>21</v>
      </c>
      <c r="N59" s="2" t="s">
        <v>22</v>
      </c>
      <c r="O59" s="2" t="s">
        <v>116</v>
      </c>
      <c r="P59" s="2" t="s">
        <v>117</v>
      </c>
      <c r="Q59" s="4"/>
      <c r="R59" s="2" t="s">
        <v>113</v>
      </c>
      <c r="S59" s="227" t="s">
        <v>115</v>
      </c>
    </row>
    <row r="60" spans="1:62" x14ac:dyDescent="0.3">
      <c r="C60" s="12"/>
      <c r="E60" s="156" t="s">
        <v>1</v>
      </c>
      <c r="F60" s="156" t="s">
        <v>1</v>
      </c>
      <c r="G60" s="137"/>
      <c r="H60" s="156" t="s">
        <v>1</v>
      </c>
      <c r="I60" s="156" t="s">
        <v>1</v>
      </c>
      <c r="J60" s="156" t="s">
        <v>1</v>
      </c>
      <c r="K60" s="156" t="s">
        <v>1</v>
      </c>
      <c r="L60" s="156"/>
      <c r="M60" s="156" t="s">
        <v>2</v>
      </c>
      <c r="N60" s="156" t="s">
        <v>2</v>
      </c>
      <c r="O60" s="156" t="s">
        <v>2</v>
      </c>
      <c r="P60" s="156" t="s">
        <v>2</v>
      </c>
      <c r="Q60" s="4"/>
      <c r="R60" s="156" t="s">
        <v>1</v>
      </c>
      <c r="S60" s="156" t="s">
        <v>2</v>
      </c>
      <c r="AB60" s="128"/>
      <c r="AC60" s="128"/>
      <c r="AJ60" s="128"/>
    </row>
    <row r="61" spans="1:62" x14ac:dyDescent="0.3">
      <c r="C61" s="12"/>
      <c r="H61" s="115">
        <v>1</v>
      </c>
      <c r="I61" s="115">
        <v>2</v>
      </c>
      <c r="J61" s="115">
        <v>3</v>
      </c>
      <c r="K61" s="115">
        <v>4</v>
      </c>
      <c r="L61" s="115"/>
      <c r="M61" s="115">
        <v>5</v>
      </c>
      <c r="N61" s="115">
        <v>6</v>
      </c>
      <c r="O61" s="115">
        <v>7</v>
      </c>
      <c r="P61" s="115">
        <v>8</v>
      </c>
      <c r="Q61" s="4"/>
      <c r="R61" s="115"/>
      <c r="S61" s="115"/>
      <c r="AB61" s="127"/>
      <c r="AC61" s="127"/>
      <c r="AJ61" s="127"/>
    </row>
    <row r="62" spans="1:62" x14ac:dyDescent="0.3"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2"/>
      <c r="R62" s="109"/>
      <c r="S62" s="109"/>
    </row>
    <row r="63" spans="1:62" x14ac:dyDescent="0.3">
      <c r="C63" s="12"/>
      <c r="H63" s="137"/>
      <c r="I63" s="137"/>
      <c r="J63" s="137"/>
      <c r="K63" s="137"/>
      <c r="L63" s="137"/>
      <c r="M63" s="137"/>
      <c r="N63" s="137"/>
      <c r="O63" s="137"/>
      <c r="P63" s="137"/>
      <c r="Q63" s="12"/>
    </row>
    <row r="64" spans="1:62" x14ac:dyDescent="0.3">
      <c r="B64" s="53" t="s">
        <v>26</v>
      </c>
      <c r="C64" s="12"/>
      <c r="E64" s="138">
        <f t="shared" ref="E64:E78" si="29">INDEX($A$14:$A$36, MATCH( $B64, $B$14:$B$36, 0))</f>
        <v>163475.84166666665</v>
      </c>
      <c r="F64" s="138">
        <f t="shared" ref="F64:F78" si="30">INDEX($P$14:$P$36, MATCH( $B64, $B$14:$B$36, 0))</f>
        <v>183351.50000000015</v>
      </c>
      <c r="G64" s="138"/>
      <c r="H64" s="138">
        <f t="shared" ref="H64:K78" si="31">INDEX($R$14:$Z$36, MATCH($B64, $B$14:$B$36, 0), MATCH(H$61, $R$10:$Z$10, 0))</f>
        <v>21058.225925771389</v>
      </c>
      <c r="I64" s="138">
        <f t="shared" si="31"/>
        <v>7250.0887752934086</v>
      </c>
      <c r="J64" s="138">
        <f t="shared" si="31"/>
        <v>7158.9193070669407</v>
      </c>
      <c r="K64" s="138">
        <f t="shared" si="31"/>
        <v>5349.759801077339</v>
      </c>
      <c r="L64" s="138"/>
      <c r="M64" s="157">
        <f t="shared" ref="M64:P78" si="32">INDEX($R$14:$Z$36, MATCH($B64, $B$14:$B$36, 0), MATCH(M$61, $R$10:$Z$10, 0))</f>
        <v>0.12881552228805709</v>
      </c>
      <c r="N64" s="157">
        <f t="shared" si="32"/>
        <v>4.434960359510863E-2</v>
      </c>
      <c r="O64" s="157">
        <f t="shared" si="32"/>
        <v>4.3791909765262108E-2</v>
      </c>
      <c r="P64" s="157">
        <f t="shared" si="32"/>
        <v>3.2725078803910977E-2</v>
      </c>
      <c r="Q64" s="4"/>
      <c r="R64" s="138">
        <f t="shared" ref="R64:R78" si="33">INDEX($AB$14:$AB$37,MATCH($B64,$B$14:$B$37,0))</f>
        <v>3051.7062604711991</v>
      </c>
      <c r="S64" s="226">
        <f>R64/F64</f>
        <v>1.6644021240465427E-2</v>
      </c>
    </row>
    <row r="65" spans="2:19" x14ac:dyDescent="0.3">
      <c r="B65" s="53" t="s">
        <v>3</v>
      </c>
      <c r="C65" s="12"/>
      <c r="E65" s="138">
        <f t="shared" si="29"/>
        <v>69959.083333333343</v>
      </c>
      <c r="F65" s="138">
        <f t="shared" si="30"/>
        <v>72972.7</v>
      </c>
      <c r="G65" s="138"/>
      <c r="H65" s="138">
        <f t="shared" si="31"/>
        <v>4027.1467067737249</v>
      </c>
      <c r="I65" s="138">
        <f t="shared" si="31"/>
        <v>1834.5614303250609</v>
      </c>
      <c r="J65" s="138">
        <f t="shared" si="31"/>
        <v>1604.0211406619421</v>
      </c>
      <c r="K65" s="138">
        <f t="shared" si="31"/>
        <v>1073.7219054649865</v>
      </c>
      <c r="L65" s="138"/>
      <c r="M65" s="157">
        <f t="shared" si="32"/>
        <v>5.7564314952293173E-2</v>
      </c>
      <c r="N65" s="157">
        <f t="shared" si="32"/>
        <v>2.6223348604840123E-2</v>
      </c>
      <c r="O65" s="157">
        <f t="shared" si="32"/>
        <v>2.2927989679614277E-2</v>
      </c>
      <c r="P65" s="157">
        <f t="shared" si="32"/>
        <v>1.5347855550780084E-2</v>
      </c>
      <c r="Q65" s="4"/>
      <c r="R65" s="138">
        <f t="shared" si="33"/>
        <v>2401.215723263826</v>
      </c>
      <c r="S65" s="226">
        <f t="shared" ref="S65:S78" si="34">R65/F65</f>
        <v>3.2905671891869506E-2</v>
      </c>
    </row>
    <row r="66" spans="2:19" x14ac:dyDescent="0.3">
      <c r="B66" s="53" t="s">
        <v>6</v>
      </c>
      <c r="C66" s="12"/>
      <c r="E66" s="138">
        <f t="shared" si="29"/>
        <v>33190.466666666682</v>
      </c>
      <c r="F66" s="138">
        <f t="shared" si="30"/>
        <v>31044.999999999993</v>
      </c>
      <c r="G66" s="138"/>
      <c r="H66" s="138">
        <f t="shared" si="31"/>
        <v>1730.3164594076061</v>
      </c>
      <c r="I66" s="138">
        <f t="shared" si="31"/>
        <v>1632.1474237669431</v>
      </c>
      <c r="J66" s="138">
        <f t="shared" si="31"/>
        <v>1668.6697937539748</v>
      </c>
      <c r="K66" s="138">
        <f t="shared" si="31"/>
        <v>1023.8024542263892</v>
      </c>
      <c r="L66" s="138"/>
      <c r="M66" s="157">
        <f t="shared" si="32"/>
        <v>5.2132935543969611E-2</v>
      </c>
      <c r="N66" s="157">
        <f t="shared" si="32"/>
        <v>4.9175187566920089E-2</v>
      </c>
      <c r="O66" s="157">
        <f t="shared" si="32"/>
        <v>5.0275574926755294E-2</v>
      </c>
      <c r="P66" s="157">
        <f t="shared" si="32"/>
        <v>3.0846280786241492E-2</v>
      </c>
      <c r="Q66" s="4"/>
      <c r="R66" s="138">
        <f t="shared" si="33"/>
        <v>1323.4380438158164</v>
      </c>
      <c r="S66" s="226">
        <f t="shared" si="34"/>
        <v>4.262966802434584E-2</v>
      </c>
    </row>
    <row r="67" spans="2:19" x14ac:dyDescent="0.3">
      <c r="B67" s="53" t="s">
        <v>7</v>
      </c>
      <c r="C67" s="12"/>
      <c r="E67" s="138">
        <f t="shared" si="29"/>
        <v>12173.516666666668</v>
      </c>
      <c r="F67" s="138">
        <f t="shared" si="30"/>
        <v>12895.400000000009</v>
      </c>
      <c r="G67" s="138"/>
      <c r="H67" s="138">
        <f t="shared" si="31"/>
        <v>860.3935609341637</v>
      </c>
      <c r="I67" s="138">
        <f t="shared" si="31"/>
        <v>509.34070290559072</v>
      </c>
      <c r="J67" s="138">
        <f t="shared" si="31"/>
        <v>411.87726644591248</v>
      </c>
      <c r="K67" s="138">
        <f t="shared" si="31"/>
        <v>311.09804371286259</v>
      </c>
      <c r="L67" s="138"/>
      <c r="M67" s="157">
        <f t="shared" si="32"/>
        <v>7.0677486587756508E-2</v>
      </c>
      <c r="N67" s="157">
        <f t="shared" si="32"/>
        <v>4.1840062888340177E-2</v>
      </c>
      <c r="O67" s="157">
        <f t="shared" si="32"/>
        <v>3.3833877072983222E-2</v>
      </c>
      <c r="P67" s="157">
        <f t="shared" si="32"/>
        <v>2.555531423099016E-2</v>
      </c>
      <c r="Q67" s="4"/>
      <c r="R67" s="138">
        <f t="shared" si="33"/>
        <v>614.92215650494563</v>
      </c>
      <c r="S67" s="226">
        <f t="shared" si="34"/>
        <v>4.7685388317147602E-2</v>
      </c>
    </row>
    <row r="68" spans="2:19" x14ac:dyDescent="0.3">
      <c r="B68" s="53" t="s">
        <v>8</v>
      </c>
      <c r="C68" s="12"/>
      <c r="E68" s="138">
        <f t="shared" si="29"/>
        <v>12174.250000000002</v>
      </c>
      <c r="F68" s="138">
        <f t="shared" si="30"/>
        <v>11705.199999999997</v>
      </c>
      <c r="G68" s="138"/>
      <c r="H68" s="138">
        <f t="shared" si="31"/>
        <v>722.35552584187076</v>
      </c>
      <c r="I68" s="138">
        <f t="shared" si="31"/>
        <v>822.41370715369396</v>
      </c>
      <c r="J68" s="138">
        <f t="shared" si="31"/>
        <v>488.12973169639059</v>
      </c>
      <c r="K68" s="138">
        <f t="shared" si="31"/>
        <v>488.12254841032717</v>
      </c>
      <c r="L68" s="138"/>
      <c r="M68" s="157">
        <f t="shared" si="32"/>
        <v>5.9334704465726487E-2</v>
      </c>
      <c r="N68" s="157">
        <f t="shared" si="32"/>
        <v>6.7553541873519418E-2</v>
      </c>
      <c r="O68" s="157">
        <f t="shared" si="32"/>
        <v>4.0095261038371195E-2</v>
      </c>
      <c r="P68" s="157">
        <f t="shared" si="32"/>
        <v>4.0094670999061714E-2</v>
      </c>
      <c r="Q68" s="4"/>
      <c r="R68" s="138">
        <f t="shared" si="33"/>
        <v>562.28438866111321</v>
      </c>
      <c r="S68" s="226">
        <f t="shared" si="34"/>
        <v>4.8037144915175592E-2</v>
      </c>
    </row>
    <row r="69" spans="2:19" x14ac:dyDescent="0.3">
      <c r="B69" s="53" t="s">
        <v>9</v>
      </c>
      <c r="C69" s="12"/>
      <c r="E69" s="138">
        <f t="shared" si="29"/>
        <v>7272.5499999999993</v>
      </c>
      <c r="F69" s="138">
        <f t="shared" si="30"/>
        <v>5699.5000000000027</v>
      </c>
      <c r="G69" s="138"/>
      <c r="H69" s="138">
        <f t="shared" si="31"/>
        <v>848.86060157665315</v>
      </c>
      <c r="I69" s="138">
        <f t="shared" si="31"/>
        <v>810.75910759327951</v>
      </c>
      <c r="J69" s="138">
        <f t="shared" si="31"/>
        <v>764.02802661171177</v>
      </c>
      <c r="K69" s="138">
        <f t="shared" si="31"/>
        <v>470.87055997636173</v>
      </c>
      <c r="L69" s="138"/>
      <c r="M69" s="157">
        <f t="shared" si="32"/>
        <v>0.11672117779549858</v>
      </c>
      <c r="N69" s="157">
        <f t="shared" si="32"/>
        <v>0.11148209467013352</v>
      </c>
      <c r="O69" s="157">
        <f t="shared" si="32"/>
        <v>0.10505641440921161</v>
      </c>
      <c r="P69" s="157">
        <f t="shared" si="32"/>
        <v>6.4746280187329308E-2</v>
      </c>
      <c r="Q69" s="4"/>
      <c r="R69" s="138">
        <f t="shared" si="33"/>
        <v>284.13187499156845</v>
      </c>
      <c r="S69" s="226">
        <f t="shared" si="34"/>
        <v>4.9852070355569489E-2</v>
      </c>
    </row>
    <row r="70" spans="2:19" x14ac:dyDescent="0.3">
      <c r="B70" s="53" t="s">
        <v>10</v>
      </c>
      <c r="C70" s="12"/>
      <c r="E70" s="138">
        <f t="shared" si="29"/>
        <v>5915.9250000000029</v>
      </c>
      <c r="F70" s="138">
        <f t="shared" si="30"/>
        <v>6941.1000000000085</v>
      </c>
      <c r="G70" s="138"/>
      <c r="H70" s="138">
        <f t="shared" si="31"/>
        <v>576.03534475680613</v>
      </c>
      <c r="I70" s="138">
        <f t="shared" si="31"/>
        <v>339.34472255697796</v>
      </c>
      <c r="J70" s="138">
        <f t="shared" si="31"/>
        <v>250.91128198470616</v>
      </c>
      <c r="K70" s="138">
        <f t="shared" si="31"/>
        <v>250.89645414163991</v>
      </c>
      <c r="L70" s="138"/>
      <c r="M70" s="157">
        <f t="shared" si="32"/>
        <v>9.7370292009585288E-2</v>
      </c>
      <c r="N70" s="157">
        <f t="shared" si="32"/>
        <v>5.7361227966375126E-2</v>
      </c>
      <c r="O70" s="157">
        <f t="shared" si="32"/>
        <v>4.2412857158382847E-2</v>
      </c>
      <c r="P70" s="157">
        <f t="shared" si="32"/>
        <v>4.241035072987568E-2</v>
      </c>
      <c r="Q70" s="4"/>
      <c r="R70" s="138">
        <f t="shared" si="33"/>
        <v>343.38537396294998</v>
      </c>
      <c r="S70" s="226">
        <f t="shared" si="34"/>
        <v>4.9471319238009764E-2</v>
      </c>
    </row>
    <row r="71" spans="2:19" x14ac:dyDescent="0.3">
      <c r="B71" s="53" t="s">
        <v>11</v>
      </c>
      <c r="C71" s="12"/>
      <c r="E71" s="138">
        <f t="shared" si="29"/>
        <v>3874.4500000000003</v>
      </c>
      <c r="F71" s="138">
        <f t="shared" si="30"/>
        <v>3359.1000000000045</v>
      </c>
      <c r="G71" s="138"/>
      <c r="H71" s="138">
        <f t="shared" si="31"/>
        <v>432.24592221642411</v>
      </c>
      <c r="I71" s="138">
        <f t="shared" si="31"/>
        <v>405.75480863111261</v>
      </c>
      <c r="J71" s="138">
        <f t="shared" si="31"/>
        <v>430.52690434575931</v>
      </c>
      <c r="K71" s="138">
        <f t="shared" si="31"/>
        <v>233.44302653830226</v>
      </c>
      <c r="L71" s="138"/>
      <c r="M71" s="157">
        <f t="shared" si="32"/>
        <v>0.11156316953797935</v>
      </c>
      <c r="N71" s="157">
        <f t="shared" si="32"/>
        <v>0.10472578266105191</v>
      </c>
      <c r="O71" s="157">
        <f t="shared" si="32"/>
        <v>0.11111948904896418</v>
      </c>
      <c r="P71" s="157">
        <f t="shared" si="32"/>
        <v>6.025191357181077E-2</v>
      </c>
      <c r="Q71" s="4"/>
      <c r="R71" s="138">
        <f t="shared" si="33"/>
        <v>169.89577855971078</v>
      </c>
      <c r="S71" s="226">
        <f t="shared" si="34"/>
        <v>5.0577767425712405E-2</v>
      </c>
    </row>
    <row r="72" spans="2:19" x14ac:dyDescent="0.3">
      <c r="B72" s="53" t="s">
        <v>12</v>
      </c>
      <c r="C72" s="12"/>
      <c r="E72" s="138">
        <f t="shared" si="29"/>
        <v>2401.2124999999987</v>
      </c>
      <c r="F72" s="138">
        <f t="shared" si="30"/>
        <v>2467.3999999999996</v>
      </c>
      <c r="G72" s="138"/>
      <c r="H72" s="138">
        <f t="shared" si="31"/>
        <v>355.28420590322605</v>
      </c>
      <c r="I72" s="138">
        <f t="shared" si="31"/>
        <v>586.79591000619621</v>
      </c>
      <c r="J72" s="138">
        <f t="shared" si="31"/>
        <v>325.76549600034951</v>
      </c>
      <c r="K72" s="138">
        <f t="shared" si="31"/>
        <v>325.76425282322009</v>
      </c>
      <c r="L72" s="138"/>
      <c r="M72" s="157">
        <f t="shared" si="32"/>
        <v>0.14796033499876676</v>
      </c>
      <c r="N72" s="157">
        <f t="shared" si="32"/>
        <v>0.24437483563249671</v>
      </c>
      <c r="O72" s="157">
        <f t="shared" si="32"/>
        <v>0.13566708319249116</v>
      </c>
      <c r="P72" s="157">
        <f t="shared" si="32"/>
        <v>0.13566656546358152</v>
      </c>
      <c r="Q72" s="4"/>
      <c r="R72" s="138">
        <f t="shared" si="33"/>
        <v>125.48463896647307</v>
      </c>
      <c r="S72" s="226">
        <f t="shared" si="34"/>
        <v>5.0857031274407508E-2</v>
      </c>
    </row>
    <row r="73" spans="2:19" x14ac:dyDescent="0.3">
      <c r="B73" s="53" t="s">
        <v>13</v>
      </c>
      <c r="C73" s="12"/>
      <c r="E73" s="138">
        <f t="shared" si="29"/>
        <v>1633.6499999999999</v>
      </c>
      <c r="F73" s="138">
        <f t="shared" si="30"/>
        <v>1687.9000000000015</v>
      </c>
      <c r="G73" s="138"/>
      <c r="H73" s="138">
        <f t="shared" si="31"/>
        <v>111.42998209230245</v>
      </c>
      <c r="I73" s="138">
        <f t="shared" si="31"/>
        <v>77.884887085772775</v>
      </c>
      <c r="J73" s="138">
        <f t="shared" si="31"/>
        <v>64.772284086325243</v>
      </c>
      <c r="K73" s="138">
        <f t="shared" si="31"/>
        <v>60.495459889597576</v>
      </c>
      <c r="L73" s="138"/>
      <c r="M73" s="157">
        <f t="shared" si="32"/>
        <v>6.820921378037062E-2</v>
      </c>
      <c r="N73" s="157">
        <f t="shared" si="32"/>
        <v>4.7675381560170649E-2</v>
      </c>
      <c r="O73" s="157">
        <f t="shared" si="32"/>
        <v>3.9648813446163653E-2</v>
      </c>
      <c r="P73" s="157">
        <f t="shared" si="32"/>
        <v>3.703085721519149E-2</v>
      </c>
      <c r="Q73" s="4"/>
      <c r="R73" s="138">
        <f t="shared" si="33"/>
        <v>86.255773038603451</v>
      </c>
      <c r="S73" s="226">
        <f t="shared" si="34"/>
        <v>5.1102419005037841E-2</v>
      </c>
    </row>
    <row r="74" spans="2:19" x14ac:dyDescent="0.3">
      <c r="B74" s="53" t="s">
        <v>15</v>
      </c>
      <c r="C74" s="12"/>
      <c r="E74" s="138">
        <f t="shared" si="29"/>
        <v>4323.041666666667</v>
      </c>
      <c r="F74" s="138">
        <f t="shared" si="30"/>
        <v>3543.2999999999993</v>
      </c>
      <c r="G74" s="138"/>
      <c r="H74" s="138">
        <f t="shared" si="31"/>
        <v>564.74383003322919</v>
      </c>
      <c r="I74" s="138">
        <f t="shared" si="31"/>
        <v>484.88751554074139</v>
      </c>
      <c r="J74" s="138">
        <f t="shared" si="31"/>
        <v>562.94247478996726</v>
      </c>
      <c r="K74" s="138">
        <f t="shared" si="31"/>
        <v>281.20456721396266</v>
      </c>
      <c r="L74" s="138"/>
      <c r="M74" s="157">
        <f t="shared" si="32"/>
        <v>0.13063575916645784</v>
      </c>
      <c r="N74" s="157">
        <f t="shared" si="32"/>
        <v>0.11216350730077966</v>
      </c>
      <c r="O74" s="157">
        <f t="shared" si="32"/>
        <v>0.13021907217101397</v>
      </c>
      <c r="P74" s="157">
        <f t="shared" si="32"/>
        <v>6.5047850309245064E-2</v>
      </c>
      <c r="Q74" s="4"/>
      <c r="R74" s="138">
        <f t="shared" si="33"/>
        <v>179.00847551288655</v>
      </c>
      <c r="S74" s="226">
        <f t="shared" si="34"/>
        <v>5.0520270796400694E-2</v>
      </c>
    </row>
    <row r="75" spans="2:19" x14ac:dyDescent="0.3">
      <c r="B75" s="53" t="s">
        <v>16</v>
      </c>
      <c r="C75" s="12"/>
      <c r="E75" s="138">
        <f t="shared" si="29"/>
        <v>26063.624999999989</v>
      </c>
      <c r="F75" s="138">
        <f t="shared" si="30"/>
        <v>27436.799999999959</v>
      </c>
      <c r="G75" s="138"/>
      <c r="H75" s="138">
        <f t="shared" si="31"/>
        <v>1102.1524619208415</v>
      </c>
      <c r="I75" s="138">
        <f t="shared" si="31"/>
        <v>794.9882805310948</v>
      </c>
      <c r="J75" s="138">
        <f t="shared" si="31"/>
        <v>637.00457829981599</v>
      </c>
      <c r="K75" s="138">
        <f t="shared" si="31"/>
        <v>521.84662596146836</v>
      </c>
      <c r="L75" s="138"/>
      <c r="M75" s="157">
        <f t="shared" si="32"/>
        <v>4.2286998140927901E-2</v>
      </c>
      <c r="N75" s="157">
        <f t="shared" si="32"/>
        <v>3.0501830828639345E-2</v>
      </c>
      <c r="O75" s="157">
        <f t="shared" si="32"/>
        <v>2.4440367688677852E-2</v>
      </c>
      <c r="P75" s="157">
        <f t="shared" si="32"/>
        <v>2.0022027863026291E-2</v>
      </c>
      <c r="Q75" s="4"/>
      <c r="R75" s="138">
        <f t="shared" si="33"/>
        <v>1195.9742641339974</v>
      </c>
      <c r="S75" s="226">
        <f t="shared" si="34"/>
        <v>4.3590151334485037E-2</v>
      </c>
    </row>
    <row r="76" spans="2:19" x14ac:dyDescent="0.3">
      <c r="B76" s="53" t="s">
        <v>39</v>
      </c>
      <c r="C76" s="12"/>
      <c r="E76" s="138">
        <f t="shared" si="29"/>
        <v>3160.7916666666674</v>
      </c>
      <c r="F76" s="138">
        <f t="shared" si="30"/>
        <v>1669.2000000000032</v>
      </c>
      <c r="G76" s="138"/>
      <c r="H76" s="138">
        <f t="shared" si="31"/>
        <v>980.88642976955214</v>
      </c>
      <c r="I76" s="138">
        <f t="shared" si="31"/>
        <v>953.4384102719049</v>
      </c>
      <c r="J76" s="138">
        <f t="shared" si="31"/>
        <v>884.37021783425701</v>
      </c>
      <c r="K76" s="138">
        <f t="shared" si="31"/>
        <v>750.35424417903766</v>
      </c>
      <c r="L76" s="138"/>
      <c r="M76" s="157">
        <f t="shared" si="32"/>
        <v>0.310329352014517</v>
      </c>
      <c r="N76" s="157">
        <f t="shared" si="32"/>
        <v>0.30164544545176858</v>
      </c>
      <c r="O76" s="157">
        <f t="shared" si="32"/>
        <v>0.27979389694066836</v>
      </c>
      <c r="P76" s="157">
        <f t="shared" si="32"/>
        <v>0.23739440093195138</v>
      </c>
      <c r="Q76" s="4"/>
      <c r="R76" s="138">
        <f t="shared" si="33"/>
        <v>85.310008264976702</v>
      </c>
      <c r="S76" s="226">
        <f t="shared" si="34"/>
        <v>5.1108320312111516E-2</v>
      </c>
    </row>
    <row r="77" spans="2:19" x14ac:dyDescent="0.3">
      <c r="B77" s="53" t="s">
        <v>17</v>
      </c>
      <c r="C77" s="12"/>
      <c r="E77" s="138">
        <f t="shared" si="29"/>
        <v>10035.833333333334</v>
      </c>
      <c r="F77" s="138">
        <f t="shared" si="30"/>
        <v>10929.700000000006</v>
      </c>
      <c r="G77" s="138"/>
      <c r="H77" s="138">
        <f t="shared" si="31"/>
        <v>1216.9785030844457</v>
      </c>
      <c r="I77" s="138">
        <f t="shared" si="31"/>
        <v>346.38498812737328</v>
      </c>
      <c r="J77" s="138">
        <f t="shared" si="31"/>
        <v>456.70919944371815</v>
      </c>
      <c r="K77" s="138">
        <f t="shared" si="31"/>
        <v>324.26178069045653</v>
      </c>
      <c r="L77" s="138"/>
      <c r="M77" s="157">
        <f t="shared" si="32"/>
        <v>0.12126332339959602</v>
      </c>
      <c r="N77" s="157">
        <f t="shared" si="32"/>
        <v>3.4514820705210322E-2</v>
      </c>
      <c r="O77" s="157">
        <f t="shared" si="32"/>
        <v>4.5507850148008115E-2</v>
      </c>
      <c r="P77" s="157">
        <f t="shared" si="32"/>
        <v>3.2310399138798289E-2</v>
      </c>
      <c r="Q77" s="4"/>
      <c r="R77" s="138">
        <f t="shared" si="33"/>
        <v>527.55185575539633</v>
      </c>
      <c r="S77" s="226">
        <f t="shared" si="34"/>
        <v>4.8267734316165677E-2</v>
      </c>
    </row>
    <row r="78" spans="2:19" x14ac:dyDescent="0.3">
      <c r="B78" s="53" t="s">
        <v>18</v>
      </c>
      <c r="C78" s="12"/>
      <c r="E78" s="138">
        <f t="shared" si="29"/>
        <v>3055.7166666666653</v>
      </c>
      <c r="F78" s="138">
        <f t="shared" si="30"/>
        <v>3166.6999999999994</v>
      </c>
      <c r="G78" s="138"/>
      <c r="H78" s="138">
        <f t="shared" si="31"/>
        <v>141.82374154797444</v>
      </c>
      <c r="I78" s="138">
        <f t="shared" si="31"/>
        <v>234.6286043942643</v>
      </c>
      <c r="J78" s="138">
        <f t="shared" si="31"/>
        <v>141.37158628778224</v>
      </c>
      <c r="K78" s="138">
        <f t="shared" si="31"/>
        <v>125.22840733657853</v>
      </c>
      <c r="L78" s="138"/>
      <c r="M78" s="157">
        <f t="shared" si="32"/>
        <v>4.6412595478848226E-2</v>
      </c>
      <c r="N78" s="157">
        <f t="shared" si="32"/>
        <v>7.6783494672040181E-2</v>
      </c>
      <c r="O78" s="157">
        <f t="shared" si="32"/>
        <v>4.6264625195763881E-2</v>
      </c>
      <c r="P78" s="157">
        <f t="shared" si="32"/>
        <v>4.0981681548762236E-2</v>
      </c>
      <c r="Q78" s="4"/>
      <c r="R78" s="138">
        <f t="shared" si="33"/>
        <v>160.35501732926281</v>
      </c>
      <c r="S78" s="226">
        <f t="shared" si="34"/>
        <v>5.0637893494572532E-2</v>
      </c>
    </row>
    <row r="79" spans="2:19" ht="14.4" thickBot="1" x14ac:dyDescent="0.35"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</row>
    <row r="80" spans="2:19" ht="14.4" thickTop="1" x14ac:dyDescent="0.3">
      <c r="C80" s="12"/>
      <c r="D80" s="6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8"/>
      <c r="Q80" s="8"/>
      <c r="R80" s="8"/>
      <c r="S80" s="8"/>
    </row>
    <row r="81" spans="4:26" x14ac:dyDescent="0.3">
      <c r="D81" s="6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8"/>
      <c r="Q81" s="8"/>
      <c r="R81" s="8"/>
      <c r="S81" s="8"/>
    </row>
    <row r="82" spans="4:26" x14ac:dyDescent="0.3">
      <c r="D82" s="6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8"/>
      <c r="Q82" s="8"/>
      <c r="R82" s="8"/>
      <c r="S82" s="8"/>
      <c r="X82" s="9"/>
    </row>
    <row r="83" spans="4:26" x14ac:dyDescent="0.3">
      <c r="D83" s="6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8"/>
      <c r="Q83" s="8"/>
      <c r="R83" s="8"/>
      <c r="S83" s="8"/>
      <c r="U83" s="140"/>
      <c r="V83" s="4">
        <v>0</v>
      </c>
      <c r="X83" s="10"/>
    </row>
    <row r="84" spans="4:26" x14ac:dyDescent="0.3">
      <c r="I84" s="5"/>
      <c r="K84" s="6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8"/>
      <c r="X84" s="8"/>
      <c r="Y84" s="11"/>
      <c r="Z84" s="11"/>
    </row>
    <row r="85" spans="4:26" x14ac:dyDescent="0.3">
      <c r="I85" s="5"/>
      <c r="K85" s="6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8"/>
      <c r="X85" s="8"/>
      <c r="Y85" s="11"/>
      <c r="Z85" s="11"/>
    </row>
  </sheetData>
  <printOptions horizontalCentered="1" verticalCentered="1"/>
  <pageMargins left="0.7" right="0.7" top="0.75" bottom="0.75" header="0.3" footer="0.3"/>
  <pageSetup scale="41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CETL</vt:lpstr>
      <vt:lpstr>BLS Index Shock</vt:lpstr>
      <vt:lpstr>E&amp;AS</vt:lpstr>
      <vt:lpstr>Rel Req</vt:lpstr>
      <vt:lpstr>Supply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2018-05-31T02:15:28Z</dcterms:created>
  <dcterms:modified xsi:type="dcterms:W3CDTF">2018-06-01T21:13:45Z</dcterms:modified>
</cp:coreProperties>
</file>