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ell\AppData\Roaming\OpenText\OTEdit\EC_Cera\c238844087\"/>
    </mc:Choice>
  </mc:AlternateContent>
  <bookViews>
    <workbookView xWindow="0" yWindow="0" windowWidth="21945" windowHeight="8895" activeTab="2"/>
  </bookViews>
  <sheets>
    <sheet name="Monthly Charges" sheetId="5" r:id="rId1"/>
    <sheet name="Interest Calculator" sheetId="4" r:id="rId2"/>
    <sheet name="Interval Level Holdback EXAMPLE"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5" l="1"/>
  <c r="B16" i="5"/>
  <c r="C15" i="5"/>
  <c r="D15" i="5" s="1"/>
  <c r="C14" i="5"/>
  <c r="D14" i="5" s="1"/>
  <c r="C12" i="5"/>
  <c r="E14" i="5" l="1"/>
  <c r="F14" i="5" s="1"/>
  <c r="G14" i="5" s="1"/>
  <c r="H14" i="5" s="1"/>
  <c r="I14" i="5" s="1"/>
  <c r="J14" i="5" s="1"/>
  <c r="K14" i="5" s="1"/>
  <c r="E15" i="5"/>
  <c r="F15" i="5" s="1"/>
  <c r="G15" i="5" s="1"/>
  <c r="H15" i="5" s="1"/>
  <c r="I15" i="5" s="1"/>
  <c r="J15" i="5" s="1"/>
  <c r="K15" i="5" s="1"/>
  <c r="L15" i="5"/>
  <c r="C16" i="5" s="1"/>
  <c r="D12" i="5"/>
  <c r="E12" i="5" s="1"/>
  <c r="B109" i="6"/>
  <c r="B110" i="6"/>
  <c r="B111" i="6"/>
  <c r="B112" i="6"/>
  <c r="B113" i="6"/>
  <c r="B114" i="6"/>
  <c r="B115" i="6"/>
  <c r="B116" i="6"/>
  <c r="B117" i="6"/>
  <c r="B108" i="6"/>
  <c r="L14" i="5" l="1"/>
  <c r="D16" i="5"/>
  <c r="C18" i="5"/>
  <c r="L12" i="5"/>
  <c r="B7" i="6"/>
  <c r="B9" i="6" s="1"/>
  <c r="B10" i="6" s="1"/>
  <c r="C29" i="6"/>
  <c r="E16" i="5" l="1"/>
  <c r="D18" i="5"/>
  <c r="C39" i="6"/>
  <c r="B38" i="6"/>
  <c r="D38" i="6" s="1"/>
  <c r="D74" i="6" s="1"/>
  <c r="B37" i="6"/>
  <c r="D37" i="6" s="1"/>
  <c r="D73" i="6" s="1"/>
  <c r="B36" i="6"/>
  <c r="B28" i="6"/>
  <c r="D28" i="6" s="1"/>
  <c r="B27" i="6"/>
  <c r="D27" i="6" s="1"/>
  <c r="B26" i="6"/>
  <c r="D26" i="6" s="1"/>
  <c r="B25" i="6"/>
  <c r="D25" i="6" s="1"/>
  <c r="B24" i="6"/>
  <c r="D24" i="6" s="1"/>
  <c r="B23" i="6"/>
  <c r="D23" i="6" s="1"/>
  <c r="B22" i="6"/>
  <c r="D22" i="6" s="1"/>
  <c r="B21" i="6"/>
  <c r="D21" i="6" s="1"/>
  <c r="B20" i="6"/>
  <c r="D20" i="6" s="1"/>
  <c r="B19" i="6"/>
  <c r="D19" i="6" s="1"/>
  <c r="F16" i="5" l="1"/>
  <c r="E18" i="5"/>
  <c r="B87" i="6"/>
  <c r="E22" i="6"/>
  <c r="B88" i="6"/>
  <c r="E23" i="6"/>
  <c r="B89" i="6"/>
  <c r="E24" i="6"/>
  <c r="B90" i="6"/>
  <c r="E25" i="6"/>
  <c r="B91" i="6"/>
  <c r="E26" i="6"/>
  <c r="B92" i="6"/>
  <c r="E27" i="6"/>
  <c r="B93" i="6"/>
  <c r="E28" i="6"/>
  <c r="B84" i="6"/>
  <c r="B85" i="6"/>
  <c r="E20" i="6"/>
  <c r="B86" i="6"/>
  <c r="B94" i="6" s="1"/>
  <c r="E21" i="6"/>
  <c r="B101" i="6"/>
  <c r="D47" i="6"/>
  <c r="D46" i="6"/>
  <c r="D56" i="6"/>
  <c r="D58" i="6"/>
  <c r="D68" i="6"/>
  <c r="D71" i="6"/>
  <c r="D59" i="6"/>
  <c r="D49" i="6"/>
  <c r="D61" i="6"/>
  <c r="D52" i="6"/>
  <c r="D64" i="6"/>
  <c r="D53" i="6"/>
  <c r="D65" i="6"/>
  <c r="D50" i="6"/>
  <c r="D62" i="6"/>
  <c r="D55" i="6"/>
  <c r="D67" i="6"/>
  <c r="D70" i="6"/>
  <c r="B39" i="6"/>
  <c r="D36" i="6"/>
  <c r="B29" i="6"/>
  <c r="G16" i="5" l="1"/>
  <c r="F18" i="5"/>
  <c r="E19" i="6"/>
  <c r="C84" i="6" s="1"/>
  <c r="D29" i="6"/>
  <c r="D39" i="6"/>
  <c r="D72" i="6"/>
  <c r="E93" i="6" s="1"/>
  <c r="D60" i="6"/>
  <c r="E89" i="6" s="1"/>
  <c r="D48" i="6"/>
  <c r="E85" i="6" s="1"/>
  <c r="D57" i="6"/>
  <c r="E88" i="6" s="1"/>
  <c r="D66" i="6"/>
  <c r="E91" i="6" s="1"/>
  <c r="D54" i="6"/>
  <c r="E87" i="6" s="1"/>
  <c r="D63" i="6"/>
  <c r="E90" i="6" s="1"/>
  <c r="D51" i="6"/>
  <c r="E86" i="6" s="1"/>
  <c r="D69" i="6"/>
  <c r="E92" i="6" s="1"/>
  <c r="D45" i="6"/>
  <c r="E84" i="6" s="1"/>
  <c r="F27" i="6"/>
  <c r="D92" i="6" s="1"/>
  <c r="C92" i="6"/>
  <c r="F20" i="6"/>
  <c r="D85" i="6" s="1"/>
  <c r="C85" i="6"/>
  <c r="F25" i="6"/>
  <c r="D90" i="6" s="1"/>
  <c r="C90" i="6"/>
  <c r="F28" i="6"/>
  <c r="D93" i="6" s="1"/>
  <c r="C93" i="6"/>
  <c r="F21" i="6"/>
  <c r="D86" i="6" s="1"/>
  <c r="C86" i="6"/>
  <c r="F23" i="6"/>
  <c r="D88" i="6" s="1"/>
  <c r="C88" i="6"/>
  <c r="F26" i="6"/>
  <c r="D91" i="6" s="1"/>
  <c r="C91" i="6"/>
  <c r="F24" i="6"/>
  <c r="D89" i="6" s="1"/>
  <c r="C89" i="6"/>
  <c r="F22" i="6"/>
  <c r="D87" i="6" s="1"/>
  <c r="C87" i="6"/>
  <c r="E27" i="4"/>
  <c r="E26" i="4"/>
  <c r="E25" i="4"/>
  <c r="E24" i="4"/>
  <c r="E23" i="4"/>
  <c r="E22" i="4"/>
  <c r="E20" i="4"/>
  <c r="E19" i="4"/>
  <c r="E18" i="4"/>
  <c r="E21" i="4"/>
  <c r="H18" i="4"/>
  <c r="H16" i="5" l="1"/>
  <c r="G18" i="5"/>
  <c r="E29" i="6"/>
  <c r="F19" i="6"/>
  <c r="C108" i="6"/>
  <c r="C114" i="6"/>
  <c r="C111" i="6"/>
  <c r="C112" i="6"/>
  <c r="D108" i="6"/>
  <c r="E108" i="6" s="1"/>
  <c r="F108" i="6" s="1"/>
  <c r="C110" i="6"/>
  <c r="C109" i="6"/>
  <c r="C113" i="6"/>
  <c r="C116" i="6"/>
  <c r="D117" i="6"/>
  <c r="E117" i="6" s="1"/>
  <c r="F117" i="6" s="1"/>
  <c r="C115" i="6"/>
  <c r="C117" i="6"/>
  <c r="F92" i="6"/>
  <c r="G92" i="6" s="1"/>
  <c r="F86" i="6"/>
  <c r="G86" i="6" s="1"/>
  <c r="F90" i="6"/>
  <c r="G90" i="6" s="1"/>
  <c r="F87" i="6"/>
  <c r="G87" i="6" s="1"/>
  <c r="F91" i="6"/>
  <c r="G91" i="6" s="1"/>
  <c r="F88" i="6"/>
  <c r="G88" i="6" s="1"/>
  <c r="F89" i="6"/>
  <c r="G89" i="6" s="1"/>
  <c r="F85" i="6"/>
  <c r="G85" i="6" s="1"/>
  <c r="F84" i="6"/>
  <c r="F93" i="6"/>
  <c r="G93" i="6" s="1"/>
  <c r="C94" i="6"/>
  <c r="E94" i="6"/>
  <c r="F29" i="6"/>
  <c r="D84" i="6"/>
  <c r="I18" i="4"/>
  <c r="B12" i="4" s="1"/>
  <c r="I16" i="5" l="1"/>
  <c r="H18" i="5"/>
  <c r="B102" i="6"/>
  <c r="B103" i="6" s="1"/>
  <c r="B118" i="6"/>
  <c r="D111" i="6"/>
  <c r="E111" i="6" s="1"/>
  <c r="F111" i="6" s="1"/>
  <c r="D114" i="6"/>
  <c r="E114" i="6" s="1"/>
  <c r="F114" i="6" s="1"/>
  <c r="D116" i="6"/>
  <c r="E116" i="6" s="1"/>
  <c r="F116" i="6" s="1"/>
  <c r="D112" i="6"/>
  <c r="E112" i="6" s="1"/>
  <c r="F112" i="6" s="1"/>
  <c r="D109" i="6"/>
  <c r="E109" i="6" s="1"/>
  <c r="D110" i="6"/>
  <c r="E110" i="6" s="1"/>
  <c r="F110" i="6" s="1"/>
  <c r="D113" i="6"/>
  <c r="E113" i="6" s="1"/>
  <c r="F113" i="6" s="1"/>
  <c r="D115" i="6"/>
  <c r="E115" i="6" s="1"/>
  <c r="F115" i="6" s="1"/>
  <c r="F94" i="6"/>
  <c r="G84" i="6"/>
  <c r="G94" i="6" s="1"/>
  <c r="D94" i="6"/>
  <c r="J16" i="5" l="1"/>
  <c r="I18" i="5"/>
  <c r="F109" i="6"/>
  <c r="E118" i="6"/>
  <c r="B104" i="6"/>
  <c r="C118" i="6"/>
  <c r="C11" i="4"/>
  <c r="D11" i="4"/>
  <c r="E11" i="4"/>
  <c r="F11" i="4"/>
  <c r="G11" i="4"/>
  <c r="H11" i="4"/>
  <c r="I11" i="4"/>
  <c r="J11" i="4"/>
  <c r="B11" i="4"/>
  <c r="J18" i="5" l="1"/>
  <c r="K16" i="5"/>
  <c r="K18" i="5" s="1"/>
  <c r="L16" i="5"/>
  <c r="L18" i="5" s="1"/>
  <c r="D118" i="6"/>
  <c r="F118" i="6"/>
  <c r="H23" i="4"/>
  <c r="I23" i="4" s="1"/>
  <c r="G12" i="4" s="1"/>
  <c r="H26" i="4"/>
  <c r="I26" i="4" s="1"/>
  <c r="J12" i="4" s="1"/>
  <c r="H20" i="4"/>
  <c r="I20" i="4" s="1"/>
  <c r="D12" i="4" s="1"/>
  <c r="H22" i="4"/>
  <c r="I22" i="4" s="1"/>
  <c r="F12" i="4" s="1"/>
  <c r="H24" i="4"/>
  <c r="I24" i="4" s="1"/>
  <c r="H12" i="4" s="1"/>
  <c r="H21" i="4"/>
  <c r="I21" i="4" s="1"/>
  <c r="E12" i="4" s="1"/>
  <c r="H19" i="4"/>
  <c r="I19" i="4" s="1"/>
  <c r="C12" i="4" s="1"/>
  <c r="H25" i="4"/>
  <c r="I25" i="4" s="1"/>
  <c r="I12" i="4" s="1"/>
  <c r="H27" i="4"/>
  <c r="I27" i="4" s="1"/>
  <c r="I28" i="4" l="1"/>
  <c r="K11" i="4" l="1"/>
  <c r="K12" i="4" l="1"/>
  <c r="E13" i="4" l="1"/>
  <c r="E14" i="4" s="1"/>
  <c r="F13" i="4"/>
  <c r="F14" i="4" s="1"/>
  <c r="G13" i="4"/>
  <c r="G14" i="4" s="1"/>
  <c r="H13" i="4"/>
  <c r="H14" i="4" s="1"/>
  <c r="I13" i="4"/>
  <c r="I14" i="4" s="1"/>
  <c r="J13" i="4"/>
  <c r="J14" i="4" s="1"/>
  <c r="B13" i="4"/>
  <c r="C13" i="4"/>
  <c r="C14" i="4" s="1"/>
  <c r="D13" i="4"/>
  <c r="D14" i="4" s="1"/>
  <c r="K13" i="4" l="1"/>
  <c r="B14" i="4"/>
  <c r="K14" i="4" l="1"/>
</calcChain>
</file>

<file path=xl/sharedStrings.xml><?xml version="1.0" encoding="utf-8"?>
<sst xmlns="http://schemas.openxmlformats.org/spreadsheetml/2006/main" count="179" uniqueCount="110">
  <si>
    <t>Penalty</t>
  </si>
  <si>
    <t>Election</t>
  </si>
  <si>
    <t>Invoice</t>
  </si>
  <si>
    <t>3 month</t>
  </si>
  <si>
    <t>9 month</t>
  </si>
  <si>
    <t>Gross Penalty</t>
  </si>
  <si>
    <t>Interest</t>
  </si>
  <si>
    <t>Totals</t>
  </si>
  <si>
    <t>Adjusted 9 month payment</t>
  </si>
  <si>
    <t>Total Monthly Charges (3 month + Adjusted 9 month)</t>
  </si>
  <si>
    <t>Gross Non-Performance Charge</t>
  </si>
  <si>
    <t>Enter total non-performance charge here</t>
  </si>
  <si>
    <t>FERC Interest Rate as of 3/17/2023</t>
  </si>
  <si>
    <r>
      <t xml:space="preserve">Monthly Non-Performance Charge
</t>
    </r>
    <r>
      <rPr>
        <sz val="10"/>
        <color theme="1"/>
        <rFont val="Arial"/>
        <family val="2"/>
        <scheme val="minor"/>
      </rPr>
      <t>(Billing Line Item 1667: Non-Performance Charge)</t>
    </r>
  </si>
  <si>
    <t>Total Adjusted monthly payment</t>
  </si>
  <si>
    <t>Year</t>
  </si>
  <si>
    <t>StartDay</t>
  </si>
  <si>
    <t>EndDay</t>
  </si>
  <si>
    <t>Days in Year</t>
  </si>
  <si>
    <t>FERC Int Rate</t>
  </si>
  <si>
    <t>Int on Amt</t>
  </si>
  <si>
    <t>Interest $</t>
  </si>
  <si>
    <t>Month</t>
  </si>
  <si>
    <t>April Billing Statement</t>
  </si>
  <si>
    <t>May Billing Statement</t>
  </si>
  <si>
    <t>June Billing Statement</t>
  </si>
  <si>
    <t>July Billing Statement</t>
  </si>
  <si>
    <t>August Billing Statement</t>
  </si>
  <si>
    <t>September Billing Statement</t>
  </si>
  <si>
    <t>October Billing Statement</t>
  </si>
  <si>
    <t>November Billing Statement</t>
  </si>
  <si>
    <t>December Billing Statement</t>
  </si>
  <si>
    <t>March Billing Statement</t>
  </si>
  <si>
    <t>Days in Period</t>
  </si>
  <si>
    <t>Total Interest</t>
  </si>
  <si>
    <t>Interest Calculator For Participants Electing The 9 Month Payment Option</t>
  </si>
  <si>
    <t>of total monthly charge</t>
  </si>
  <si>
    <t>Interval</t>
  </si>
  <si>
    <t>Monthly Charge</t>
  </si>
  <si>
    <t>Total</t>
  </si>
  <si>
    <t>Amount Collected</t>
  </si>
  <si>
    <t>Sum of interval charges for org</t>
  </si>
  <si>
    <t>amount org actually paid</t>
  </si>
  <si>
    <t>Org A</t>
  </si>
  <si>
    <t>has charges in all 10 intervals</t>
  </si>
  <si>
    <t>Org B</t>
  </si>
  <si>
    <t>Org C</t>
  </si>
  <si>
    <t>Org</t>
  </si>
  <si>
    <t>A</t>
  </si>
  <si>
    <t>B</t>
  </si>
  <si>
    <t>C</t>
  </si>
  <si>
    <t>has charges only in first 8 intervals</t>
  </si>
  <si>
    <t>Monthly charge minus initial holdback</t>
  </si>
  <si>
    <t>Charge minus collected</t>
  </si>
  <si>
    <t>Text in green can be updated to alter example. Do not change other cells.</t>
  </si>
  <si>
    <t>Total PJM Monthly Charge</t>
  </si>
  <si>
    <t>Total PJM Monthly Non-Performance Charge</t>
  </si>
  <si>
    <t>Updated bonus minus intial bonus</t>
  </si>
  <si>
    <t>Initial Total PJM Bonus Pay Out</t>
  </si>
  <si>
    <t>Undercollection is applied as a holdback in only the intervals where the defaulting party had charges</t>
  </si>
  <si>
    <r>
      <t xml:space="preserve">Initial Monthly Bonus Holdback based on </t>
    </r>
    <r>
      <rPr>
        <sz val="11"/>
        <color theme="7"/>
        <rFont val="Arial"/>
        <family val="2"/>
        <scheme val="minor"/>
      </rPr>
      <t xml:space="preserve">Expected </t>
    </r>
    <r>
      <rPr>
        <sz val="11"/>
        <color theme="1"/>
        <rFont val="Arial"/>
        <family val="2"/>
        <scheme val="minor"/>
      </rPr>
      <t>Undercollection of Charges</t>
    </r>
  </si>
  <si>
    <t>Assume there are only 10 intervals in the PAI for ease of illustration</t>
  </si>
  <si>
    <t>Initial March Billing</t>
  </si>
  <si>
    <t>Charges by Org for March, including financial settlement</t>
  </si>
  <si>
    <t>Charges by Interval and Org for March, including financial settlement</t>
  </si>
  <si>
    <t>Adjustments to Bonus in March Bonus in April Bill</t>
  </si>
  <si>
    <t>Total Initial Holdback</t>
  </si>
  <si>
    <t>of total monthly charge less prior undercollection</t>
  </si>
  <si>
    <r>
      <t xml:space="preserve">Initial Monthly Holdback 
</t>
    </r>
    <r>
      <rPr>
        <b/>
        <sz val="10"/>
        <color theme="1"/>
        <rFont val="Arial"/>
        <family val="2"/>
        <scheme val="minor"/>
      </rPr>
      <t>(based on prior month's undercollection)</t>
    </r>
  </si>
  <si>
    <r>
      <t xml:space="preserve">Initial Monthly Holdback 
</t>
    </r>
    <r>
      <rPr>
        <b/>
        <sz val="10"/>
        <color theme="1"/>
        <rFont val="Arial"/>
        <family val="2"/>
        <scheme val="minor"/>
      </rPr>
      <t>(based on expectation of additional undercollection)</t>
    </r>
  </si>
  <si>
    <t>Total Initial Monthly Holdback</t>
  </si>
  <si>
    <t>sum of both holdback columns</t>
  </si>
  <si>
    <t>Monthly charge minus total initial holdback</t>
  </si>
  <si>
    <t>Adjustments to March Billing -- True up March bonus credits based on actual collections from March bill</t>
  </si>
  <si>
    <t>Initial Total PJM Bonus Credits</t>
  </si>
  <si>
    <t>Updated Total PJM Bonus Credits</t>
  </si>
  <si>
    <t>Examples to illustrate allocation of monthly bonus holdback down to the interval level, as well as adjustments in subsequent billing statements.</t>
  </si>
  <si>
    <t>All values are fictitious and for illustrative purposes only.</t>
  </si>
  <si>
    <t>Non-payment</t>
  </si>
  <si>
    <t>Final Monthly Holdback Based on Actual Non-payment</t>
  </si>
  <si>
    <t>sum of allocated non-payment for each interval</t>
  </si>
  <si>
    <t>Monthly charge minus non-payment</t>
  </si>
  <si>
    <r>
      <t xml:space="preserve">Expected Monthly Bonus Holdback based on </t>
    </r>
    <r>
      <rPr>
        <sz val="11"/>
        <color theme="7"/>
        <rFont val="Arial"/>
        <family val="2"/>
        <scheme val="minor"/>
      </rPr>
      <t>Last Month's Non-payment</t>
    </r>
    <r>
      <rPr>
        <sz val="11"/>
        <color theme="1"/>
        <rFont val="Arial"/>
        <family val="2"/>
        <scheme val="minor"/>
      </rPr>
      <t xml:space="preserve"> of Charges</t>
    </r>
  </si>
  <si>
    <r>
      <t xml:space="preserve">Initial Monthly Holdback 
</t>
    </r>
    <r>
      <rPr>
        <b/>
        <sz val="10"/>
        <color theme="1"/>
        <rFont val="Arial"/>
        <family val="2"/>
        <scheme val="minor"/>
      </rPr>
      <t>(based on prior month's non-payment)</t>
    </r>
  </si>
  <si>
    <t>prior month's non-payment for the interval</t>
  </si>
  <si>
    <t>(interval-level monthly charge - prior month's non-payment) * additional holdback %</t>
  </si>
  <si>
    <t>sum of two holdback columns</t>
  </si>
  <si>
    <t>Following financial settlement of the March billing statement, identify which accounts, if any, underpaid their non-performance charges and by how much.</t>
  </si>
  <si>
    <t>Expected non-payment is used to calculate the initial monthly holdback for March which is used in the calculation of initial bonus credits included in the March billing statement. The expected non-payment is based solely on a risk assessment of the potential for non-payment.  This is the first month of billing for this performance assessment event; therefore there is no observed non-payment from prior months on which to base the holdback.</t>
  </si>
  <si>
    <t>total charges across all accounts for the interval</t>
  </si>
  <si>
    <t>amount not collected from the org * ratio share of org's charge for that interval to the sum of its charges in all intervals in the month</t>
  </si>
  <si>
    <t>Once the actual collection on non-performance charges from March is known, update the bonus holdback to reflect actual non-payment for each interval.  Recalculate the bonus credits using the actual holdback and issue adjustments to true up the bonus credits paid in March with the actual holdback.  This results in adjustments to March bonus credits on the April billing statement.</t>
  </si>
  <si>
    <t>The actual holdback is weighted more heavily in first 8 intervals in the updated bonus pay out than in initial bonus pay out because of where the defaulting org had charges</t>
  </si>
  <si>
    <t xml:space="preserve">Expected non-payment is used to calculate the initial monthly holdback for April, which is used in the calculation of initial bonus credits for April included in the April billing statement. In this example, the initial holdback is based on the observed non-payment that resulted from the March billing statement, plus additional risk of non-payment for the upcoming month based on the risk assessment. </t>
  </si>
  <si>
    <t>April bonus credits will then be adjusted in the May bill to true the credits up with the actual collection of non-performance charges from the April bill.</t>
  </si>
  <si>
    <r>
      <t>Initial Monthly Bonus Holdback based on</t>
    </r>
    <r>
      <rPr>
        <sz val="11"/>
        <color theme="7"/>
        <rFont val="Arial"/>
        <family val="2"/>
        <scheme val="minor"/>
      </rPr>
      <t xml:space="preserve"> Additional Expected </t>
    </r>
    <r>
      <rPr>
        <sz val="11"/>
        <color theme="1"/>
        <rFont val="Arial"/>
        <family val="2"/>
        <scheme val="minor"/>
      </rPr>
      <t>Undercollection</t>
    </r>
  </si>
  <si>
    <t>Additional undercollection beyond what occurred the prior month is expected</t>
  </si>
  <si>
    <r>
      <t xml:space="preserve">The billing statements are financially settled at the monthly level rather than the interval level.  However, non-payment needs to be identified at the interval level since PJM can only pay out as bonus credits the non-performance charges actually </t>
    </r>
    <r>
      <rPr>
        <u/>
        <sz val="11"/>
        <rFont val="Arial"/>
        <family val="2"/>
        <scheme val="minor"/>
      </rPr>
      <t>collected for each interval</t>
    </r>
    <r>
      <rPr>
        <sz val="11"/>
        <rFont val="Arial"/>
        <family val="2"/>
        <scheme val="minor"/>
      </rPr>
      <t>.  Allocate the monthly non-payment of non-performance charges by each org down to the intervals in which that org had non-performance charges (only the first 8 intervals).  These interval-level non-payments are then used to calculate actual holdback applied to the month of March in the April bill.</t>
    </r>
  </si>
  <si>
    <t>Monthly Non-Performance Charge Billing for Winter Storm Elliott Performance Assessment Intervals</t>
  </si>
  <si>
    <r>
      <t xml:space="preserve">This spreadsheet shows the total non-performance charges to be billed each month over the extended 9 month billing horizon for this performance assessment event.  The Total Monthy Charges </t>
    </r>
    <r>
      <rPr>
        <i/>
        <u/>
        <sz val="11"/>
        <color theme="1"/>
        <rFont val="Arial"/>
        <family val="2"/>
        <scheme val="minor"/>
      </rPr>
      <t>collected</t>
    </r>
    <r>
      <rPr>
        <i/>
        <sz val="11"/>
        <color theme="1"/>
        <rFont val="Arial"/>
        <family val="2"/>
        <scheme val="minor"/>
      </rPr>
      <t xml:space="preserve"> are distributed to overperforming resources on a monthly basis as bonus performance credits.  Bonus performance credits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pool of bonus credits is subject to change.</t>
    </r>
  </si>
  <si>
    <t>These values do not include the bonus holdback, which is used to account for expected or actual non-payment of non-performance charges.</t>
  </si>
  <si>
    <t>Levelized Interest</t>
  </si>
  <si>
    <t>Data as of 4/5/2023</t>
  </si>
  <si>
    <t>Additional 15% of bonus would be paid out in the April bill since collection was higher than expected</t>
  </si>
  <si>
    <r>
      <t xml:space="preserve">March Billing Statement (issued in April) -- </t>
    </r>
    <r>
      <rPr>
        <b/>
        <sz val="11"/>
        <color rgb="FFFF0000"/>
        <rFont val="Arial"/>
        <family val="2"/>
        <scheme val="minor"/>
      </rPr>
      <t>EXAMPLE ONLY</t>
    </r>
  </si>
  <si>
    <r>
      <t xml:space="preserve">April Billing Statement (issued in May) -- </t>
    </r>
    <r>
      <rPr>
        <b/>
        <sz val="11"/>
        <color rgb="FFFF0000"/>
        <rFont val="Arial"/>
        <family val="2"/>
        <scheme val="minor"/>
      </rPr>
      <t>EXAMPLE ONLY</t>
    </r>
  </si>
  <si>
    <r>
      <t xml:space="preserve">Initial April Billing - uses actual holdback from prior month for initial billing as a starting point -- </t>
    </r>
    <r>
      <rPr>
        <b/>
        <sz val="11"/>
        <color rgb="FFFF0000"/>
        <rFont val="Arial"/>
        <family val="2"/>
        <scheme val="minor"/>
      </rPr>
      <t>EXAMPLE ONLY</t>
    </r>
  </si>
  <si>
    <t>This calculator demonstrates how interest charges are being calculated for accounts that elected the 9 month billing option for the Winter Storm Elliott performance assessment event.</t>
  </si>
  <si>
    <t>Participants may use this to recalculate their interest charges by plugging their total non-performance charge into cell B5.</t>
  </si>
  <si>
    <r>
      <t xml:space="preserve">Levelized Interest
</t>
    </r>
    <r>
      <rPr>
        <sz val="10"/>
        <color theme="1"/>
        <rFont val="Arial"/>
        <family val="2"/>
        <scheme val="minor"/>
      </rPr>
      <t>(This amount will be included in Billing Line Item 1667: Non-Performance Charge on the billing statement each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</si>
</sst>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24" x14ac:knownFonts="1">
    <font>
      <sz val="11"/>
      <color theme="1"/>
      <name val="Arial"/>
      <family val="2"/>
      <scheme val="minor"/>
    </font>
    <font>
      <sz val="11"/>
      <color theme="1"/>
      <name val="Arial"/>
      <family val="2"/>
      <scheme val="minor"/>
    </font>
    <font>
      <b/>
      <sz val="11"/>
      <color theme="1"/>
      <name val="Arial"/>
      <family val="2"/>
      <scheme val="minor"/>
    </font>
    <font>
      <b/>
      <i/>
      <sz val="11"/>
      <color theme="1"/>
      <name val="Arial"/>
      <family val="2"/>
      <scheme val="minor"/>
    </font>
    <font>
      <sz val="11"/>
      <color rgb="FFFF0000"/>
      <name val="Arial"/>
      <family val="2"/>
      <scheme val="minor"/>
    </font>
    <font>
      <sz val="10"/>
      <color theme="1"/>
      <name val="Arial"/>
      <family val="2"/>
      <scheme val="minor"/>
    </font>
    <font>
      <b/>
      <sz val="12"/>
      <color theme="1"/>
      <name val="Arial"/>
      <family val="2"/>
      <scheme val="minor"/>
    </font>
    <font>
      <u val="singleAccounting"/>
      <sz val="11"/>
      <color rgb="FFFF0000"/>
      <name val="Arial"/>
      <family val="2"/>
      <scheme val="minor"/>
    </font>
    <font>
      <i/>
      <sz val="11"/>
      <color theme="1"/>
      <name val="Arial"/>
      <family val="2"/>
      <scheme val="minor"/>
    </font>
    <font>
      <sz val="10"/>
      <name val="Arial"/>
      <family val="2"/>
    </font>
    <font>
      <sz val="11"/>
      <name val="Arial"/>
      <family val="2"/>
      <scheme val="minor"/>
    </font>
    <font>
      <b/>
      <u/>
      <sz val="11"/>
      <color theme="1"/>
      <name val="Arial"/>
      <family val="2"/>
      <scheme val="minor"/>
    </font>
    <font>
      <sz val="11"/>
      <color rgb="FF00B050"/>
      <name val="Arial"/>
      <family val="2"/>
      <scheme val="minor"/>
    </font>
    <font>
      <sz val="9"/>
      <color theme="6"/>
      <name val="Arial"/>
      <family val="2"/>
      <scheme val="minor"/>
    </font>
    <font>
      <sz val="11"/>
      <color theme="6"/>
      <name val="Arial"/>
      <family val="2"/>
      <scheme val="minor"/>
    </font>
    <font>
      <sz val="10"/>
      <color theme="6"/>
      <name val="Arial"/>
      <family val="2"/>
      <scheme val="minor"/>
    </font>
    <font>
      <b/>
      <sz val="11"/>
      <name val="Arial"/>
      <family val="2"/>
      <scheme val="minor"/>
    </font>
    <font>
      <sz val="11"/>
      <color theme="7"/>
      <name val="Arial"/>
      <family val="2"/>
      <scheme val="minor"/>
    </font>
    <font>
      <b/>
      <sz val="10"/>
      <color theme="1"/>
      <name val="Arial"/>
      <family val="2"/>
      <scheme val="minor"/>
    </font>
    <font>
      <u/>
      <sz val="11"/>
      <name val="Arial"/>
      <family val="2"/>
      <scheme val="minor"/>
    </font>
    <font>
      <i/>
      <u/>
      <sz val="11"/>
      <color theme="1"/>
      <name val="Arial"/>
      <family val="2"/>
      <scheme val="minor"/>
    </font>
    <font>
      <b/>
      <i/>
      <sz val="11"/>
      <color rgb="FF00B050"/>
      <name val="Arial"/>
      <family val="2"/>
      <scheme val="minor"/>
    </font>
    <font>
      <b/>
      <sz val="11"/>
      <color rgb="FFFF0000"/>
      <name val="Arial"/>
      <family val="2"/>
      <scheme val="minor"/>
    </font>
    <font>
      <b/>
      <sz val="16"/>
      <color rgb="FFFF0000"/>
      <name val="Arial"/>
      <family val="2"/>
      <scheme val="minor"/>
    </font>
  </fonts>
  <fills count="9">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7" tint="0.59999389629810485"/>
        <bgColor indexed="64"/>
      </patternFill>
    </fill>
  </fills>
  <borders count="44">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rgb="FF00B050"/>
      </right>
      <top style="thin">
        <color indexed="64"/>
      </top>
      <bottom style="thin">
        <color indexed="64"/>
      </bottom>
      <diagonal/>
    </border>
    <border>
      <left style="thin">
        <color rgb="FF00B050"/>
      </left>
      <right style="thin">
        <color indexed="64"/>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style="thin">
        <color rgb="FF00B050"/>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B050"/>
      </right>
      <top/>
      <bottom style="thin">
        <color indexed="64"/>
      </bottom>
      <diagonal/>
    </border>
    <border>
      <left/>
      <right style="thin">
        <color rgb="FF00B050"/>
      </right>
      <top/>
      <bottom style="thin">
        <color rgb="FF00B050"/>
      </bottom>
      <diagonal/>
    </border>
    <border>
      <left style="thin">
        <color rgb="FF00B050"/>
      </left>
      <right style="thin">
        <color indexed="64"/>
      </right>
      <top/>
      <bottom style="thin">
        <color indexed="64"/>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style="thin">
        <color indexed="64"/>
      </right>
      <top style="thin">
        <color indexed="64"/>
      </top>
      <bottom style="thin">
        <color indexed="64"/>
      </bottom>
      <diagonal/>
    </border>
    <border>
      <left style="medium">
        <color theme="5"/>
      </left>
      <right style="thin">
        <color indexed="64"/>
      </right>
      <top style="thin">
        <color indexed="64"/>
      </top>
      <bottom style="medium">
        <color indexed="64"/>
      </bottom>
      <diagonal/>
    </border>
    <border>
      <left style="medium">
        <color theme="5"/>
      </left>
      <right style="thin">
        <color indexed="64"/>
      </right>
      <top/>
      <bottom style="thin">
        <color indexed="64"/>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style="thin">
        <color indexed="64"/>
      </right>
      <top style="thin">
        <color indexed="64"/>
      </top>
      <bottom style="thin">
        <color indexed="64"/>
      </bottom>
      <diagonal/>
    </border>
    <border>
      <left style="medium">
        <color theme="6"/>
      </left>
      <right style="thin">
        <color indexed="64"/>
      </right>
      <top style="thin">
        <color indexed="64"/>
      </top>
      <bottom style="medium">
        <color indexed="64"/>
      </bottom>
      <diagonal/>
    </border>
    <border>
      <left style="medium">
        <color theme="6"/>
      </left>
      <right style="thin">
        <color indexed="64"/>
      </right>
      <top/>
      <bottom style="thin">
        <color indexed="64"/>
      </bottom>
      <diagonal/>
    </border>
    <border>
      <left style="medium">
        <color theme="6"/>
      </left>
      <right style="thin">
        <color indexed="64"/>
      </right>
      <top style="thin">
        <color indexed="64"/>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right style="medium">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17" fontId="0" fillId="0" borderId="0" xfId="0" applyNumberFormat="1" applyAlignment="1">
      <alignment horizontal="center"/>
    </xf>
    <xf numFmtId="0" fontId="0" fillId="0" borderId="0" xfId="0" applyAlignment="1">
      <alignment horizontal="center"/>
    </xf>
    <xf numFmtId="44" fontId="0" fillId="0" borderId="0" xfId="2" applyFont="1"/>
    <xf numFmtId="44" fontId="0" fillId="0" borderId="0" xfId="0" applyNumberFormat="1"/>
    <xf numFmtId="0" fontId="3" fillId="0" borderId="0" xfId="0" applyFont="1"/>
    <xf numFmtId="0" fontId="2" fillId="0" borderId="0" xfId="0" applyFont="1"/>
    <xf numFmtId="0" fontId="0" fillId="0" borderId="0" xfId="0" applyFill="1"/>
    <xf numFmtId="44" fontId="0" fillId="0" borderId="0" xfId="0" applyNumberFormat="1" applyFill="1"/>
    <xf numFmtId="44" fontId="0" fillId="0" borderId="0" xfId="2" applyFont="1" applyFill="1"/>
    <xf numFmtId="44" fontId="0" fillId="2" borderId="0" xfId="2" applyFont="1" applyFill="1"/>
    <xf numFmtId="0" fontId="4" fillId="0" borderId="0" xfId="0" applyFont="1"/>
    <xf numFmtId="0" fontId="6" fillId="0" borderId="0" xfId="0" applyFont="1"/>
    <xf numFmtId="0" fontId="0" fillId="0" borderId="0" xfId="0" applyFill="1" applyAlignment="1">
      <alignment wrapText="1"/>
    </xf>
    <xf numFmtId="0" fontId="0" fillId="0" borderId="0" xfId="0" applyAlignment="1">
      <alignment wrapText="1"/>
    </xf>
    <xf numFmtId="0" fontId="3" fillId="0" borderId="0" xfId="0" applyFont="1" applyAlignment="1">
      <alignment horizontal="center"/>
    </xf>
    <xf numFmtId="17" fontId="3" fillId="0" borderId="0" xfId="0" applyNumberFormat="1" applyFont="1" applyAlignment="1">
      <alignment horizontal="center"/>
    </xf>
    <xf numFmtId="0" fontId="4" fillId="0" borderId="0" xfId="0" applyFont="1" applyFill="1"/>
    <xf numFmtId="44" fontId="7" fillId="0" borderId="0" xfId="2" applyFont="1" applyFill="1"/>
    <xf numFmtId="0" fontId="0" fillId="2" borderId="0" xfId="0" applyFill="1"/>
    <xf numFmtId="44" fontId="0" fillId="2" borderId="1" xfId="0" applyNumberFormat="1" applyFill="1" applyBorder="1"/>
    <xf numFmtId="0" fontId="2" fillId="0" borderId="2" xfId="0" applyFont="1" applyBorder="1"/>
    <xf numFmtId="43" fontId="2" fillId="0" borderId="3" xfId="1" applyFont="1" applyBorder="1"/>
    <xf numFmtId="0" fontId="8" fillId="0" borderId="0" xfId="0" applyFont="1"/>
    <xf numFmtId="0" fontId="0" fillId="0" borderId="0" xfId="0" applyAlignment="1">
      <alignment horizontal="right"/>
    </xf>
    <xf numFmtId="1" fontId="0" fillId="0" borderId="0" xfId="0" applyNumberFormat="1"/>
    <xf numFmtId="0" fontId="0" fillId="0" borderId="0" xfId="0"/>
    <xf numFmtId="10" fontId="9" fillId="0" borderId="0" xfId="0" applyNumberFormat="1" applyFont="1" applyFill="1" applyAlignment="1">
      <alignment horizontal="left"/>
    </xf>
    <xf numFmtId="14" fontId="0" fillId="0" borderId="0" xfId="0" applyNumberFormat="1"/>
    <xf numFmtId="14" fontId="10" fillId="0" borderId="0" xfId="0" applyNumberFormat="1" applyFont="1"/>
    <xf numFmtId="43" fontId="0" fillId="0" borderId="0" xfId="1" applyFont="1"/>
    <xf numFmtId="43" fontId="0" fillId="0" borderId="0" xfId="1" applyFont="1" applyFill="1"/>
    <xf numFmtId="0" fontId="2" fillId="0" borderId="0" xfId="0" applyFont="1" applyBorder="1" applyAlignment="1">
      <alignment horizontal="center"/>
    </xf>
    <xf numFmtId="0" fontId="0" fillId="0" borderId="0" xfId="0" applyBorder="1"/>
    <xf numFmtId="17" fontId="0" fillId="0" borderId="0" xfId="0" quotePrefix="1" applyNumberFormat="1"/>
    <xf numFmtId="4" fontId="0" fillId="0" borderId="0" xfId="0" applyNumberFormat="1" applyFill="1"/>
    <xf numFmtId="10" fontId="10" fillId="0" borderId="0" xfId="0" applyNumberFormat="1" applyFont="1"/>
    <xf numFmtId="43" fontId="0" fillId="0" borderId="0" xfId="0" applyNumberFormat="1" applyFill="1"/>
    <xf numFmtId="0" fontId="11" fillId="0" borderId="0" xfId="0" applyFont="1" applyAlignment="1">
      <alignment horizontal="center"/>
    </xf>
    <xf numFmtId="0" fontId="2" fillId="0" borderId="0" xfId="0" applyFont="1" applyAlignment="1">
      <alignment horizontal="right"/>
    </xf>
    <xf numFmtId="0" fontId="11" fillId="0" borderId="0" xfId="0" applyFont="1" applyBorder="1" applyAlignment="1">
      <alignment horizontal="center"/>
    </xf>
    <xf numFmtId="43" fontId="0" fillId="0" borderId="0" xfId="1" applyFont="1" applyBorder="1"/>
    <xf numFmtId="44" fontId="2" fillId="3" borderId="0" xfId="0" applyNumberFormat="1" applyFont="1" applyFill="1" applyBorder="1"/>
    <xf numFmtId="10" fontId="0" fillId="0" borderId="0" xfId="0" applyNumberFormat="1"/>
    <xf numFmtId="0" fontId="11" fillId="0" borderId="0" xfId="0" applyFont="1"/>
    <xf numFmtId="44" fontId="0" fillId="0" borderId="0" xfId="2" applyFont="1" applyFill="1" applyBorder="1"/>
    <xf numFmtId="0" fontId="2" fillId="0" borderId="5" xfId="0" applyFont="1" applyBorder="1"/>
    <xf numFmtId="0" fontId="2" fillId="0" borderId="5" xfId="0" applyFont="1" applyBorder="1" applyAlignment="1">
      <alignment wrapText="1"/>
    </xf>
    <xf numFmtId="0" fontId="2" fillId="0" borderId="5" xfId="0" applyFont="1" applyFill="1" applyBorder="1" applyAlignment="1">
      <alignment wrapText="1"/>
    </xf>
    <xf numFmtId="0" fontId="13" fillId="0" borderId="5" xfId="0" applyFont="1" applyBorder="1" applyAlignment="1">
      <alignment wrapText="1"/>
    </xf>
    <xf numFmtId="0" fontId="15" fillId="0" borderId="5" xfId="0" applyFont="1" applyBorder="1" applyAlignment="1">
      <alignment wrapText="1"/>
    </xf>
    <xf numFmtId="164" fontId="0" fillId="4" borderId="5" xfId="2" applyNumberFormat="1" applyFont="1" applyFill="1" applyBorder="1"/>
    <xf numFmtId="164" fontId="0" fillId="0" borderId="5" xfId="0" applyNumberFormat="1" applyBorder="1"/>
    <xf numFmtId="164" fontId="0" fillId="0" borderId="6" xfId="0" applyNumberFormat="1" applyBorder="1"/>
    <xf numFmtId="164" fontId="2" fillId="0" borderId="7" xfId="0" applyNumberFormat="1" applyFont="1" applyBorder="1"/>
    <xf numFmtId="0" fontId="4" fillId="0" borderId="0" xfId="0" applyFont="1" applyBorder="1" applyAlignment="1">
      <alignment horizontal="center" vertical="top" wrapText="1"/>
    </xf>
    <xf numFmtId="0" fontId="4" fillId="0" borderId="0" xfId="0" applyFont="1" applyBorder="1" applyAlignment="1">
      <alignment wrapText="1"/>
    </xf>
    <xf numFmtId="0" fontId="0" fillId="0" borderId="12" xfId="0" applyBorder="1"/>
    <xf numFmtId="0" fontId="0" fillId="5" borderId="0" xfId="0" applyFill="1" applyBorder="1"/>
    <xf numFmtId="0" fontId="0" fillId="0" borderId="0" xfId="0" applyFill="1" applyBorder="1"/>
    <xf numFmtId="44" fontId="0" fillId="0" borderId="0" xfId="0" applyNumberFormat="1" applyFill="1" applyBorder="1"/>
    <xf numFmtId="164" fontId="10" fillId="4" borderId="5" xfId="2" applyNumberFormat="1" applyFont="1" applyFill="1" applyBorder="1"/>
    <xf numFmtId="164" fontId="10" fillId="4" borderId="6" xfId="2" applyNumberFormat="1" applyFont="1" applyFill="1" applyBorder="1"/>
    <xf numFmtId="164" fontId="16" fillId="0" borderId="7" xfId="0" applyNumberFormat="1" applyFont="1" applyBorder="1"/>
    <xf numFmtId="164" fontId="10" fillId="0" borderId="5" xfId="2" applyNumberFormat="1" applyFont="1" applyFill="1" applyBorder="1"/>
    <xf numFmtId="164" fontId="10" fillId="0" borderId="6" xfId="2" applyNumberFormat="1" applyFont="1" applyFill="1" applyBorder="1"/>
    <xf numFmtId="9" fontId="12" fillId="0" borderId="4" xfId="3" applyFont="1" applyFill="1" applyBorder="1"/>
    <xf numFmtId="44" fontId="17" fillId="0" borderId="5" xfId="2" applyFont="1" applyFill="1" applyBorder="1"/>
    <xf numFmtId="44" fontId="17" fillId="0" borderId="6" xfId="2" applyFont="1" applyFill="1" applyBorder="1"/>
    <xf numFmtId="164" fontId="0" fillId="0" borderId="5" xfId="2" applyNumberFormat="1" applyFont="1" applyFill="1" applyBorder="1"/>
    <xf numFmtId="164" fontId="10" fillId="0" borderId="5" xfId="0" applyNumberFormat="1" applyFont="1" applyFill="1" applyBorder="1"/>
    <xf numFmtId="164" fontId="0" fillId="0" borderId="6" xfId="2" applyNumberFormat="1" applyFont="1" applyFill="1" applyBorder="1"/>
    <xf numFmtId="164" fontId="10" fillId="0" borderId="6" xfId="0" applyNumberFormat="1" applyFont="1" applyFill="1" applyBorder="1"/>
    <xf numFmtId="0" fontId="17" fillId="0" borderId="0" xfId="0" applyFont="1" applyBorder="1" applyAlignment="1">
      <alignment horizontal="center" vertical="top" wrapText="1"/>
    </xf>
    <xf numFmtId="0" fontId="10" fillId="0" borderId="0" xfId="0" applyFont="1"/>
    <xf numFmtId="0" fontId="4" fillId="6" borderId="0" xfId="0" applyFont="1" applyFill="1" applyBorder="1" applyAlignment="1">
      <alignment wrapText="1"/>
    </xf>
    <xf numFmtId="0" fontId="0" fillId="0" borderId="0" xfId="0" applyBorder="1" applyAlignment="1">
      <alignment horizontal="center" vertical="top"/>
    </xf>
    <xf numFmtId="0" fontId="2" fillId="7" borderId="17" xfId="0" applyFont="1" applyFill="1" applyBorder="1"/>
    <xf numFmtId="0" fontId="2" fillId="7" borderId="18" xfId="0" applyFont="1" applyFill="1" applyBorder="1"/>
    <xf numFmtId="0" fontId="2" fillId="7" borderId="19" xfId="0" applyFont="1" applyFill="1" applyBorder="1"/>
    <xf numFmtId="0" fontId="2" fillId="0" borderId="22" xfId="0" applyFont="1" applyBorder="1" applyAlignment="1">
      <alignment horizontal="right"/>
    </xf>
    <xf numFmtId="0" fontId="0" fillId="0" borderId="21" xfId="0" applyBorder="1"/>
    <xf numFmtId="0" fontId="2" fillId="0" borderId="22" xfId="0" applyFont="1" applyBorder="1"/>
    <xf numFmtId="0" fontId="0" fillId="0" borderId="22" xfId="0" applyBorder="1"/>
    <xf numFmtId="0" fontId="0" fillId="0" borderId="23" xfId="0" applyBorder="1"/>
    <xf numFmtId="0" fontId="2" fillId="0" borderId="24" xfId="0" applyFont="1" applyBorder="1"/>
    <xf numFmtId="0" fontId="0" fillId="0" borderId="20" xfId="0" applyBorder="1"/>
    <xf numFmtId="0" fontId="0" fillId="0" borderId="25" xfId="0" applyBorder="1"/>
    <xf numFmtId="0" fontId="0" fillId="0" borderId="26" xfId="0" applyBorder="1"/>
    <xf numFmtId="0" fontId="0" fillId="0" borderId="27" xfId="0" applyBorder="1"/>
    <xf numFmtId="0" fontId="2" fillId="7" borderId="20" xfId="0" applyFont="1" applyFill="1" applyBorder="1"/>
    <xf numFmtId="0" fontId="2" fillId="7" borderId="0" xfId="0" applyFont="1" applyFill="1" applyBorder="1"/>
    <xf numFmtId="0" fontId="2" fillId="7" borderId="21" xfId="0" applyFont="1" applyFill="1" applyBorder="1"/>
    <xf numFmtId="0" fontId="2" fillId="6" borderId="20" xfId="0" applyFont="1" applyFill="1" applyBorder="1"/>
    <xf numFmtId="0" fontId="2" fillId="6" borderId="0" xfId="0" applyFont="1" applyFill="1" applyBorder="1"/>
    <xf numFmtId="9" fontId="12" fillId="0" borderId="0" xfId="3" applyFont="1" applyFill="1" applyBorder="1"/>
    <xf numFmtId="0" fontId="0" fillId="6" borderId="0" xfId="0" applyFill="1" applyBorder="1"/>
    <xf numFmtId="0" fontId="0" fillId="6" borderId="21" xfId="0" applyFill="1" applyBorder="1"/>
    <xf numFmtId="44" fontId="10" fillId="0" borderId="0" xfId="2" applyFont="1" applyBorder="1"/>
    <xf numFmtId="44" fontId="17" fillId="0" borderId="0" xfId="2" applyFont="1" applyFill="1" applyBorder="1"/>
    <xf numFmtId="9" fontId="0" fillId="0" borderId="0" xfId="3" applyFont="1" applyBorder="1"/>
    <xf numFmtId="0" fontId="14" fillId="0" borderId="0" xfId="0" applyFont="1" applyBorder="1"/>
    <xf numFmtId="0" fontId="10" fillId="0" borderId="0" xfId="0" applyFont="1" applyBorder="1"/>
    <xf numFmtId="44" fontId="2" fillId="0" borderId="0" xfId="0" applyNumberFormat="1" applyFont="1" applyFill="1" applyBorder="1"/>
    <xf numFmtId="0" fontId="2" fillId="0" borderId="0" xfId="0" applyFont="1" applyBorder="1"/>
    <xf numFmtId="44" fontId="0" fillId="0" borderId="0" xfId="2" applyFont="1" applyBorder="1"/>
    <xf numFmtId="44" fontId="0" fillId="0" borderId="0" xfId="0" applyNumberFormat="1" applyBorder="1"/>
    <xf numFmtId="0" fontId="2" fillId="6" borderId="28" xfId="0" applyFont="1" applyFill="1" applyBorder="1"/>
    <xf numFmtId="0" fontId="2" fillId="6" borderId="29" xfId="0" applyFont="1" applyFill="1" applyBorder="1"/>
    <xf numFmtId="0" fontId="2" fillId="6" borderId="30" xfId="0" applyFont="1" applyFill="1" applyBorder="1"/>
    <xf numFmtId="0" fontId="2" fillId="6" borderId="31" xfId="0" applyFont="1" applyFill="1" applyBorder="1"/>
    <xf numFmtId="0" fontId="2" fillId="6" borderId="32" xfId="0" applyFont="1" applyFill="1" applyBorder="1"/>
    <xf numFmtId="0" fontId="0" fillId="0" borderId="31" xfId="0" applyBorder="1"/>
    <xf numFmtId="0" fontId="0" fillId="0" borderId="32" xfId="0" applyBorder="1"/>
    <xf numFmtId="0" fontId="0" fillId="6" borderId="32" xfId="0" applyFill="1" applyBorder="1"/>
    <xf numFmtId="0" fontId="2" fillId="0" borderId="33" xfId="0" applyFont="1" applyBorder="1" applyAlignment="1">
      <alignment horizontal="right"/>
    </xf>
    <xf numFmtId="0" fontId="2" fillId="0" borderId="33" xfId="0" applyFont="1" applyBorder="1"/>
    <xf numFmtId="0" fontId="0" fillId="0" borderId="33" xfId="0" applyBorder="1"/>
    <xf numFmtId="0" fontId="0" fillId="0" borderId="34" xfId="0" applyBorder="1"/>
    <xf numFmtId="0" fontId="2" fillId="0" borderId="35" xfId="0" applyFont="1" applyBorder="1"/>
    <xf numFmtId="0" fontId="0" fillId="0" borderId="35" xfId="0" applyBorder="1"/>
    <xf numFmtId="0" fontId="0" fillId="0" borderId="36" xfId="0" applyBorder="1"/>
    <xf numFmtId="0" fontId="2" fillId="0" borderId="31" xfId="0" applyFont="1" applyBorder="1"/>
    <xf numFmtId="0" fontId="0" fillId="0" borderId="37" xfId="0" applyBorder="1"/>
    <xf numFmtId="0" fontId="0" fillId="0" borderId="38" xfId="0" applyBorder="1"/>
    <xf numFmtId="44" fontId="10" fillId="0" borderId="38" xfId="2" applyFont="1" applyBorder="1"/>
    <xf numFmtId="44" fontId="17" fillId="0" borderId="38" xfId="2" applyFont="1" applyFill="1" applyBorder="1"/>
    <xf numFmtId="0" fontId="0" fillId="0" borderId="39" xfId="0" applyBorder="1"/>
    <xf numFmtId="0" fontId="2" fillId="0" borderId="20" xfId="0" applyFont="1" applyBorder="1"/>
    <xf numFmtId="164" fontId="2" fillId="0" borderId="0" xfId="0" applyNumberFormat="1" applyFont="1" applyBorder="1"/>
    <xf numFmtId="164" fontId="16" fillId="0" borderId="0" xfId="0" applyNumberFormat="1" applyFont="1" applyBorder="1"/>
    <xf numFmtId="0" fontId="2" fillId="5" borderId="20" xfId="0" applyFont="1" applyFill="1" applyBorder="1"/>
    <xf numFmtId="0" fontId="0" fillId="5" borderId="21" xfId="0" applyFill="1" applyBorder="1"/>
    <xf numFmtId="0" fontId="2" fillId="0" borderId="20" xfId="0" applyFont="1" applyFill="1" applyBorder="1"/>
    <xf numFmtId="44" fontId="0" fillId="0" borderId="40" xfId="2" applyFont="1" applyFill="1" applyBorder="1"/>
    <xf numFmtId="164" fontId="17" fillId="0" borderId="5" xfId="2" applyNumberFormat="1" applyFont="1" applyFill="1" applyBorder="1"/>
    <xf numFmtId="164" fontId="17" fillId="0" borderId="6" xfId="2" applyNumberFormat="1" applyFont="1" applyFill="1" applyBorder="1"/>
    <xf numFmtId="0" fontId="3" fillId="0" borderId="20" xfId="0" applyFont="1" applyBorder="1"/>
    <xf numFmtId="0" fontId="2" fillId="8" borderId="20" xfId="0" applyFont="1" applyFill="1" applyBorder="1"/>
    <xf numFmtId="0" fontId="0" fillId="8" borderId="0" xfId="0" applyFill="1" applyBorder="1"/>
    <xf numFmtId="0" fontId="0" fillId="8" borderId="21" xfId="0" applyFill="1" applyBorder="1"/>
    <xf numFmtId="0" fontId="13" fillId="0" borderId="0" xfId="0" applyFont="1" applyBorder="1" applyAlignment="1"/>
    <xf numFmtId="0" fontId="17" fillId="0" borderId="21" xfId="0" applyFont="1" applyBorder="1"/>
    <xf numFmtId="0" fontId="0" fillId="0" borderId="20" xfId="0" applyBorder="1" applyAlignment="1">
      <alignment wrapText="1"/>
    </xf>
    <xf numFmtId="0" fontId="17" fillId="0" borderId="0" xfId="0" applyFont="1" applyBorder="1" applyAlignment="1">
      <alignment wrapText="1"/>
    </xf>
    <xf numFmtId="9" fontId="0" fillId="0" borderId="0" xfId="0" applyNumberFormat="1"/>
    <xf numFmtId="44" fontId="12" fillId="0" borderId="5" xfId="2" applyFont="1" applyBorder="1"/>
    <xf numFmtId="44" fontId="17" fillId="0" borderId="13" xfId="2" applyFont="1" applyFill="1" applyBorder="1"/>
    <xf numFmtId="44" fontId="0" fillId="0" borderId="14" xfId="2" applyFont="1" applyFill="1" applyBorder="1"/>
    <xf numFmtId="44" fontId="12" fillId="0" borderId="15" xfId="2" applyFont="1" applyFill="1" applyBorder="1"/>
    <xf numFmtId="44" fontId="0" fillId="0" borderId="16" xfId="0" applyNumberFormat="1" applyFill="1" applyBorder="1"/>
    <xf numFmtId="44" fontId="0" fillId="0" borderId="8" xfId="2" applyFont="1" applyFill="1" applyBorder="1"/>
    <xf numFmtId="44" fontId="12" fillId="0" borderId="10" xfId="2" applyFont="1" applyFill="1" applyBorder="1"/>
    <xf numFmtId="44" fontId="0" fillId="0" borderId="11" xfId="0" applyNumberFormat="1" applyFill="1" applyBorder="1"/>
    <xf numFmtId="44" fontId="0" fillId="0" borderId="9" xfId="0" applyNumberFormat="1" applyFill="1" applyBorder="1"/>
    <xf numFmtId="44" fontId="2" fillId="0" borderId="7" xfId="0" applyNumberFormat="1" applyFont="1" applyFill="1" applyBorder="1"/>
    <xf numFmtId="0" fontId="10" fillId="5" borderId="20" xfId="0" applyFont="1" applyFill="1" applyBorder="1" applyAlignment="1">
      <alignment horizontal="left" wrapText="1"/>
    </xf>
    <xf numFmtId="0" fontId="10" fillId="5" borderId="0" xfId="0" applyFont="1" applyFill="1" applyBorder="1" applyAlignment="1">
      <alignment horizontal="left" wrapText="1"/>
    </xf>
    <xf numFmtId="0" fontId="10" fillId="5" borderId="21" xfId="0" applyFont="1" applyFill="1" applyBorder="1" applyAlignment="1">
      <alignment horizontal="left" wrapText="1"/>
    </xf>
    <xf numFmtId="0" fontId="10" fillId="6" borderId="31" xfId="0" applyFont="1" applyFill="1" applyBorder="1" applyAlignment="1">
      <alignment horizontal="left" wrapText="1"/>
    </xf>
    <xf numFmtId="0" fontId="10" fillId="6" borderId="0" xfId="0" applyFont="1" applyFill="1" applyBorder="1" applyAlignment="1">
      <alignment horizontal="left" wrapText="1"/>
    </xf>
    <xf numFmtId="0" fontId="10" fillId="6" borderId="32" xfId="0" applyFont="1" applyFill="1" applyBorder="1" applyAlignment="1">
      <alignment horizontal="left" wrapText="1"/>
    </xf>
    <xf numFmtId="0" fontId="10" fillId="6" borderId="20" xfId="0" applyFont="1" applyFill="1" applyBorder="1" applyAlignment="1">
      <alignment horizontal="left" wrapText="1"/>
    </xf>
    <xf numFmtId="0" fontId="10" fillId="6" borderId="21" xfId="0" applyFont="1" applyFill="1" applyBorder="1" applyAlignment="1">
      <alignment horizontal="left" wrapText="1"/>
    </xf>
    <xf numFmtId="0" fontId="21" fillId="0" borderId="0" xfId="0" applyFont="1"/>
    <xf numFmtId="44" fontId="13" fillId="0" borderId="0" xfId="2" applyFont="1" applyAlignment="1"/>
    <xf numFmtId="0" fontId="23" fillId="0" borderId="41" xfId="0" applyFont="1" applyBorder="1"/>
    <xf numFmtId="0" fontId="0" fillId="0" borderId="42" xfId="0" applyBorder="1"/>
    <xf numFmtId="0" fontId="0" fillId="0" borderId="43" xfId="0"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1295400</xdr:colOff>
      <xdr:row>36</xdr:row>
      <xdr:rowOff>123825</xdr:rowOff>
    </xdr:from>
    <xdr:to>
      <xdr:col>3</xdr:col>
      <xdr:colOff>1304925</xdr:colOff>
      <xdr:row>45</xdr:row>
      <xdr:rowOff>95250</xdr:rowOff>
    </xdr:to>
    <xdr:cxnSp macro="">
      <xdr:nvCxnSpPr>
        <xdr:cNvPr id="3" name="Straight Arrow Connector 2"/>
        <xdr:cNvCxnSpPr/>
      </xdr:nvCxnSpPr>
      <xdr:spPr>
        <a:xfrm flipH="1">
          <a:off x="6362700" y="7562850"/>
          <a:ext cx="9525" cy="1743075"/>
        </a:xfrm>
        <a:prstGeom prst="straightConnector1">
          <a:avLst/>
        </a:prstGeom>
        <a:ln w="19050">
          <a:headEnd type="oval" w="med" len="med"/>
          <a:tailEnd type="triangle" w="med" len="med"/>
        </a:ln>
      </xdr:spPr>
      <xdr:style>
        <a:lnRef idx="1">
          <a:schemeClr val="accent4"/>
        </a:lnRef>
        <a:fillRef idx="0">
          <a:schemeClr val="accent4"/>
        </a:fillRef>
        <a:effectRef idx="0">
          <a:schemeClr val="accent4"/>
        </a:effectRef>
        <a:fontRef idx="minor">
          <a:schemeClr val="tx1"/>
        </a:fontRef>
      </xdr:style>
    </xdr:cxnSp>
    <xdr:clientData/>
  </xdr:twoCellAnchor>
</xdr:wsDr>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C18" sqref="C18"/>
    </sheetView>
  </sheetViews>
  <sheetFormatPr defaultRowHeight="14.25" x14ac:dyDescent="0.2"/>
  <cols>
    <col min="1" max="1" width="43.875" style="26" bestFit="1" customWidth="1"/>
    <col min="2" max="2" width="17.375" style="26" bestFit="1" customWidth="1"/>
    <col min="3" max="3" width="15.625" style="26" bestFit="1" customWidth="1"/>
    <col min="4" max="5" width="15.5" style="26" bestFit="1" customWidth="1"/>
    <col min="6" max="6" width="15.625" style="26" bestFit="1" customWidth="1"/>
    <col min="7" max="11" width="15.5" style="26" bestFit="1" customWidth="1"/>
    <col min="12" max="13" width="17.125" style="26" bestFit="1" customWidth="1"/>
    <col min="14" max="16384" width="9" style="26"/>
  </cols>
  <sheetData>
    <row r="1" spans="1:12" ht="15" x14ac:dyDescent="0.25">
      <c r="A1" s="6" t="s">
        <v>98</v>
      </c>
    </row>
    <row r="2" spans="1:12" x14ac:dyDescent="0.2">
      <c r="A2" s="23" t="s">
        <v>99</v>
      </c>
    </row>
    <row r="3" spans="1:12" x14ac:dyDescent="0.2">
      <c r="A3" s="23" t="s">
        <v>100</v>
      </c>
    </row>
    <row r="4" spans="1:12" x14ac:dyDescent="0.2">
      <c r="A4" s="23"/>
    </row>
    <row r="5" spans="1:12" ht="15" thickBot="1" x14ac:dyDescent="0.25">
      <c r="B5" s="30"/>
    </row>
    <row r="6" spans="1:12" ht="15.75" thickBot="1" x14ac:dyDescent="0.3">
      <c r="A6" s="21" t="s">
        <v>0</v>
      </c>
      <c r="B6" s="22">
        <v>1817694726.99</v>
      </c>
    </row>
    <row r="7" spans="1:12" x14ac:dyDescent="0.2">
      <c r="A7" s="5"/>
      <c r="B7" s="145"/>
    </row>
    <row r="9" spans="1:12" x14ac:dyDescent="0.2">
      <c r="A9" s="15"/>
      <c r="B9" s="15"/>
      <c r="C9" s="16">
        <v>44986</v>
      </c>
      <c r="D9" s="16">
        <v>45017</v>
      </c>
      <c r="E9" s="16">
        <v>45047</v>
      </c>
      <c r="F9" s="16">
        <v>45078</v>
      </c>
      <c r="G9" s="16">
        <v>45108</v>
      </c>
      <c r="H9" s="16">
        <v>45139</v>
      </c>
      <c r="I9" s="16">
        <v>45170</v>
      </c>
      <c r="J9" s="16">
        <v>45200</v>
      </c>
      <c r="K9" s="16">
        <v>45231</v>
      </c>
      <c r="L9" s="5"/>
    </row>
    <row r="10" spans="1:12" x14ac:dyDescent="0.2">
      <c r="A10" s="15" t="s">
        <v>1</v>
      </c>
      <c r="B10" s="15" t="s">
        <v>5</v>
      </c>
      <c r="C10" s="15" t="s">
        <v>2</v>
      </c>
      <c r="D10" s="15" t="s">
        <v>2</v>
      </c>
      <c r="E10" s="15" t="s">
        <v>2</v>
      </c>
      <c r="F10" s="15" t="s">
        <v>2</v>
      </c>
      <c r="G10" s="15" t="s">
        <v>2</v>
      </c>
      <c r="H10" s="15" t="s">
        <v>2</v>
      </c>
      <c r="I10" s="15" t="s">
        <v>2</v>
      </c>
      <c r="J10" s="15" t="s">
        <v>2</v>
      </c>
      <c r="K10" s="15" t="s">
        <v>2</v>
      </c>
      <c r="L10" s="15" t="s">
        <v>7</v>
      </c>
    </row>
    <row r="12" spans="1:12" x14ac:dyDescent="0.2">
      <c r="A12" s="26" t="s">
        <v>3</v>
      </c>
      <c r="B12" s="3">
        <v>538763609.53999901</v>
      </c>
      <c r="C12" s="3">
        <f>B12/3</f>
        <v>179587869.84666634</v>
      </c>
      <c r="D12" s="3">
        <f>C12</f>
        <v>179587869.84666634</v>
      </c>
      <c r="E12" s="3">
        <f>D12</f>
        <v>179587869.84666634</v>
      </c>
      <c r="F12" s="3"/>
      <c r="G12" s="3"/>
      <c r="H12" s="3"/>
      <c r="I12" s="3"/>
      <c r="J12" s="3"/>
      <c r="K12" s="3"/>
      <c r="L12" s="3">
        <f>SUM(C12:K12)</f>
        <v>538763609.53999901</v>
      </c>
    </row>
    <row r="13" spans="1:12" x14ac:dyDescent="0.2">
      <c r="B13" s="3"/>
      <c r="C13" s="3"/>
      <c r="D13" s="3"/>
      <c r="E13" s="3"/>
      <c r="F13" s="3"/>
      <c r="G13" s="3"/>
      <c r="H13" s="3"/>
      <c r="I13" s="3"/>
      <c r="J13" s="3"/>
      <c r="K13" s="3"/>
      <c r="L13" s="3"/>
    </row>
    <row r="14" spans="1:12" x14ac:dyDescent="0.2">
      <c r="A14" s="26" t="s">
        <v>4</v>
      </c>
      <c r="B14" s="105">
        <v>1278931117.45</v>
      </c>
      <c r="C14" s="3">
        <f>B14/9</f>
        <v>142103457.49444446</v>
      </c>
      <c r="D14" s="3">
        <f>C14</f>
        <v>142103457.49444446</v>
      </c>
      <c r="E14" s="3">
        <f>D14</f>
        <v>142103457.49444446</v>
      </c>
      <c r="F14" s="3">
        <f t="shared" ref="F14:K16" si="0">E14</f>
        <v>142103457.49444446</v>
      </c>
      <c r="G14" s="3">
        <f t="shared" si="0"/>
        <v>142103457.49444446</v>
      </c>
      <c r="H14" s="3">
        <f t="shared" si="0"/>
        <v>142103457.49444446</v>
      </c>
      <c r="I14" s="3">
        <f t="shared" si="0"/>
        <v>142103457.49444446</v>
      </c>
      <c r="J14" s="3">
        <f t="shared" si="0"/>
        <v>142103457.49444446</v>
      </c>
      <c r="K14" s="3">
        <f t="shared" si="0"/>
        <v>142103457.49444446</v>
      </c>
      <c r="L14" s="3">
        <f>SUM(C14:K14)</f>
        <v>1278931117.45</v>
      </c>
    </row>
    <row r="15" spans="1:12" s="7" customFormat="1" ht="16.5" x14ac:dyDescent="0.35">
      <c r="A15" s="17" t="s">
        <v>101</v>
      </c>
      <c r="B15" s="18">
        <v>15378552.967411101</v>
      </c>
      <c r="C15" s="18">
        <f>B15/9</f>
        <v>1708728.1074901223</v>
      </c>
      <c r="D15" s="18">
        <f>C15</f>
        <v>1708728.1074901223</v>
      </c>
      <c r="E15" s="18">
        <f t="shared" ref="E15" si="1">D15</f>
        <v>1708728.1074901223</v>
      </c>
      <c r="F15" s="18">
        <f t="shared" si="0"/>
        <v>1708728.1074901223</v>
      </c>
      <c r="G15" s="18">
        <f t="shared" si="0"/>
        <v>1708728.1074901223</v>
      </c>
      <c r="H15" s="18">
        <f t="shared" si="0"/>
        <v>1708728.1074901223</v>
      </c>
      <c r="I15" s="18">
        <f t="shared" si="0"/>
        <v>1708728.1074901223</v>
      </c>
      <c r="J15" s="18">
        <f t="shared" si="0"/>
        <v>1708728.1074901223</v>
      </c>
      <c r="K15" s="18">
        <f t="shared" si="0"/>
        <v>1708728.1074901223</v>
      </c>
      <c r="L15" s="18">
        <f>SUM(C15:K15)</f>
        <v>15378552.967411101</v>
      </c>
    </row>
    <row r="16" spans="1:12" s="7" customFormat="1" x14ac:dyDescent="0.2">
      <c r="A16" s="7" t="s">
        <v>8</v>
      </c>
      <c r="B16" s="8">
        <f>B14+B15</f>
        <v>1294309670.4174111</v>
      </c>
      <c r="C16" s="9">
        <f>C14+(L15/9)</f>
        <v>143812185.60193458</v>
      </c>
      <c r="D16" s="9">
        <f>C16</f>
        <v>143812185.60193458</v>
      </c>
      <c r="E16" s="9">
        <f>D16</f>
        <v>143812185.60193458</v>
      </c>
      <c r="F16" s="9">
        <f t="shared" si="0"/>
        <v>143812185.60193458</v>
      </c>
      <c r="G16" s="9">
        <f t="shared" si="0"/>
        <v>143812185.60193458</v>
      </c>
      <c r="H16" s="9">
        <f t="shared" si="0"/>
        <v>143812185.60193458</v>
      </c>
      <c r="I16" s="9">
        <f t="shared" si="0"/>
        <v>143812185.60193458</v>
      </c>
      <c r="J16" s="9">
        <f t="shared" si="0"/>
        <v>143812185.60193458</v>
      </c>
      <c r="K16" s="9">
        <f t="shared" si="0"/>
        <v>143812185.60193458</v>
      </c>
      <c r="L16" s="9">
        <f>SUM(C16:K16)</f>
        <v>1294309670.4174113</v>
      </c>
    </row>
    <row r="18" spans="1:13" s="7" customFormat="1" ht="15" thickBot="1" x14ac:dyDescent="0.25">
      <c r="A18" s="19" t="s">
        <v>9</v>
      </c>
      <c r="B18" s="20">
        <f>B16+B12</f>
        <v>1833073279.9574101</v>
      </c>
      <c r="C18" s="20">
        <f>C16+C12</f>
        <v>323400055.44860089</v>
      </c>
      <c r="D18" s="20">
        <f t="shared" ref="D18:K18" si="2">D16+D12</f>
        <v>323400055.44860089</v>
      </c>
      <c r="E18" s="20">
        <f t="shared" si="2"/>
        <v>323400055.44860089</v>
      </c>
      <c r="F18" s="20">
        <f t="shared" si="2"/>
        <v>143812185.60193458</v>
      </c>
      <c r="G18" s="20">
        <f t="shared" si="2"/>
        <v>143812185.60193458</v>
      </c>
      <c r="H18" s="20">
        <f t="shared" si="2"/>
        <v>143812185.60193458</v>
      </c>
      <c r="I18" s="20">
        <f t="shared" si="2"/>
        <v>143812185.60193458</v>
      </c>
      <c r="J18" s="20">
        <f t="shared" si="2"/>
        <v>143812185.60193458</v>
      </c>
      <c r="K18" s="20">
        <f t="shared" si="2"/>
        <v>143812185.60193458</v>
      </c>
      <c r="L18" s="20">
        <f>L16+L12</f>
        <v>1833073279.9574103</v>
      </c>
    </row>
    <row r="19" spans="1:13" ht="15" thickTop="1" x14ac:dyDescent="0.2"/>
    <row r="20" spans="1:13" x14ac:dyDescent="0.2">
      <c r="A20" s="164" t="s">
        <v>102</v>
      </c>
    </row>
    <row r="21" spans="1:13" x14ac:dyDescent="0.2">
      <c r="D21" s="4"/>
      <c r="E21" s="4"/>
      <c r="F21" s="4"/>
      <c r="G21" s="4"/>
      <c r="H21" s="4"/>
      <c r="I21" s="4"/>
      <c r="J21" s="4"/>
      <c r="K21" s="4"/>
      <c r="L21" s="3"/>
      <c r="M21" s="4"/>
    </row>
    <row r="22" spans="1:13" x14ac:dyDescent="0.2">
      <c r="C22" s="4"/>
      <c r="D22" s="4"/>
      <c r="E22" s="4"/>
      <c r="F22" s="4"/>
      <c r="G22" s="4"/>
      <c r="H22" s="4"/>
      <c r="I22" s="4"/>
      <c r="J22" s="4"/>
      <c r="K22" s="4"/>
      <c r="L22" s="3"/>
      <c r="M22" s="3"/>
    </row>
    <row r="23" spans="1:13" x14ac:dyDescent="0.2">
      <c r="C23" s="4"/>
      <c r="M23" s="4"/>
    </row>
    <row r="24" spans="1:13" x14ac:dyDescent="0.2">
      <c r="C24" s="3"/>
      <c r="D24" s="3"/>
      <c r="E24" s="3"/>
      <c r="F24" s="3"/>
      <c r="G24" s="3"/>
      <c r="H24" s="3"/>
      <c r="I24" s="3"/>
      <c r="J24" s="3"/>
      <c r="K24" s="3"/>
      <c r="L24" s="3"/>
    </row>
    <row r="31" spans="1:13" x14ac:dyDescent="0.2">
      <c r="F31" s="30"/>
      <c r="G31" s="30"/>
      <c r="H31" s="30"/>
      <c r="I31" s="30"/>
      <c r="J31" s="30"/>
      <c r="K31" s="3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A14" sqref="A14"/>
    </sheetView>
  </sheetViews>
  <sheetFormatPr defaultRowHeight="14.25" x14ac:dyDescent="0.2"/>
  <cols>
    <col min="1" max="1" width="31.375" customWidth="1"/>
    <col min="2" max="2" width="17.375" customWidth="1"/>
    <col min="3" max="7" width="15.625" customWidth="1"/>
    <col min="8" max="8" width="16.375" customWidth="1"/>
    <col min="9" max="10" width="15.625" customWidth="1"/>
    <col min="11" max="11" width="29.25" customWidth="1"/>
    <col min="12" max="12" width="13.625" bestFit="1" customWidth="1"/>
  </cols>
  <sheetData>
    <row r="1" spans="1:11" ht="15.75" x14ac:dyDescent="0.25">
      <c r="A1" s="12" t="s">
        <v>35</v>
      </c>
    </row>
    <row r="2" spans="1:11" x14ac:dyDescent="0.2">
      <c r="A2" t="s">
        <v>107</v>
      </c>
    </row>
    <row r="3" spans="1:11" s="26" customFormat="1" x14ac:dyDescent="0.2">
      <c r="A3" s="26" t="s">
        <v>108</v>
      </c>
    </row>
    <row r="4" spans="1:11" s="26" customFormat="1" x14ac:dyDescent="0.2"/>
    <row r="5" spans="1:11" x14ac:dyDescent="0.2">
      <c r="A5" t="s">
        <v>10</v>
      </c>
      <c r="B5" s="10">
        <v>1278931117.45</v>
      </c>
      <c r="C5" s="11" t="s">
        <v>11</v>
      </c>
    </row>
    <row r="6" spans="1:11" x14ac:dyDescent="0.2">
      <c r="A6" t="s">
        <v>12</v>
      </c>
      <c r="B6" s="43">
        <v>6.3100000000000003E-2</v>
      </c>
    </row>
    <row r="8" spans="1:11" x14ac:dyDescent="0.2">
      <c r="A8" s="2"/>
      <c r="B8" s="1">
        <v>44986</v>
      </c>
      <c r="C8" s="1">
        <v>45017</v>
      </c>
      <c r="D8" s="1">
        <v>45047</v>
      </c>
      <c r="E8" s="1">
        <v>45078</v>
      </c>
      <c r="F8" s="1">
        <v>45108</v>
      </c>
      <c r="G8" s="1">
        <v>45139</v>
      </c>
      <c r="H8" s="1">
        <v>45170</v>
      </c>
      <c r="I8" s="1">
        <v>45200</v>
      </c>
      <c r="J8" s="1">
        <v>45231</v>
      </c>
    </row>
    <row r="9" spans="1:11" x14ac:dyDescent="0.2">
      <c r="A9" s="2" t="s">
        <v>1</v>
      </c>
      <c r="B9" s="2" t="s">
        <v>2</v>
      </c>
      <c r="C9" s="2" t="s">
        <v>2</v>
      </c>
      <c r="D9" s="2" t="s">
        <v>2</v>
      </c>
      <c r="E9" s="2" t="s">
        <v>2</v>
      </c>
      <c r="F9" s="2" t="s">
        <v>2</v>
      </c>
      <c r="G9" s="2" t="s">
        <v>2</v>
      </c>
      <c r="H9" s="2" t="s">
        <v>2</v>
      </c>
      <c r="I9" s="2" t="s">
        <v>2</v>
      </c>
      <c r="J9" s="2" t="s">
        <v>2</v>
      </c>
      <c r="K9" s="2" t="s">
        <v>7</v>
      </c>
    </row>
    <row r="11" spans="1:11" ht="39.75" x14ac:dyDescent="0.2">
      <c r="A11" s="14" t="s">
        <v>13</v>
      </c>
      <c r="B11" s="3">
        <f>$B$5/9</f>
        <v>142103457.49444446</v>
      </c>
      <c r="C11" s="3">
        <f t="shared" ref="C11:J11" si="0">$B$5/9</f>
        <v>142103457.49444446</v>
      </c>
      <c r="D11" s="3">
        <f t="shared" si="0"/>
        <v>142103457.49444446</v>
      </c>
      <c r="E11" s="3">
        <f t="shared" si="0"/>
        <v>142103457.49444446</v>
      </c>
      <c r="F11" s="3">
        <f t="shared" si="0"/>
        <v>142103457.49444446</v>
      </c>
      <c r="G11" s="3">
        <f t="shared" si="0"/>
        <v>142103457.49444446</v>
      </c>
      <c r="H11" s="3">
        <f t="shared" si="0"/>
        <v>142103457.49444446</v>
      </c>
      <c r="I11" s="3">
        <f t="shared" si="0"/>
        <v>142103457.49444446</v>
      </c>
      <c r="J11" s="3">
        <f t="shared" si="0"/>
        <v>142103457.49444446</v>
      </c>
      <c r="K11" s="3">
        <f>SUM(B11:J11)</f>
        <v>1278931117.45</v>
      </c>
    </row>
    <row r="12" spans="1:11" x14ac:dyDescent="0.2">
      <c r="A12" s="7" t="s">
        <v>6</v>
      </c>
      <c r="B12" s="9">
        <f>+I18</f>
        <v>0</v>
      </c>
      <c r="C12" s="9">
        <f>+I19</f>
        <v>0</v>
      </c>
      <c r="D12" s="9">
        <f>+I20</f>
        <v>0</v>
      </c>
      <c r="E12" s="9">
        <f>+I21</f>
        <v>4127151.5950879641</v>
      </c>
      <c r="F12" s="9">
        <f>+I22</f>
        <v>3439292.9959066361</v>
      </c>
      <c r="G12" s="9">
        <f>+I23</f>
        <v>3439292.9959066361</v>
      </c>
      <c r="H12" s="9">
        <f>+I24</f>
        <v>2063575.7975439811</v>
      </c>
      <c r="I12" s="9">
        <f>+I25</f>
        <v>1523115.4696157952</v>
      </c>
      <c r="J12" s="9">
        <f>+I26</f>
        <v>786124.11335008743</v>
      </c>
      <c r="K12" s="9">
        <f>SUM(B12:J12)</f>
        <v>15378552.967411099</v>
      </c>
    </row>
    <row r="13" spans="1:11" ht="52.5" x14ac:dyDescent="0.2">
      <c r="A13" s="13" t="s">
        <v>109</v>
      </c>
      <c r="B13" s="9">
        <f>$K$12/9</f>
        <v>1708728.1074901221</v>
      </c>
      <c r="C13" s="9">
        <f t="shared" ref="C13:J13" si="1">$K$12/9</f>
        <v>1708728.1074901221</v>
      </c>
      <c r="D13" s="9">
        <f t="shared" si="1"/>
        <v>1708728.1074901221</v>
      </c>
      <c r="E13" s="9">
        <f t="shared" si="1"/>
        <v>1708728.1074901221</v>
      </c>
      <c r="F13" s="9">
        <f t="shared" si="1"/>
        <v>1708728.1074901221</v>
      </c>
      <c r="G13" s="9">
        <f t="shared" si="1"/>
        <v>1708728.1074901221</v>
      </c>
      <c r="H13" s="9">
        <f t="shared" si="1"/>
        <v>1708728.1074901221</v>
      </c>
      <c r="I13" s="9">
        <f t="shared" si="1"/>
        <v>1708728.1074901221</v>
      </c>
      <c r="J13" s="9">
        <f t="shared" si="1"/>
        <v>1708728.1074901221</v>
      </c>
      <c r="K13" s="9">
        <f>SUM(B13:J13)</f>
        <v>15378552.967411099</v>
      </c>
    </row>
    <row r="14" spans="1:11" x14ac:dyDescent="0.2">
      <c r="A14" s="7" t="s">
        <v>14</v>
      </c>
      <c r="B14" s="9">
        <f>B11+B13</f>
        <v>143812185.60193458</v>
      </c>
      <c r="C14" s="9">
        <f t="shared" ref="C14:J14" si="2">C11+C13</f>
        <v>143812185.60193458</v>
      </c>
      <c r="D14" s="9">
        <f t="shared" si="2"/>
        <v>143812185.60193458</v>
      </c>
      <c r="E14" s="9">
        <f t="shared" si="2"/>
        <v>143812185.60193458</v>
      </c>
      <c r="F14" s="9">
        <f t="shared" si="2"/>
        <v>143812185.60193458</v>
      </c>
      <c r="G14" s="9">
        <f t="shared" si="2"/>
        <v>143812185.60193458</v>
      </c>
      <c r="H14" s="9">
        <f t="shared" si="2"/>
        <v>143812185.60193458</v>
      </c>
      <c r="I14" s="9">
        <f t="shared" si="2"/>
        <v>143812185.60193458</v>
      </c>
      <c r="J14" s="9">
        <f t="shared" si="2"/>
        <v>143812185.60193458</v>
      </c>
      <c r="K14" s="9">
        <f>SUM(B14:J14)</f>
        <v>1294309670.4174113</v>
      </c>
    </row>
    <row r="17" spans="1:12" ht="15" x14ac:dyDescent="0.25">
      <c r="A17" s="38" t="s">
        <v>22</v>
      </c>
      <c r="B17" s="38" t="s">
        <v>15</v>
      </c>
      <c r="C17" s="38" t="s">
        <v>16</v>
      </c>
      <c r="D17" s="38" t="s">
        <v>17</v>
      </c>
      <c r="E17" s="38" t="s">
        <v>33</v>
      </c>
      <c r="F17" s="38" t="s">
        <v>18</v>
      </c>
      <c r="G17" s="38" t="s">
        <v>19</v>
      </c>
      <c r="H17" s="38" t="s">
        <v>20</v>
      </c>
      <c r="I17" s="40" t="s">
        <v>21</v>
      </c>
      <c r="J17" s="26"/>
      <c r="K17" s="26"/>
      <c r="L17" s="26"/>
    </row>
    <row r="18" spans="1:12" s="26" customFormat="1" x14ac:dyDescent="0.2">
      <c r="A18" s="24" t="s">
        <v>32</v>
      </c>
      <c r="B18" s="26">
        <v>2023</v>
      </c>
      <c r="C18" s="28">
        <v>45023</v>
      </c>
      <c r="D18" s="29">
        <v>45029</v>
      </c>
      <c r="E18" s="25">
        <f t="shared" ref="E18:E27" si="3">+D18-C18+1</f>
        <v>7</v>
      </c>
      <c r="F18" s="26">
        <v>365</v>
      </c>
      <c r="G18" s="27">
        <v>0</v>
      </c>
      <c r="H18" s="30">
        <f>+$B$5</f>
        <v>1278931117.45</v>
      </c>
      <c r="I18" s="41">
        <f>H18*(G18/F18)*E18</f>
        <v>0</v>
      </c>
    </row>
    <row r="19" spans="1:12" x14ac:dyDescent="0.2">
      <c r="A19" s="24" t="s">
        <v>23</v>
      </c>
      <c r="B19" s="26">
        <v>2023</v>
      </c>
      <c r="C19" s="28">
        <v>45030</v>
      </c>
      <c r="D19" s="29">
        <v>45057</v>
      </c>
      <c r="E19" s="25">
        <f t="shared" si="3"/>
        <v>28</v>
      </c>
      <c r="F19" s="26">
        <v>365</v>
      </c>
      <c r="G19" s="27">
        <v>0</v>
      </c>
      <c r="H19" s="30">
        <f>+$B$5-$B$11</f>
        <v>1136827659.9555557</v>
      </c>
      <c r="I19" s="41">
        <f>H19*(G19/F19)*E19</f>
        <v>0</v>
      </c>
      <c r="J19" s="30"/>
      <c r="K19" s="30"/>
      <c r="L19" s="26"/>
    </row>
    <row r="20" spans="1:12" x14ac:dyDescent="0.2">
      <c r="A20" s="24" t="s">
        <v>24</v>
      </c>
      <c r="B20" s="26">
        <v>2023</v>
      </c>
      <c r="C20" s="28">
        <v>45058</v>
      </c>
      <c r="D20" s="29">
        <v>45092</v>
      </c>
      <c r="E20" s="25">
        <f t="shared" si="3"/>
        <v>35</v>
      </c>
      <c r="F20" s="26">
        <v>365</v>
      </c>
      <c r="G20" s="27">
        <v>0</v>
      </c>
      <c r="H20" s="30">
        <f>+$B$5-$B$11-$C$11</f>
        <v>994724202.46111119</v>
      </c>
      <c r="I20" s="41">
        <f t="shared" ref="I20:I26" si="4">H20*(G20/F20)*E20</f>
        <v>0</v>
      </c>
      <c r="J20" s="30"/>
      <c r="K20" s="30"/>
      <c r="L20" s="26"/>
    </row>
    <row r="21" spans="1:12" x14ac:dyDescent="0.2">
      <c r="A21" s="24" t="s">
        <v>25</v>
      </c>
      <c r="B21" s="26">
        <v>2023</v>
      </c>
      <c r="C21" s="28">
        <v>45093</v>
      </c>
      <c r="D21" s="29">
        <v>45120</v>
      </c>
      <c r="E21" s="25">
        <f t="shared" si="3"/>
        <v>28</v>
      </c>
      <c r="F21" s="26">
        <v>365</v>
      </c>
      <c r="G21" s="27">
        <v>6.3100000000000003E-2</v>
      </c>
      <c r="H21" s="30">
        <f>+$B$5-$B$11-$C$11-$D$11</f>
        <v>852620744.9666667</v>
      </c>
      <c r="I21" s="41">
        <f t="shared" si="4"/>
        <v>4127151.5950879641</v>
      </c>
      <c r="J21" s="30"/>
      <c r="K21" s="30"/>
      <c r="L21" s="26"/>
    </row>
    <row r="22" spans="1:12" x14ac:dyDescent="0.2">
      <c r="A22" s="24" t="s">
        <v>26</v>
      </c>
      <c r="B22" s="26">
        <v>2023</v>
      </c>
      <c r="C22" s="28">
        <v>45121</v>
      </c>
      <c r="D22" s="29">
        <v>45148</v>
      </c>
      <c r="E22" s="25">
        <f t="shared" si="3"/>
        <v>28</v>
      </c>
      <c r="F22" s="26">
        <v>365</v>
      </c>
      <c r="G22" s="27">
        <v>6.3100000000000003E-2</v>
      </c>
      <c r="H22" s="30">
        <f>+$B$5-$B$11-$C$11-$D$11-$E$11</f>
        <v>710517287.47222221</v>
      </c>
      <c r="I22" s="41">
        <f t="shared" si="4"/>
        <v>3439292.9959066361</v>
      </c>
      <c r="J22" s="30"/>
      <c r="K22" s="30"/>
      <c r="L22" s="26"/>
    </row>
    <row r="23" spans="1:12" x14ac:dyDescent="0.2">
      <c r="A23" s="24" t="s">
        <v>27</v>
      </c>
      <c r="B23" s="26">
        <v>2023</v>
      </c>
      <c r="C23" s="28">
        <v>45149</v>
      </c>
      <c r="D23" s="29">
        <v>45183</v>
      </c>
      <c r="E23" s="25">
        <f t="shared" si="3"/>
        <v>35</v>
      </c>
      <c r="F23" s="26">
        <v>365</v>
      </c>
      <c r="G23" s="27">
        <v>6.3100000000000003E-2</v>
      </c>
      <c r="H23" s="30">
        <f>+$B$5-$B$11-$C$11-$D$11-$E$11-$F$11</f>
        <v>568413829.97777772</v>
      </c>
      <c r="I23" s="41">
        <f t="shared" si="4"/>
        <v>3439292.9959066361</v>
      </c>
      <c r="J23" s="30"/>
      <c r="K23" s="30"/>
      <c r="L23" s="26"/>
    </row>
    <row r="24" spans="1:12" x14ac:dyDescent="0.2">
      <c r="A24" s="24" t="s">
        <v>28</v>
      </c>
      <c r="B24" s="26">
        <v>2023</v>
      </c>
      <c r="C24" s="28">
        <v>45184</v>
      </c>
      <c r="D24" s="29">
        <v>45211</v>
      </c>
      <c r="E24" s="25">
        <f t="shared" si="3"/>
        <v>28</v>
      </c>
      <c r="F24" s="26">
        <v>365</v>
      </c>
      <c r="G24" s="27">
        <v>6.3100000000000003E-2</v>
      </c>
      <c r="H24" s="30">
        <f>+$B$5-$B$11-$C$11-$D$11-$E$11-$F$11-$G$11</f>
        <v>426310372.48333323</v>
      </c>
      <c r="I24" s="41">
        <f t="shared" si="4"/>
        <v>2063575.7975439811</v>
      </c>
      <c r="J24" s="30"/>
      <c r="K24" s="30"/>
      <c r="L24" s="26"/>
    </row>
    <row r="25" spans="1:12" x14ac:dyDescent="0.2">
      <c r="A25" s="24" t="s">
        <v>29</v>
      </c>
      <c r="B25" s="26">
        <v>2023</v>
      </c>
      <c r="C25" s="28">
        <v>45212</v>
      </c>
      <c r="D25" s="29">
        <v>45242</v>
      </c>
      <c r="E25" s="25">
        <f t="shared" si="3"/>
        <v>31</v>
      </c>
      <c r="F25" s="26">
        <v>365</v>
      </c>
      <c r="G25" s="27">
        <v>6.3100000000000003E-2</v>
      </c>
      <c r="H25" s="30">
        <f>+$B$5-$B$11-$C$11-$D$11-$E$11-$F$11-$G$11-$H$11</f>
        <v>284206914.98888874</v>
      </c>
      <c r="I25" s="41">
        <f t="shared" si="4"/>
        <v>1523115.4696157952</v>
      </c>
      <c r="J25" s="30"/>
      <c r="K25" s="30"/>
      <c r="L25" s="26"/>
    </row>
    <row r="26" spans="1:12" x14ac:dyDescent="0.2">
      <c r="A26" s="24" t="s">
        <v>30</v>
      </c>
      <c r="B26" s="26">
        <v>2023</v>
      </c>
      <c r="C26" s="28">
        <v>45243</v>
      </c>
      <c r="D26" s="29">
        <v>45274</v>
      </c>
      <c r="E26" s="25">
        <f t="shared" si="3"/>
        <v>32</v>
      </c>
      <c r="F26" s="26">
        <v>365</v>
      </c>
      <c r="G26" s="27">
        <v>6.3100000000000003E-2</v>
      </c>
      <c r="H26" s="30">
        <f>+$B$5-$B$11-$C$11-$D$11-$E$11-$F$11-$G$11-$H$11-$I$11</f>
        <v>142103457.49444428</v>
      </c>
      <c r="I26" s="41">
        <f t="shared" si="4"/>
        <v>786124.11335008743</v>
      </c>
      <c r="J26" s="30"/>
      <c r="K26" s="30"/>
      <c r="L26" s="26"/>
    </row>
    <row r="27" spans="1:12" s="26" customFormat="1" x14ac:dyDescent="0.2">
      <c r="A27" s="24" t="s">
        <v>31</v>
      </c>
      <c r="B27" s="26">
        <v>2023</v>
      </c>
      <c r="C27" s="28">
        <v>45275</v>
      </c>
      <c r="D27" s="29">
        <v>45302</v>
      </c>
      <c r="E27" s="25">
        <f t="shared" si="3"/>
        <v>28</v>
      </c>
      <c r="F27" s="26">
        <v>365</v>
      </c>
      <c r="G27" s="27">
        <v>6.3100000000000003E-2</v>
      </c>
      <c r="H27" s="30">
        <f>+$B$5-$B$11-$C$11-$D$11-$E$11-$F$11-$G$11-$H$11-$I$11-$J$11</f>
        <v>0</v>
      </c>
      <c r="I27" s="41">
        <f t="shared" ref="I27" si="5">H27*(G27/F27)*E27</f>
        <v>0</v>
      </c>
      <c r="J27" s="30"/>
      <c r="K27" s="30"/>
    </row>
    <row r="28" spans="1:12" ht="15" x14ac:dyDescent="0.25">
      <c r="A28" s="39" t="s">
        <v>34</v>
      </c>
      <c r="B28" s="26"/>
      <c r="C28" s="28"/>
      <c r="D28" s="28"/>
      <c r="E28" s="25"/>
      <c r="F28" s="26"/>
      <c r="G28" s="36"/>
      <c r="H28" s="31"/>
      <c r="I28" s="42">
        <f>SUM(I18:I27)</f>
        <v>15378552.967411099</v>
      </c>
      <c r="J28" s="31"/>
      <c r="K28" s="37"/>
      <c r="L28" s="26"/>
    </row>
    <row r="29" spans="1:12" x14ac:dyDescent="0.2">
      <c r="A29" s="34"/>
      <c r="B29" s="26"/>
      <c r="C29" s="26"/>
      <c r="D29" s="26"/>
      <c r="E29" s="26"/>
      <c r="F29" s="26"/>
      <c r="G29" s="26"/>
      <c r="H29" s="26"/>
      <c r="I29" s="26"/>
      <c r="J29" s="26"/>
      <c r="K29" s="26"/>
      <c r="L29" s="26"/>
    </row>
    <row r="30" spans="1:12" x14ac:dyDescent="0.2">
      <c r="A30" s="34"/>
      <c r="B30" s="35"/>
      <c r="C30" s="26"/>
      <c r="D30" s="26"/>
      <c r="E30" s="26"/>
      <c r="F30" s="26"/>
      <c r="G30" s="26"/>
      <c r="H30" s="26"/>
      <c r="I30" s="26"/>
      <c r="J30" s="26"/>
      <c r="K30" s="26"/>
      <c r="L30" s="33"/>
    </row>
    <row r="31" spans="1:12" ht="15" x14ac:dyDescent="0.25">
      <c r="A31" s="26"/>
      <c r="B31" s="26"/>
      <c r="C31" s="26"/>
      <c r="D31" s="26"/>
      <c r="E31" s="26"/>
      <c r="F31" s="26"/>
      <c r="G31" s="26"/>
      <c r="H31" s="26"/>
      <c r="I31" s="26"/>
      <c r="J31" s="26"/>
      <c r="K31" s="26"/>
      <c r="L31" s="32"/>
    </row>
    <row r="32" spans="1:12" x14ac:dyDescent="0.2">
      <c r="A32" s="33"/>
      <c r="E32"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tabSelected="1" zoomScaleNormal="100" workbookViewId="0"/>
  </sheetViews>
  <sheetFormatPr defaultRowHeight="14.25" x14ac:dyDescent="0.2"/>
  <cols>
    <col min="1" max="1" width="28.875" customWidth="1"/>
    <col min="2" max="2" width="17.5" customWidth="1"/>
    <col min="3" max="3" width="20.125" customWidth="1"/>
    <col min="4" max="4" width="17.5" customWidth="1"/>
    <col min="5" max="5" width="18.125" customWidth="1"/>
    <col min="6" max="6" width="15.75" bestFit="1" customWidth="1"/>
    <col min="7" max="7" width="14.75" bestFit="1" customWidth="1"/>
    <col min="10" max="10" width="9.875" bestFit="1" customWidth="1"/>
  </cols>
  <sheetData>
    <row r="1" spans="1:8" ht="15" x14ac:dyDescent="0.25">
      <c r="A1" s="44" t="s">
        <v>76</v>
      </c>
      <c r="B1" s="26"/>
      <c r="C1" s="26"/>
      <c r="D1" s="26"/>
      <c r="E1" s="26"/>
      <c r="F1" s="26"/>
      <c r="G1" s="26"/>
    </row>
    <row r="2" spans="1:8" x14ac:dyDescent="0.2">
      <c r="A2" s="26" t="s">
        <v>61</v>
      </c>
      <c r="B2" s="26"/>
      <c r="C2" s="26"/>
      <c r="D2" s="26"/>
      <c r="E2" s="26"/>
      <c r="F2" s="26"/>
      <c r="G2" s="11"/>
    </row>
    <row r="3" spans="1:8" s="26" customFormat="1" x14ac:dyDescent="0.2">
      <c r="A3" s="26" t="s">
        <v>54</v>
      </c>
      <c r="G3" s="11"/>
    </row>
    <row r="4" spans="1:8" s="26" customFormat="1" ht="15" thickBot="1" x14ac:dyDescent="0.25">
      <c r="G4" s="11"/>
    </row>
    <row r="5" spans="1:8" ht="21" thickBot="1" x14ac:dyDescent="0.35">
      <c r="A5" s="166" t="s">
        <v>77</v>
      </c>
      <c r="B5" s="167"/>
      <c r="C5" s="167"/>
      <c r="D5" s="167"/>
      <c r="E5" s="167"/>
      <c r="F5" s="167"/>
      <c r="G5" s="168"/>
    </row>
    <row r="6" spans="1:8" s="26" customFormat="1" x14ac:dyDescent="0.2"/>
    <row r="7" spans="1:8" ht="28.5" x14ac:dyDescent="0.2">
      <c r="A7" s="14" t="s">
        <v>56</v>
      </c>
      <c r="B7" s="45">
        <f>SUM($C$45:$C$74)</f>
        <v>400000000</v>
      </c>
      <c r="C7" s="165"/>
      <c r="D7" s="26"/>
      <c r="E7" s="26"/>
      <c r="F7" s="26"/>
      <c r="G7" s="26"/>
    </row>
    <row r="8" spans="1:8" ht="43.5" thickBot="1" x14ac:dyDescent="0.25">
      <c r="A8" s="143" t="s">
        <v>82</v>
      </c>
      <c r="B8" s="45">
        <v>0</v>
      </c>
      <c r="C8" s="33"/>
      <c r="E8" s="26"/>
      <c r="F8" s="26"/>
      <c r="G8" s="26"/>
    </row>
    <row r="9" spans="1:8" s="26" customFormat="1" ht="43.5" thickBot="1" x14ac:dyDescent="0.25">
      <c r="A9" s="143" t="s">
        <v>95</v>
      </c>
      <c r="B9" s="134">
        <f>(B7-B8)*C9</f>
        <v>100000000</v>
      </c>
      <c r="C9" s="66">
        <v>0.25</v>
      </c>
      <c r="D9" s="74" t="s">
        <v>36</v>
      </c>
    </row>
    <row r="10" spans="1:8" s="26" customFormat="1" x14ac:dyDescent="0.2">
      <c r="A10" s="143" t="s">
        <v>66</v>
      </c>
      <c r="B10" s="45">
        <f>SUM(B8:B9)</f>
        <v>100000000</v>
      </c>
      <c r="C10" s="95"/>
      <c r="D10" s="74"/>
    </row>
    <row r="11" spans="1:8" s="26" customFormat="1" ht="15" thickBot="1" x14ac:dyDescent="0.25">
      <c r="A11" s="14"/>
      <c r="B11" s="45"/>
      <c r="C11" s="95"/>
      <c r="D11" s="74"/>
    </row>
    <row r="12" spans="1:8" s="26" customFormat="1" ht="15" x14ac:dyDescent="0.25">
      <c r="A12" s="107" t="s">
        <v>104</v>
      </c>
      <c r="B12" s="108"/>
      <c r="C12" s="108"/>
      <c r="D12" s="108"/>
      <c r="E12" s="108"/>
      <c r="F12" s="108"/>
      <c r="G12" s="108"/>
      <c r="H12" s="109"/>
    </row>
    <row r="13" spans="1:8" s="26" customFormat="1" ht="15" x14ac:dyDescent="0.25">
      <c r="A13" s="110"/>
      <c r="B13" s="94"/>
      <c r="C13" s="94"/>
      <c r="D13" s="94"/>
      <c r="E13" s="94"/>
      <c r="F13" s="94"/>
      <c r="G13" s="94"/>
      <c r="H13" s="111"/>
    </row>
    <row r="14" spans="1:8" x14ac:dyDescent="0.2">
      <c r="A14" s="112"/>
      <c r="B14" s="45"/>
      <c r="C14" s="100"/>
      <c r="D14" s="101"/>
      <c r="E14" s="33"/>
      <c r="F14" s="33"/>
      <c r="G14" s="33"/>
      <c r="H14" s="113"/>
    </row>
    <row r="15" spans="1:8" ht="15" x14ac:dyDescent="0.25">
      <c r="A15" s="110" t="s">
        <v>62</v>
      </c>
      <c r="B15" s="96"/>
      <c r="C15" s="96"/>
      <c r="D15" s="96"/>
      <c r="E15" s="96"/>
      <c r="F15" s="96"/>
      <c r="G15" s="96"/>
      <c r="H15" s="114"/>
    </row>
    <row r="16" spans="1:8" s="26" customFormat="1" ht="43.5" customHeight="1" x14ac:dyDescent="0.2">
      <c r="A16" s="159" t="s">
        <v>88</v>
      </c>
      <c r="B16" s="160"/>
      <c r="C16" s="160"/>
      <c r="D16" s="160"/>
      <c r="E16" s="160"/>
      <c r="F16" s="160"/>
      <c r="G16" s="160"/>
      <c r="H16" s="161"/>
    </row>
    <row r="17" spans="1:8" ht="81.75" x14ac:dyDescent="0.25">
      <c r="A17" s="115" t="s">
        <v>37</v>
      </c>
      <c r="B17" s="47" t="s">
        <v>55</v>
      </c>
      <c r="C17" s="47" t="s">
        <v>83</v>
      </c>
      <c r="D17" s="47" t="s">
        <v>69</v>
      </c>
      <c r="E17" s="47" t="s">
        <v>70</v>
      </c>
      <c r="F17" s="47" t="s">
        <v>74</v>
      </c>
      <c r="G17" s="33"/>
      <c r="H17" s="113"/>
    </row>
    <row r="18" spans="1:8" ht="48.75" x14ac:dyDescent="0.25">
      <c r="A18" s="116"/>
      <c r="B18" s="49" t="s">
        <v>89</v>
      </c>
      <c r="C18" s="49" t="s">
        <v>84</v>
      </c>
      <c r="D18" s="49" t="s">
        <v>85</v>
      </c>
      <c r="E18" s="49" t="s">
        <v>86</v>
      </c>
      <c r="F18" s="49" t="s">
        <v>52</v>
      </c>
      <c r="G18" s="33"/>
      <c r="H18" s="113"/>
    </row>
    <row r="19" spans="1:8" x14ac:dyDescent="0.2">
      <c r="A19" s="117">
        <v>1</v>
      </c>
      <c r="B19" s="69">
        <f t="shared" ref="B19:B28" si="0">SUMIF($A$45:$A$74,A19,$C$45:$C$74)</f>
        <v>41000000</v>
      </c>
      <c r="C19" s="135">
        <v>0</v>
      </c>
      <c r="D19" s="135">
        <f>(B19-C19)*$C$9</f>
        <v>10250000</v>
      </c>
      <c r="E19" s="70">
        <f>C19+D19</f>
        <v>10250000</v>
      </c>
      <c r="F19" s="70">
        <f t="shared" ref="F19:F28" si="1">B19-E19</f>
        <v>30750000</v>
      </c>
      <c r="G19" s="33"/>
      <c r="H19" s="113"/>
    </row>
    <row r="20" spans="1:8" x14ac:dyDescent="0.2">
      <c r="A20" s="117">
        <v>2</v>
      </c>
      <c r="B20" s="69">
        <f t="shared" si="0"/>
        <v>41000000</v>
      </c>
      <c r="C20" s="135">
        <v>0</v>
      </c>
      <c r="D20" s="135">
        <f t="shared" ref="D20:D28" si="2">(B20-C20)*$C$9</f>
        <v>10250000</v>
      </c>
      <c r="E20" s="70">
        <f t="shared" ref="E20:E28" si="3">C20+D20</f>
        <v>10250000</v>
      </c>
      <c r="F20" s="70">
        <f t="shared" si="1"/>
        <v>30750000</v>
      </c>
      <c r="G20" s="33"/>
      <c r="H20" s="113"/>
    </row>
    <row r="21" spans="1:8" x14ac:dyDescent="0.2">
      <c r="A21" s="117">
        <v>3</v>
      </c>
      <c r="B21" s="69">
        <f t="shared" si="0"/>
        <v>41000000</v>
      </c>
      <c r="C21" s="135">
        <v>0</v>
      </c>
      <c r="D21" s="135">
        <f t="shared" si="2"/>
        <v>10250000</v>
      </c>
      <c r="E21" s="70">
        <f t="shared" si="3"/>
        <v>10250000</v>
      </c>
      <c r="F21" s="70">
        <f t="shared" si="1"/>
        <v>30750000</v>
      </c>
      <c r="G21" s="33"/>
      <c r="H21" s="113"/>
    </row>
    <row r="22" spans="1:8" x14ac:dyDescent="0.2">
      <c r="A22" s="117">
        <v>4</v>
      </c>
      <c r="B22" s="69">
        <f t="shared" si="0"/>
        <v>41000000</v>
      </c>
      <c r="C22" s="135">
        <v>0</v>
      </c>
      <c r="D22" s="135">
        <f t="shared" si="2"/>
        <v>10250000</v>
      </c>
      <c r="E22" s="70">
        <f t="shared" si="3"/>
        <v>10250000</v>
      </c>
      <c r="F22" s="70">
        <f t="shared" si="1"/>
        <v>30750000</v>
      </c>
      <c r="G22" s="33"/>
      <c r="H22" s="113"/>
    </row>
    <row r="23" spans="1:8" x14ac:dyDescent="0.2">
      <c r="A23" s="117">
        <v>5</v>
      </c>
      <c r="B23" s="69">
        <f t="shared" si="0"/>
        <v>41000000</v>
      </c>
      <c r="C23" s="135">
        <v>0</v>
      </c>
      <c r="D23" s="135">
        <f t="shared" si="2"/>
        <v>10250000</v>
      </c>
      <c r="E23" s="70">
        <f t="shared" si="3"/>
        <v>10250000</v>
      </c>
      <c r="F23" s="70">
        <f t="shared" si="1"/>
        <v>30750000</v>
      </c>
      <c r="G23" s="33"/>
      <c r="H23" s="113"/>
    </row>
    <row r="24" spans="1:8" x14ac:dyDescent="0.2">
      <c r="A24" s="117">
        <v>6</v>
      </c>
      <c r="B24" s="69">
        <f t="shared" si="0"/>
        <v>41000000</v>
      </c>
      <c r="C24" s="135">
        <v>0</v>
      </c>
      <c r="D24" s="135">
        <f t="shared" si="2"/>
        <v>10250000</v>
      </c>
      <c r="E24" s="70">
        <f t="shared" si="3"/>
        <v>10250000</v>
      </c>
      <c r="F24" s="70">
        <f t="shared" si="1"/>
        <v>30750000</v>
      </c>
      <c r="G24" s="33"/>
      <c r="H24" s="113"/>
    </row>
    <row r="25" spans="1:8" x14ac:dyDescent="0.2">
      <c r="A25" s="117">
        <v>7</v>
      </c>
      <c r="B25" s="69">
        <f t="shared" si="0"/>
        <v>41000000</v>
      </c>
      <c r="C25" s="135">
        <v>0</v>
      </c>
      <c r="D25" s="135">
        <f t="shared" si="2"/>
        <v>10250000</v>
      </c>
      <c r="E25" s="70">
        <f t="shared" si="3"/>
        <v>10250000</v>
      </c>
      <c r="F25" s="70">
        <f t="shared" si="1"/>
        <v>30750000</v>
      </c>
      <c r="G25" s="33"/>
      <c r="H25" s="113"/>
    </row>
    <row r="26" spans="1:8" x14ac:dyDescent="0.2">
      <c r="A26" s="117">
        <v>8</v>
      </c>
      <c r="B26" s="69">
        <f t="shared" si="0"/>
        <v>41000000</v>
      </c>
      <c r="C26" s="135">
        <v>0</v>
      </c>
      <c r="D26" s="135">
        <f t="shared" si="2"/>
        <v>10250000</v>
      </c>
      <c r="E26" s="70">
        <f t="shared" si="3"/>
        <v>10250000</v>
      </c>
      <c r="F26" s="70">
        <f t="shared" si="1"/>
        <v>30750000</v>
      </c>
      <c r="G26" s="33"/>
      <c r="H26" s="113"/>
    </row>
    <row r="27" spans="1:8" x14ac:dyDescent="0.2">
      <c r="A27" s="117">
        <v>9</v>
      </c>
      <c r="B27" s="69">
        <f t="shared" si="0"/>
        <v>36000000</v>
      </c>
      <c r="C27" s="135">
        <v>0</v>
      </c>
      <c r="D27" s="135">
        <f t="shared" si="2"/>
        <v>9000000</v>
      </c>
      <c r="E27" s="70">
        <f t="shared" si="3"/>
        <v>9000000</v>
      </c>
      <c r="F27" s="70">
        <f t="shared" si="1"/>
        <v>27000000</v>
      </c>
      <c r="G27" s="33"/>
      <c r="H27" s="113"/>
    </row>
    <row r="28" spans="1:8" ht="15" thickBot="1" x14ac:dyDescent="0.25">
      <c r="A28" s="118">
        <v>10</v>
      </c>
      <c r="B28" s="71">
        <f t="shared" si="0"/>
        <v>36000000</v>
      </c>
      <c r="C28" s="136">
        <v>0</v>
      </c>
      <c r="D28" s="136">
        <f t="shared" si="2"/>
        <v>9000000</v>
      </c>
      <c r="E28" s="72">
        <f t="shared" si="3"/>
        <v>9000000</v>
      </c>
      <c r="F28" s="72">
        <f t="shared" si="1"/>
        <v>27000000</v>
      </c>
      <c r="G28" s="33"/>
      <c r="H28" s="113"/>
    </row>
    <row r="29" spans="1:8" ht="15" x14ac:dyDescent="0.25">
      <c r="A29" s="119" t="s">
        <v>39</v>
      </c>
      <c r="B29" s="54">
        <f>SUM(B19:B28)</f>
        <v>400000000</v>
      </c>
      <c r="C29" s="63">
        <f t="shared" ref="C29" si="4">SUM(C19:C28)</f>
        <v>0</v>
      </c>
      <c r="D29" s="54">
        <f>SUM(D19:D28)</f>
        <v>100000000</v>
      </c>
      <c r="E29" s="63">
        <f t="shared" ref="E29:F29" si="5">SUM(E19:E28)</f>
        <v>100000000</v>
      </c>
      <c r="F29" s="54">
        <f t="shared" si="5"/>
        <v>300000000</v>
      </c>
      <c r="G29" s="33"/>
      <c r="H29" s="113"/>
    </row>
    <row r="30" spans="1:8" x14ac:dyDescent="0.2">
      <c r="A30" s="112"/>
      <c r="B30" s="33"/>
      <c r="C30" s="55"/>
      <c r="D30" s="76"/>
      <c r="E30" s="33"/>
      <c r="F30" s="33"/>
      <c r="G30" s="33"/>
      <c r="H30" s="113"/>
    </row>
    <row r="31" spans="1:8" x14ac:dyDescent="0.2">
      <c r="A31" s="112"/>
      <c r="B31" s="33"/>
      <c r="C31" s="56"/>
      <c r="D31" s="33"/>
      <c r="E31" s="33"/>
      <c r="F31" s="56"/>
      <c r="G31" s="33"/>
      <c r="H31" s="113"/>
    </row>
    <row r="32" spans="1:8" ht="15" x14ac:dyDescent="0.25">
      <c r="A32" s="110" t="s">
        <v>63</v>
      </c>
      <c r="B32" s="96"/>
      <c r="C32" s="75"/>
      <c r="D32" s="96"/>
      <c r="E32" s="96"/>
      <c r="F32" s="75"/>
      <c r="G32" s="96"/>
      <c r="H32" s="114"/>
    </row>
    <row r="33" spans="1:8" s="26" customFormat="1" ht="28.5" customHeight="1" x14ac:dyDescent="0.2">
      <c r="A33" s="159" t="s">
        <v>87</v>
      </c>
      <c r="B33" s="160"/>
      <c r="C33" s="160"/>
      <c r="D33" s="160"/>
      <c r="E33" s="160"/>
      <c r="F33" s="160"/>
      <c r="G33" s="160"/>
      <c r="H33" s="161"/>
    </row>
    <row r="34" spans="1:8" ht="15" x14ac:dyDescent="0.25">
      <c r="A34" s="117"/>
      <c r="B34" s="46" t="s">
        <v>38</v>
      </c>
      <c r="C34" s="46" t="s">
        <v>40</v>
      </c>
      <c r="D34" s="46" t="s">
        <v>78</v>
      </c>
      <c r="E34" s="33"/>
      <c r="F34" s="33"/>
      <c r="G34" s="33"/>
      <c r="H34" s="113"/>
    </row>
    <row r="35" spans="1:8" ht="24" x14ac:dyDescent="0.2">
      <c r="A35" s="117"/>
      <c r="B35" s="49" t="s">
        <v>41</v>
      </c>
      <c r="C35" s="49" t="s">
        <v>42</v>
      </c>
      <c r="D35" s="49" t="s">
        <v>53</v>
      </c>
      <c r="E35" s="33"/>
      <c r="F35" s="33"/>
      <c r="G35" s="33"/>
      <c r="H35" s="113"/>
    </row>
    <row r="36" spans="1:8" x14ac:dyDescent="0.2">
      <c r="A36" s="120" t="s">
        <v>43</v>
      </c>
      <c r="B36" s="148">
        <f>SUMIF($B$45:$B$74,"A",$C$45:$C$74)</f>
        <v>200000000</v>
      </c>
      <c r="C36" s="149">
        <v>200000000</v>
      </c>
      <c r="D36" s="150">
        <f>B36-C36</f>
        <v>0</v>
      </c>
      <c r="E36" s="102" t="s">
        <v>44</v>
      </c>
      <c r="F36" s="33"/>
      <c r="G36" s="33"/>
      <c r="H36" s="113"/>
    </row>
    <row r="37" spans="1:8" x14ac:dyDescent="0.2">
      <c r="A37" s="121" t="s">
        <v>45</v>
      </c>
      <c r="B37" s="151">
        <f>SUMIF($B$45:$B$74,"B",$C$45:$C$74)</f>
        <v>40000000</v>
      </c>
      <c r="C37" s="152">
        <v>0</v>
      </c>
      <c r="D37" s="153">
        <f>B37-C37</f>
        <v>40000000</v>
      </c>
      <c r="E37" s="102" t="s">
        <v>51</v>
      </c>
      <c r="F37" s="33"/>
      <c r="G37" s="33"/>
      <c r="H37" s="113"/>
    </row>
    <row r="38" spans="1:8" x14ac:dyDescent="0.2">
      <c r="A38" s="117" t="s">
        <v>46</v>
      </c>
      <c r="B38" s="151">
        <f>SUMIF($B$45:$B$74,"C",$C$45:$C$74)</f>
        <v>160000000</v>
      </c>
      <c r="C38" s="152">
        <v>160000000</v>
      </c>
      <c r="D38" s="154">
        <f>B38-C38</f>
        <v>0</v>
      </c>
      <c r="E38" s="102" t="s">
        <v>44</v>
      </c>
      <c r="F38" s="33"/>
      <c r="G38" s="33"/>
      <c r="H38" s="113"/>
    </row>
    <row r="39" spans="1:8" ht="15" x14ac:dyDescent="0.25">
      <c r="A39" s="119" t="s">
        <v>39</v>
      </c>
      <c r="B39" s="155">
        <f>SUM(B36:B38)</f>
        <v>400000000</v>
      </c>
      <c r="C39" s="155">
        <f>SUM(C36:C38)</f>
        <v>360000000</v>
      </c>
      <c r="D39" s="155">
        <f>SUM(D36:D38)</f>
        <v>40000000</v>
      </c>
      <c r="E39" s="33"/>
      <c r="F39" s="33"/>
      <c r="G39" s="33"/>
      <c r="H39" s="113"/>
    </row>
    <row r="40" spans="1:8" ht="15" x14ac:dyDescent="0.25">
      <c r="A40" s="122"/>
      <c r="B40" s="103"/>
      <c r="C40" s="103"/>
      <c r="D40" s="103"/>
      <c r="E40" s="33"/>
      <c r="F40" s="33"/>
      <c r="G40" s="33"/>
      <c r="H40" s="113"/>
    </row>
    <row r="41" spans="1:8" ht="15" x14ac:dyDescent="0.25">
      <c r="A41" s="110" t="s">
        <v>64</v>
      </c>
      <c r="B41" s="96"/>
      <c r="C41" s="96"/>
      <c r="D41" s="96"/>
      <c r="E41" s="96"/>
      <c r="F41" s="96"/>
      <c r="G41" s="96"/>
      <c r="H41" s="114"/>
    </row>
    <row r="42" spans="1:8" s="26" customFormat="1" ht="62.25" customHeight="1" x14ac:dyDescent="0.2">
      <c r="A42" s="159" t="s">
        <v>97</v>
      </c>
      <c r="B42" s="160"/>
      <c r="C42" s="160"/>
      <c r="D42" s="160"/>
      <c r="E42" s="160"/>
      <c r="F42" s="160"/>
      <c r="G42" s="160"/>
      <c r="H42" s="161"/>
    </row>
    <row r="43" spans="1:8" ht="15" x14ac:dyDescent="0.25">
      <c r="A43" s="115" t="s">
        <v>37</v>
      </c>
      <c r="B43" s="46" t="s">
        <v>47</v>
      </c>
      <c r="C43" s="46" t="s">
        <v>38</v>
      </c>
      <c r="D43" s="46" t="s">
        <v>78</v>
      </c>
      <c r="E43" s="104"/>
      <c r="F43" s="104"/>
      <c r="G43" s="33"/>
      <c r="H43" s="113"/>
    </row>
    <row r="44" spans="1:8" ht="72.75" x14ac:dyDescent="0.25">
      <c r="A44" s="116"/>
      <c r="B44" s="46"/>
      <c r="C44" s="46"/>
      <c r="D44" s="49" t="s">
        <v>90</v>
      </c>
      <c r="E44" s="33"/>
      <c r="F44" s="33"/>
      <c r="G44" s="33"/>
      <c r="H44" s="113"/>
    </row>
    <row r="45" spans="1:8" x14ac:dyDescent="0.2">
      <c r="A45" s="117">
        <v>1</v>
      </c>
      <c r="B45" s="57" t="s">
        <v>48</v>
      </c>
      <c r="C45" s="146">
        <v>20000000</v>
      </c>
      <c r="D45" s="147">
        <f>$D$36*(C45/SUMIF($B$45:$B$74,B45,$C$45:$C$74))</f>
        <v>0</v>
      </c>
      <c r="E45" s="33"/>
      <c r="F45" s="33"/>
      <c r="G45" s="33"/>
      <c r="H45" s="113"/>
    </row>
    <row r="46" spans="1:8" x14ac:dyDescent="0.2">
      <c r="A46" s="117">
        <v>1</v>
      </c>
      <c r="B46" s="57" t="s">
        <v>49</v>
      </c>
      <c r="C46" s="146">
        <v>5000000</v>
      </c>
      <c r="D46" s="147">
        <f>$D$37*(C46/SUMIF($B$45:$B$74,B46,$C$45:$C$74))</f>
        <v>5000000</v>
      </c>
      <c r="E46" s="33"/>
      <c r="F46" s="33"/>
      <c r="G46" s="33"/>
      <c r="H46" s="113"/>
    </row>
    <row r="47" spans="1:8" x14ac:dyDescent="0.2">
      <c r="A47" s="117">
        <v>1</v>
      </c>
      <c r="B47" s="57" t="s">
        <v>50</v>
      </c>
      <c r="C47" s="146">
        <v>16000000</v>
      </c>
      <c r="D47" s="147">
        <f>$D$38*(C47/SUMIF($B$45:$B$74,B47,$C$45:$C$74))</f>
        <v>0</v>
      </c>
      <c r="E47" s="33"/>
      <c r="F47" s="33"/>
      <c r="G47" s="33"/>
      <c r="H47" s="113"/>
    </row>
    <row r="48" spans="1:8" x14ac:dyDescent="0.2">
      <c r="A48" s="117">
        <v>2</v>
      </c>
      <c r="B48" s="57" t="s">
        <v>48</v>
      </c>
      <c r="C48" s="146">
        <v>20000000</v>
      </c>
      <c r="D48" s="147">
        <f t="shared" ref="D48" si="6">$D$36*(C48/SUMIF($B$45:$B$74,B48,$C$45:$C$74))</f>
        <v>0</v>
      </c>
      <c r="E48" s="33"/>
      <c r="F48" s="105"/>
      <c r="G48" s="33"/>
      <c r="H48" s="113"/>
    </row>
    <row r="49" spans="1:8" x14ac:dyDescent="0.2">
      <c r="A49" s="117">
        <v>2</v>
      </c>
      <c r="B49" s="57" t="s">
        <v>49</v>
      </c>
      <c r="C49" s="146">
        <v>5000000</v>
      </c>
      <c r="D49" s="147">
        <f t="shared" ref="D49" si="7">$D$37*(C49/SUMIF($B$45:$B$74,B49,$C$45:$C$74))</f>
        <v>5000000</v>
      </c>
      <c r="E49" s="33"/>
      <c r="F49" s="106"/>
      <c r="G49" s="106"/>
      <c r="H49" s="113"/>
    </row>
    <row r="50" spans="1:8" x14ac:dyDescent="0.2">
      <c r="A50" s="117">
        <v>2</v>
      </c>
      <c r="B50" s="57" t="s">
        <v>50</v>
      </c>
      <c r="C50" s="146">
        <v>16000000</v>
      </c>
      <c r="D50" s="147">
        <f t="shared" ref="D50" si="8">$D$38*(C50/SUMIF($B$45:$B$74,B50,$C$45:$C$74))</f>
        <v>0</v>
      </c>
      <c r="E50" s="33"/>
      <c r="F50" s="106"/>
      <c r="G50" s="106"/>
      <c r="H50" s="113"/>
    </row>
    <row r="51" spans="1:8" x14ac:dyDescent="0.2">
      <c r="A51" s="117">
        <v>3</v>
      </c>
      <c r="B51" s="57" t="s">
        <v>48</v>
      </c>
      <c r="C51" s="146">
        <v>20000000</v>
      </c>
      <c r="D51" s="147">
        <f t="shared" ref="D51" si="9">$D$36*(C51/SUMIF($B$45:$B$74,B51,$C$45:$C$74))</f>
        <v>0</v>
      </c>
      <c r="E51" s="33"/>
      <c r="F51" s="60"/>
      <c r="G51" s="60"/>
      <c r="H51" s="113"/>
    </row>
    <row r="52" spans="1:8" x14ac:dyDescent="0.2">
      <c r="A52" s="117">
        <v>3</v>
      </c>
      <c r="B52" s="57" t="s">
        <v>49</v>
      </c>
      <c r="C52" s="146">
        <v>5000000</v>
      </c>
      <c r="D52" s="147">
        <f t="shared" ref="D52" si="10">$D$37*(C52/SUMIF($B$45:$B$74,B52,$C$45:$C$74))</f>
        <v>5000000</v>
      </c>
      <c r="E52" s="33"/>
      <c r="F52" s="33"/>
      <c r="G52" s="33"/>
      <c r="H52" s="113"/>
    </row>
    <row r="53" spans="1:8" x14ac:dyDescent="0.2">
      <c r="A53" s="117">
        <v>3</v>
      </c>
      <c r="B53" s="57" t="s">
        <v>50</v>
      </c>
      <c r="C53" s="146">
        <v>16000000</v>
      </c>
      <c r="D53" s="147">
        <f t="shared" ref="D53" si="11">$D$38*(C53/SUMIF($B$45:$B$74,B53,$C$45:$C$74))</f>
        <v>0</v>
      </c>
      <c r="E53" s="33"/>
      <c r="F53" s="33"/>
      <c r="G53" s="33"/>
      <c r="H53" s="113"/>
    </row>
    <row r="54" spans="1:8" x14ac:dyDescent="0.2">
      <c r="A54" s="117">
        <v>4</v>
      </c>
      <c r="B54" s="57" t="s">
        <v>48</v>
      </c>
      <c r="C54" s="146">
        <v>20000000</v>
      </c>
      <c r="D54" s="147">
        <f t="shared" ref="D54" si="12">$D$36*(C54/SUMIF($B$45:$B$74,B54,$C$45:$C$74))</f>
        <v>0</v>
      </c>
      <c r="E54" s="33"/>
      <c r="F54" s="33"/>
      <c r="G54" s="33"/>
      <c r="H54" s="113"/>
    </row>
    <row r="55" spans="1:8" x14ac:dyDescent="0.2">
      <c r="A55" s="117">
        <v>4</v>
      </c>
      <c r="B55" s="57" t="s">
        <v>49</v>
      </c>
      <c r="C55" s="146">
        <v>5000000</v>
      </c>
      <c r="D55" s="147">
        <f t="shared" ref="D55" si="13">$D$37*(C55/SUMIF($B$45:$B$74,B55,$C$45:$C$74))</f>
        <v>5000000</v>
      </c>
      <c r="E55" s="33"/>
      <c r="F55" s="33"/>
      <c r="G55" s="33"/>
      <c r="H55" s="113"/>
    </row>
    <row r="56" spans="1:8" x14ac:dyDescent="0.2">
      <c r="A56" s="117">
        <v>4</v>
      </c>
      <c r="B56" s="57" t="s">
        <v>50</v>
      </c>
      <c r="C56" s="146">
        <v>16000000</v>
      </c>
      <c r="D56" s="147">
        <f t="shared" ref="D56" si="14">$D$38*(C56/SUMIF($B$45:$B$74,B56,$C$45:$C$74))</f>
        <v>0</v>
      </c>
      <c r="E56" s="33"/>
      <c r="F56" s="33"/>
      <c r="G56" s="33"/>
      <c r="H56" s="113"/>
    </row>
    <row r="57" spans="1:8" x14ac:dyDescent="0.2">
      <c r="A57" s="117">
        <v>5</v>
      </c>
      <c r="B57" s="57" t="s">
        <v>48</v>
      </c>
      <c r="C57" s="146">
        <v>20000000</v>
      </c>
      <c r="D57" s="147">
        <f t="shared" ref="D57" si="15">$D$36*(C57/SUMIF($B$45:$B$74,B57,$C$45:$C$74))</f>
        <v>0</v>
      </c>
      <c r="E57" s="33"/>
      <c r="F57" s="33"/>
      <c r="G57" s="33"/>
      <c r="H57" s="113"/>
    </row>
    <row r="58" spans="1:8" x14ac:dyDescent="0.2">
      <c r="A58" s="117">
        <v>5</v>
      </c>
      <c r="B58" s="57" t="s">
        <v>49</v>
      </c>
      <c r="C58" s="146">
        <v>5000000</v>
      </c>
      <c r="D58" s="147">
        <f t="shared" ref="D58" si="16">$D$37*(C58/SUMIF($B$45:$B$74,B58,$C$45:$C$74))</f>
        <v>5000000</v>
      </c>
      <c r="E58" s="33"/>
      <c r="F58" s="33"/>
      <c r="G58" s="33"/>
      <c r="H58" s="113"/>
    </row>
    <row r="59" spans="1:8" x14ac:dyDescent="0.2">
      <c r="A59" s="117">
        <v>5</v>
      </c>
      <c r="B59" s="57" t="s">
        <v>50</v>
      </c>
      <c r="C59" s="146">
        <v>16000000</v>
      </c>
      <c r="D59" s="147">
        <f t="shared" ref="D59" si="17">$D$38*(C59/SUMIF($B$45:$B$74,B59,$C$45:$C$74))</f>
        <v>0</v>
      </c>
      <c r="E59" s="33"/>
      <c r="F59" s="33"/>
      <c r="G59" s="33"/>
      <c r="H59" s="113"/>
    </row>
    <row r="60" spans="1:8" x14ac:dyDescent="0.2">
      <c r="A60" s="117">
        <v>6</v>
      </c>
      <c r="B60" s="57" t="s">
        <v>48</v>
      </c>
      <c r="C60" s="146">
        <v>20000000</v>
      </c>
      <c r="D60" s="147">
        <f t="shared" ref="D60" si="18">$D$36*(C60/SUMIF($B$45:$B$74,B60,$C$45:$C$74))</f>
        <v>0</v>
      </c>
      <c r="E60" s="33"/>
      <c r="F60" s="33"/>
      <c r="G60" s="33"/>
      <c r="H60" s="113"/>
    </row>
    <row r="61" spans="1:8" x14ac:dyDescent="0.2">
      <c r="A61" s="117">
        <v>6</v>
      </c>
      <c r="B61" s="57" t="s">
        <v>49</v>
      </c>
      <c r="C61" s="146">
        <v>5000000</v>
      </c>
      <c r="D61" s="147">
        <f t="shared" ref="D61" si="19">$D$37*(C61/SUMIF($B$45:$B$74,B61,$C$45:$C$74))</f>
        <v>5000000</v>
      </c>
      <c r="E61" s="33"/>
      <c r="F61" s="33"/>
      <c r="G61" s="33"/>
      <c r="H61" s="113"/>
    </row>
    <row r="62" spans="1:8" x14ac:dyDescent="0.2">
      <c r="A62" s="117">
        <v>6</v>
      </c>
      <c r="B62" s="57" t="s">
        <v>50</v>
      </c>
      <c r="C62" s="146">
        <v>16000000</v>
      </c>
      <c r="D62" s="147">
        <f t="shared" ref="D62" si="20">$D$38*(C62/SUMIF($B$45:$B$74,B62,$C$45:$C$74))</f>
        <v>0</v>
      </c>
      <c r="E62" s="33"/>
      <c r="F62" s="33"/>
      <c r="G62" s="33"/>
      <c r="H62" s="113"/>
    </row>
    <row r="63" spans="1:8" x14ac:dyDescent="0.2">
      <c r="A63" s="117">
        <v>7</v>
      </c>
      <c r="B63" s="57" t="s">
        <v>48</v>
      </c>
      <c r="C63" s="146">
        <v>20000000</v>
      </c>
      <c r="D63" s="147">
        <f t="shared" ref="D63" si="21">$D$36*(C63/SUMIF($B$45:$B$74,B63,$C$45:$C$74))</f>
        <v>0</v>
      </c>
      <c r="E63" s="33"/>
      <c r="F63" s="33"/>
      <c r="G63" s="33"/>
      <c r="H63" s="113"/>
    </row>
    <row r="64" spans="1:8" x14ac:dyDescent="0.2">
      <c r="A64" s="117">
        <v>7</v>
      </c>
      <c r="B64" s="57" t="s">
        <v>49</v>
      </c>
      <c r="C64" s="146">
        <v>5000000</v>
      </c>
      <c r="D64" s="147">
        <f t="shared" ref="D64" si="22">$D$37*(C64/SUMIF($B$45:$B$74,B64,$C$45:$C$74))</f>
        <v>5000000</v>
      </c>
      <c r="E64" s="33"/>
      <c r="F64" s="33"/>
      <c r="G64" s="33"/>
      <c r="H64" s="113"/>
    </row>
    <row r="65" spans="1:8" x14ac:dyDescent="0.2">
      <c r="A65" s="117">
        <v>7</v>
      </c>
      <c r="B65" s="57" t="s">
        <v>50</v>
      </c>
      <c r="C65" s="146">
        <v>16000000</v>
      </c>
      <c r="D65" s="147">
        <f t="shared" ref="D65" si="23">$D$38*(C65/SUMIF($B$45:$B$74,B65,$C$45:$C$74))</f>
        <v>0</v>
      </c>
      <c r="E65" s="33"/>
      <c r="F65" s="33"/>
      <c r="G65" s="33"/>
      <c r="H65" s="113"/>
    </row>
    <row r="66" spans="1:8" x14ac:dyDescent="0.2">
      <c r="A66" s="117">
        <v>8</v>
      </c>
      <c r="B66" s="57" t="s">
        <v>48</v>
      </c>
      <c r="C66" s="146">
        <v>20000000</v>
      </c>
      <c r="D66" s="147">
        <f t="shared" ref="D66" si="24">$D$36*(C66/SUMIF($B$45:$B$74,B66,$C$45:$C$74))</f>
        <v>0</v>
      </c>
      <c r="E66" s="33"/>
      <c r="F66" s="33"/>
      <c r="G66" s="33"/>
      <c r="H66" s="113"/>
    </row>
    <row r="67" spans="1:8" x14ac:dyDescent="0.2">
      <c r="A67" s="117">
        <v>8</v>
      </c>
      <c r="B67" s="57" t="s">
        <v>49</v>
      </c>
      <c r="C67" s="146">
        <v>5000000</v>
      </c>
      <c r="D67" s="147">
        <f t="shared" ref="D67" si="25">$D$37*(C67/SUMIF($B$45:$B$74,B67,$C$45:$C$74))</f>
        <v>5000000</v>
      </c>
      <c r="E67" s="33"/>
      <c r="F67" s="33"/>
      <c r="G67" s="33"/>
      <c r="H67" s="113"/>
    </row>
    <row r="68" spans="1:8" x14ac:dyDescent="0.2">
      <c r="A68" s="117">
        <v>8</v>
      </c>
      <c r="B68" s="57" t="s">
        <v>50</v>
      </c>
      <c r="C68" s="146">
        <v>16000000</v>
      </c>
      <c r="D68" s="147">
        <f t="shared" ref="D68" si="26">$D$38*(C68/SUMIF($B$45:$B$74,B68,$C$45:$C$74))</f>
        <v>0</v>
      </c>
      <c r="E68" s="33"/>
      <c r="F68" s="33"/>
      <c r="G68" s="33"/>
      <c r="H68" s="113"/>
    </row>
    <row r="69" spans="1:8" x14ac:dyDescent="0.2">
      <c r="A69" s="117">
        <v>9</v>
      </c>
      <c r="B69" s="57" t="s">
        <v>48</v>
      </c>
      <c r="C69" s="146">
        <v>20000000</v>
      </c>
      <c r="D69" s="147">
        <f t="shared" ref="D69" si="27">$D$36*(C69/SUMIF($B$45:$B$74,B69,$C$45:$C$74))</f>
        <v>0</v>
      </c>
      <c r="E69" s="33"/>
      <c r="F69" s="33"/>
      <c r="G69" s="33"/>
      <c r="H69" s="113"/>
    </row>
    <row r="70" spans="1:8" x14ac:dyDescent="0.2">
      <c r="A70" s="117">
        <v>9</v>
      </c>
      <c r="B70" s="57" t="s">
        <v>49</v>
      </c>
      <c r="C70" s="146">
        <v>0</v>
      </c>
      <c r="D70" s="147">
        <f t="shared" ref="D70" si="28">$D$37*(C70/SUMIF($B$45:$B$74,B70,$C$45:$C$74))</f>
        <v>0</v>
      </c>
      <c r="E70" s="33"/>
      <c r="F70" s="33"/>
      <c r="G70" s="33"/>
      <c r="H70" s="113"/>
    </row>
    <row r="71" spans="1:8" x14ac:dyDescent="0.2">
      <c r="A71" s="117">
        <v>9</v>
      </c>
      <c r="B71" s="57" t="s">
        <v>50</v>
      </c>
      <c r="C71" s="146">
        <v>16000000</v>
      </c>
      <c r="D71" s="147">
        <f t="shared" ref="D71" si="29">$D$38*(C71/SUMIF($B$45:$B$74,B71,$C$45:$C$74))</f>
        <v>0</v>
      </c>
      <c r="E71" s="33"/>
      <c r="F71" s="33"/>
      <c r="G71" s="33"/>
      <c r="H71" s="113"/>
    </row>
    <row r="72" spans="1:8" x14ac:dyDescent="0.2">
      <c r="A72" s="117">
        <v>10</v>
      </c>
      <c r="B72" s="57" t="s">
        <v>48</v>
      </c>
      <c r="C72" s="146">
        <v>20000000</v>
      </c>
      <c r="D72" s="147">
        <f t="shared" ref="D72" si="30">$D$36*(C72/SUMIF($B$45:$B$74,B72,$C$45:$C$74))</f>
        <v>0</v>
      </c>
      <c r="E72" s="33"/>
      <c r="F72" s="33"/>
      <c r="G72" s="33"/>
      <c r="H72" s="113"/>
    </row>
    <row r="73" spans="1:8" x14ac:dyDescent="0.2">
      <c r="A73" s="117">
        <v>10</v>
      </c>
      <c r="B73" s="57" t="s">
        <v>49</v>
      </c>
      <c r="C73" s="146">
        <v>0</v>
      </c>
      <c r="D73" s="147">
        <f t="shared" ref="D73" si="31">$D$37*(C73/SUMIF($B$45:$B$74,B73,$C$45:$C$74))</f>
        <v>0</v>
      </c>
      <c r="E73" s="33"/>
      <c r="F73" s="33"/>
      <c r="G73" s="33"/>
      <c r="H73" s="113"/>
    </row>
    <row r="74" spans="1:8" x14ac:dyDescent="0.2">
      <c r="A74" s="117">
        <v>10</v>
      </c>
      <c r="B74" s="57" t="s">
        <v>50</v>
      </c>
      <c r="C74" s="146">
        <v>16000000</v>
      </c>
      <c r="D74" s="147">
        <f t="shared" ref="D74" si="32">$D$38*(C74/SUMIF($B$45:$B$74,B74,$C$45:$C$74))</f>
        <v>0</v>
      </c>
      <c r="E74" s="33"/>
      <c r="F74" s="33"/>
      <c r="G74" s="33"/>
      <c r="H74" s="113"/>
    </row>
    <row r="75" spans="1:8" s="26" customFormat="1" x14ac:dyDescent="0.2">
      <c r="A75" s="112"/>
      <c r="B75" s="33"/>
      <c r="C75" s="98"/>
      <c r="D75" s="99"/>
      <c r="E75" s="33"/>
      <c r="F75" s="33"/>
      <c r="G75" s="33"/>
      <c r="H75" s="113"/>
    </row>
    <row r="76" spans="1:8" s="26" customFormat="1" ht="15" thickBot="1" x14ac:dyDescent="0.25">
      <c r="A76" s="123"/>
      <c r="B76" s="124"/>
      <c r="C76" s="125"/>
      <c r="D76" s="126"/>
      <c r="E76" s="124"/>
      <c r="F76" s="124"/>
      <c r="G76" s="124"/>
      <c r="H76" s="127"/>
    </row>
    <row r="77" spans="1:8" ht="15" thickBot="1" x14ac:dyDescent="0.25"/>
    <row r="78" spans="1:8" ht="15" x14ac:dyDescent="0.25">
      <c r="A78" s="77" t="s">
        <v>105</v>
      </c>
      <c r="B78" s="78"/>
      <c r="C78" s="78"/>
      <c r="D78" s="78"/>
      <c r="E78" s="78"/>
      <c r="F78" s="78"/>
      <c r="G78" s="78"/>
      <c r="H78" s="79"/>
    </row>
    <row r="79" spans="1:8" s="26" customFormat="1" ht="15" x14ac:dyDescent="0.25">
      <c r="A79" s="90"/>
      <c r="B79" s="91"/>
      <c r="C79" s="91"/>
      <c r="D79" s="91"/>
      <c r="E79" s="91"/>
      <c r="F79" s="91"/>
      <c r="G79" s="91"/>
      <c r="H79" s="92"/>
    </row>
    <row r="80" spans="1:8" s="26" customFormat="1" ht="15" x14ac:dyDescent="0.25">
      <c r="A80" s="93" t="s">
        <v>73</v>
      </c>
      <c r="B80" s="96"/>
      <c r="C80" s="96"/>
      <c r="D80" s="96"/>
      <c r="E80" s="96"/>
      <c r="F80" s="96"/>
      <c r="G80" s="96"/>
      <c r="H80" s="97"/>
    </row>
    <row r="81" spans="1:8" s="26" customFormat="1" ht="49.5" customHeight="1" x14ac:dyDescent="0.2">
      <c r="A81" s="162" t="s">
        <v>91</v>
      </c>
      <c r="B81" s="160"/>
      <c r="C81" s="160"/>
      <c r="D81" s="160"/>
      <c r="E81" s="160"/>
      <c r="F81" s="160"/>
      <c r="G81" s="160"/>
      <c r="H81" s="163"/>
    </row>
    <row r="82" spans="1:8" s="26" customFormat="1" ht="60" x14ac:dyDescent="0.25">
      <c r="A82" s="80" t="s">
        <v>37</v>
      </c>
      <c r="B82" s="47" t="s">
        <v>55</v>
      </c>
      <c r="C82" s="47" t="s">
        <v>70</v>
      </c>
      <c r="D82" s="47" t="s">
        <v>74</v>
      </c>
      <c r="E82" s="47" t="s">
        <v>79</v>
      </c>
      <c r="F82" s="48" t="s">
        <v>75</v>
      </c>
      <c r="G82" s="48" t="s">
        <v>65</v>
      </c>
      <c r="H82" s="81"/>
    </row>
    <row r="83" spans="1:8" s="26" customFormat="1" ht="39" x14ac:dyDescent="0.25">
      <c r="A83" s="82"/>
      <c r="B83" s="49" t="s">
        <v>89</v>
      </c>
      <c r="C83" s="49"/>
      <c r="D83" s="49" t="s">
        <v>52</v>
      </c>
      <c r="E83" s="50" t="s">
        <v>80</v>
      </c>
      <c r="F83" s="50" t="s">
        <v>81</v>
      </c>
      <c r="G83" s="50" t="s">
        <v>57</v>
      </c>
      <c r="H83" s="81"/>
    </row>
    <row r="84" spans="1:8" s="26" customFormat="1" x14ac:dyDescent="0.2">
      <c r="A84" s="83">
        <v>1</v>
      </c>
      <c r="B84" s="51">
        <f t="shared" ref="B84:B93" si="33">B19</f>
        <v>41000000</v>
      </c>
      <c r="C84" s="61">
        <f t="shared" ref="C84:C93" si="34">E19</f>
        <v>10250000</v>
      </c>
      <c r="D84" s="61">
        <f t="shared" ref="D84:D93" si="35">F19</f>
        <v>30750000</v>
      </c>
      <c r="E84" s="67">
        <f t="shared" ref="E84:E93" si="36">SUMIF($A$45:$A$74,A84,$D$45:$D$74)</f>
        <v>5000000</v>
      </c>
      <c r="F84" s="52">
        <f t="shared" ref="F84:F93" si="37">B84-E84</f>
        <v>36000000</v>
      </c>
      <c r="G84" s="52">
        <f t="shared" ref="G84:G93" si="38">F84-D84</f>
        <v>5250000</v>
      </c>
      <c r="H84" s="142" t="s">
        <v>92</v>
      </c>
    </row>
    <row r="85" spans="1:8" s="26" customFormat="1" x14ac:dyDescent="0.2">
      <c r="A85" s="83">
        <v>2</v>
      </c>
      <c r="B85" s="51">
        <f t="shared" si="33"/>
        <v>41000000</v>
      </c>
      <c r="C85" s="61">
        <f t="shared" si="34"/>
        <v>10250000</v>
      </c>
      <c r="D85" s="61">
        <f t="shared" si="35"/>
        <v>30750000</v>
      </c>
      <c r="E85" s="67">
        <f t="shared" si="36"/>
        <v>5000000</v>
      </c>
      <c r="F85" s="52">
        <f t="shared" si="37"/>
        <v>36000000</v>
      </c>
      <c r="G85" s="52">
        <f t="shared" si="38"/>
        <v>5250000</v>
      </c>
      <c r="H85" s="81"/>
    </row>
    <row r="86" spans="1:8" s="26" customFormat="1" x14ac:dyDescent="0.2">
      <c r="A86" s="83">
        <v>3</v>
      </c>
      <c r="B86" s="51">
        <f t="shared" si="33"/>
        <v>41000000</v>
      </c>
      <c r="C86" s="61">
        <f t="shared" si="34"/>
        <v>10250000</v>
      </c>
      <c r="D86" s="61">
        <f t="shared" si="35"/>
        <v>30750000</v>
      </c>
      <c r="E86" s="67">
        <f t="shared" si="36"/>
        <v>5000000</v>
      </c>
      <c r="F86" s="52">
        <f t="shared" si="37"/>
        <v>36000000</v>
      </c>
      <c r="G86" s="52">
        <f t="shared" si="38"/>
        <v>5250000</v>
      </c>
      <c r="H86" s="81"/>
    </row>
    <row r="87" spans="1:8" s="26" customFormat="1" x14ac:dyDescent="0.2">
      <c r="A87" s="83">
        <v>4</v>
      </c>
      <c r="B87" s="51">
        <f t="shared" si="33"/>
        <v>41000000</v>
      </c>
      <c r="C87" s="61">
        <f t="shared" si="34"/>
        <v>10250000</v>
      </c>
      <c r="D87" s="61">
        <f t="shared" si="35"/>
        <v>30750000</v>
      </c>
      <c r="E87" s="67">
        <f t="shared" si="36"/>
        <v>5000000</v>
      </c>
      <c r="F87" s="52">
        <f t="shared" si="37"/>
        <v>36000000</v>
      </c>
      <c r="G87" s="52">
        <f t="shared" si="38"/>
        <v>5250000</v>
      </c>
      <c r="H87" s="81"/>
    </row>
    <row r="88" spans="1:8" s="26" customFormat="1" x14ac:dyDescent="0.2">
      <c r="A88" s="83">
        <v>5</v>
      </c>
      <c r="B88" s="51">
        <f t="shared" si="33"/>
        <v>41000000</v>
      </c>
      <c r="C88" s="61">
        <f t="shared" si="34"/>
        <v>10250000</v>
      </c>
      <c r="D88" s="61">
        <f t="shared" si="35"/>
        <v>30750000</v>
      </c>
      <c r="E88" s="67">
        <f t="shared" si="36"/>
        <v>5000000</v>
      </c>
      <c r="F88" s="52">
        <f t="shared" si="37"/>
        <v>36000000</v>
      </c>
      <c r="G88" s="52">
        <f t="shared" si="38"/>
        <v>5250000</v>
      </c>
      <c r="H88" s="81"/>
    </row>
    <row r="89" spans="1:8" s="26" customFormat="1" x14ac:dyDescent="0.2">
      <c r="A89" s="83">
        <v>6</v>
      </c>
      <c r="B89" s="51">
        <f t="shared" si="33"/>
        <v>41000000</v>
      </c>
      <c r="C89" s="61">
        <f t="shared" si="34"/>
        <v>10250000</v>
      </c>
      <c r="D89" s="61">
        <f t="shared" si="35"/>
        <v>30750000</v>
      </c>
      <c r="E89" s="67">
        <f t="shared" si="36"/>
        <v>5000000</v>
      </c>
      <c r="F89" s="52">
        <f t="shared" si="37"/>
        <v>36000000</v>
      </c>
      <c r="G89" s="52">
        <f t="shared" si="38"/>
        <v>5250000</v>
      </c>
      <c r="H89" s="81"/>
    </row>
    <row r="90" spans="1:8" s="26" customFormat="1" x14ac:dyDescent="0.2">
      <c r="A90" s="83">
        <v>7</v>
      </c>
      <c r="B90" s="51">
        <f t="shared" si="33"/>
        <v>41000000</v>
      </c>
      <c r="C90" s="61">
        <f t="shared" si="34"/>
        <v>10250000</v>
      </c>
      <c r="D90" s="61">
        <f t="shared" si="35"/>
        <v>30750000</v>
      </c>
      <c r="E90" s="67">
        <f t="shared" si="36"/>
        <v>5000000</v>
      </c>
      <c r="F90" s="52">
        <f t="shared" si="37"/>
        <v>36000000</v>
      </c>
      <c r="G90" s="52">
        <f t="shared" si="38"/>
        <v>5250000</v>
      </c>
      <c r="H90" s="81"/>
    </row>
    <row r="91" spans="1:8" s="26" customFormat="1" x14ac:dyDescent="0.2">
      <c r="A91" s="83">
        <v>8</v>
      </c>
      <c r="B91" s="51">
        <f t="shared" si="33"/>
        <v>41000000</v>
      </c>
      <c r="C91" s="61">
        <f t="shared" si="34"/>
        <v>10250000</v>
      </c>
      <c r="D91" s="61">
        <f t="shared" si="35"/>
        <v>30750000</v>
      </c>
      <c r="E91" s="67">
        <f t="shared" si="36"/>
        <v>5000000</v>
      </c>
      <c r="F91" s="52">
        <f t="shared" si="37"/>
        <v>36000000</v>
      </c>
      <c r="G91" s="52">
        <f t="shared" si="38"/>
        <v>5250000</v>
      </c>
      <c r="H91" s="81"/>
    </row>
    <row r="92" spans="1:8" s="26" customFormat="1" x14ac:dyDescent="0.2">
      <c r="A92" s="83">
        <v>9</v>
      </c>
      <c r="B92" s="51">
        <f t="shared" si="33"/>
        <v>36000000</v>
      </c>
      <c r="C92" s="61">
        <f t="shared" si="34"/>
        <v>9000000</v>
      </c>
      <c r="D92" s="61">
        <f t="shared" si="35"/>
        <v>27000000</v>
      </c>
      <c r="E92" s="67">
        <f t="shared" si="36"/>
        <v>0</v>
      </c>
      <c r="F92" s="52">
        <f t="shared" si="37"/>
        <v>36000000</v>
      </c>
      <c r="G92" s="52">
        <f t="shared" si="38"/>
        <v>9000000</v>
      </c>
      <c r="H92" s="81"/>
    </row>
    <row r="93" spans="1:8" s="26" customFormat="1" ht="15" thickBot="1" x14ac:dyDescent="0.25">
      <c r="A93" s="84">
        <v>10</v>
      </c>
      <c r="B93" s="62">
        <f t="shared" si="33"/>
        <v>36000000</v>
      </c>
      <c r="C93" s="62">
        <f t="shared" si="34"/>
        <v>9000000</v>
      </c>
      <c r="D93" s="62">
        <f t="shared" si="35"/>
        <v>27000000</v>
      </c>
      <c r="E93" s="68">
        <f t="shared" si="36"/>
        <v>0</v>
      </c>
      <c r="F93" s="53">
        <f t="shared" si="37"/>
        <v>36000000</v>
      </c>
      <c r="G93" s="53">
        <f t="shared" si="38"/>
        <v>9000000</v>
      </c>
      <c r="H93" s="81"/>
    </row>
    <row r="94" spans="1:8" s="26" customFormat="1" ht="15" x14ac:dyDescent="0.25">
      <c r="A94" s="85" t="s">
        <v>39</v>
      </c>
      <c r="B94" s="54">
        <f>SUM(B84:B93)</f>
        <v>400000000</v>
      </c>
      <c r="C94" s="63">
        <f t="shared" ref="C94:F94" si="39">SUM(C84:C93)</f>
        <v>100000000</v>
      </c>
      <c r="D94" s="54">
        <f t="shared" si="39"/>
        <v>300000000</v>
      </c>
      <c r="E94" s="54">
        <f t="shared" si="39"/>
        <v>40000000</v>
      </c>
      <c r="F94" s="54">
        <f t="shared" si="39"/>
        <v>360000000</v>
      </c>
      <c r="G94" s="54">
        <f>SUM(G84:G93)</f>
        <v>60000000</v>
      </c>
      <c r="H94" s="81"/>
    </row>
    <row r="95" spans="1:8" s="26" customFormat="1" ht="99.75" x14ac:dyDescent="0.2">
      <c r="A95" s="86"/>
      <c r="B95" s="33"/>
      <c r="C95" s="55"/>
      <c r="D95" s="76"/>
      <c r="E95" s="73" t="s">
        <v>59</v>
      </c>
      <c r="F95" s="33"/>
      <c r="G95" s="144" t="s">
        <v>103</v>
      </c>
      <c r="H95" s="81"/>
    </row>
    <row r="96" spans="1:8" x14ac:dyDescent="0.2">
      <c r="A96" s="86"/>
      <c r="B96" s="33"/>
      <c r="C96" s="33"/>
      <c r="D96" s="33"/>
      <c r="E96" s="33"/>
      <c r="F96" s="33"/>
      <c r="G96" s="33"/>
      <c r="H96" s="81"/>
    </row>
    <row r="97" spans="1:10" ht="15" x14ac:dyDescent="0.25">
      <c r="A97" s="138" t="s">
        <v>106</v>
      </c>
      <c r="B97" s="139"/>
      <c r="C97" s="139"/>
      <c r="D97" s="139"/>
      <c r="E97" s="139"/>
      <c r="F97" s="139"/>
      <c r="G97" s="139"/>
      <c r="H97" s="140"/>
    </row>
    <row r="98" spans="1:10" s="26" customFormat="1" ht="15" x14ac:dyDescent="0.25">
      <c r="A98" s="137"/>
      <c r="B98" s="129"/>
      <c r="C98" s="130"/>
      <c r="D98" s="129"/>
      <c r="E98" s="33"/>
      <c r="F98" s="33"/>
      <c r="G98" s="33"/>
      <c r="H98" s="81"/>
    </row>
    <row r="99" spans="1:10" s="26" customFormat="1" ht="15" x14ac:dyDescent="0.25">
      <c r="A99" s="131" t="s">
        <v>96</v>
      </c>
      <c r="B99" s="58"/>
      <c r="C99" s="58"/>
      <c r="D99" s="58"/>
      <c r="E99" s="58"/>
      <c r="F99" s="58"/>
      <c r="G99" s="58"/>
      <c r="H99" s="132"/>
    </row>
    <row r="100" spans="1:10" s="26" customFormat="1" ht="51.75" customHeight="1" x14ac:dyDescent="0.2">
      <c r="A100" s="156" t="s">
        <v>93</v>
      </c>
      <c r="B100" s="157"/>
      <c r="C100" s="157"/>
      <c r="D100" s="157"/>
      <c r="E100" s="157"/>
      <c r="F100" s="157"/>
      <c r="G100" s="157"/>
      <c r="H100" s="158"/>
    </row>
    <row r="101" spans="1:10" s="26" customFormat="1" ht="28.5" x14ac:dyDescent="0.2">
      <c r="A101" s="143" t="s">
        <v>56</v>
      </c>
      <c r="B101" s="45">
        <f>$B$7</f>
        <v>400000000</v>
      </c>
      <c r="C101" s="141"/>
      <c r="D101" s="33"/>
      <c r="E101" s="33"/>
      <c r="F101" s="33"/>
      <c r="G101" s="33"/>
      <c r="H101" s="81"/>
    </row>
    <row r="102" spans="1:10" s="26" customFormat="1" ht="43.5" thickBot="1" x14ac:dyDescent="0.25">
      <c r="A102" s="143" t="s">
        <v>60</v>
      </c>
      <c r="B102" s="45">
        <f>$E$94</f>
        <v>40000000</v>
      </c>
      <c r="C102" s="33"/>
      <c r="D102" s="33"/>
      <c r="E102" s="33"/>
      <c r="F102" s="33"/>
      <c r="G102" s="33"/>
      <c r="H102" s="81"/>
    </row>
    <row r="103" spans="1:10" s="26" customFormat="1" ht="43.5" thickBot="1" x14ac:dyDescent="0.25">
      <c r="A103" s="143" t="s">
        <v>95</v>
      </c>
      <c r="B103" s="134">
        <f>(B101-B102)*C103</f>
        <v>10800000</v>
      </c>
      <c r="C103" s="66">
        <v>0.03</v>
      </c>
      <c r="D103" s="102" t="s">
        <v>67</v>
      </c>
      <c r="E103" s="33"/>
      <c r="F103" s="33"/>
      <c r="G103" s="33"/>
      <c r="H103" s="81"/>
    </row>
    <row r="104" spans="1:10" s="26" customFormat="1" x14ac:dyDescent="0.2">
      <c r="A104" s="143" t="s">
        <v>66</v>
      </c>
      <c r="B104" s="45">
        <f>SUM(B102:B103)</f>
        <v>50800000</v>
      </c>
      <c r="C104" s="95"/>
      <c r="D104" s="102"/>
      <c r="E104" s="33"/>
      <c r="F104" s="33"/>
      <c r="G104" s="33"/>
      <c r="H104" s="81"/>
    </row>
    <row r="105" spans="1:10" s="7" customFormat="1" ht="15" x14ac:dyDescent="0.25">
      <c r="A105" s="133"/>
      <c r="B105" s="59"/>
      <c r="C105" s="59"/>
      <c r="D105" s="59"/>
      <c r="E105" s="59"/>
      <c r="F105" s="59"/>
      <c r="G105" s="59"/>
      <c r="H105" s="81"/>
    </row>
    <row r="106" spans="1:10" s="26" customFormat="1" ht="81.75" x14ac:dyDescent="0.25">
      <c r="A106" s="80" t="s">
        <v>37</v>
      </c>
      <c r="B106" s="47" t="s">
        <v>55</v>
      </c>
      <c r="C106" s="47" t="s">
        <v>68</v>
      </c>
      <c r="D106" s="47" t="s">
        <v>69</v>
      </c>
      <c r="E106" s="47" t="s">
        <v>70</v>
      </c>
      <c r="F106" s="47" t="s">
        <v>58</v>
      </c>
      <c r="G106" s="33"/>
      <c r="H106" s="81"/>
      <c r="I106" s="33"/>
      <c r="J106" s="33"/>
    </row>
    <row r="107" spans="1:10" s="26" customFormat="1" ht="48.75" x14ac:dyDescent="0.25">
      <c r="A107" s="82"/>
      <c r="B107" s="49" t="s">
        <v>89</v>
      </c>
      <c r="C107" s="49" t="s">
        <v>84</v>
      </c>
      <c r="D107" s="49" t="s">
        <v>85</v>
      </c>
      <c r="E107" s="49" t="s">
        <v>71</v>
      </c>
      <c r="F107" s="49" t="s">
        <v>72</v>
      </c>
      <c r="G107" s="33"/>
      <c r="H107" s="81"/>
      <c r="I107" s="33"/>
      <c r="J107" s="33"/>
    </row>
    <row r="108" spans="1:10" s="26" customFormat="1" x14ac:dyDescent="0.2">
      <c r="A108" s="83">
        <v>1</v>
      </c>
      <c r="B108" s="69">
        <f>B19</f>
        <v>41000000</v>
      </c>
      <c r="C108" s="135">
        <f t="shared" ref="C108:C117" si="40">E84</f>
        <v>5000000</v>
      </c>
      <c r="D108" s="135">
        <f>(B108-C108)*$C$103</f>
        <v>1080000</v>
      </c>
      <c r="E108" s="135">
        <f>C108+D108</f>
        <v>6080000</v>
      </c>
      <c r="F108" s="64">
        <f>B108-E108</f>
        <v>34920000</v>
      </c>
      <c r="G108" s="33"/>
      <c r="H108" s="81"/>
      <c r="I108" s="33"/>
      <c r="J108" s="33"/>
    </row>
    <row r="109" spans="1:10" s="26" customFormat="1" x14ac:dyDescent="0.2">
      <c r="A109" s="83">
        <v>2</v>
      </c>
      <c r="B109" s="69">
        <f t="shared" ref="B109:B117" si="41">B20</f>
        <v>41000000</v>
      </c>
      <c r="C109" s="135">
        <f t="shared" si="40"/>
        <v>5000000</v>
      </c>
      <c r="D109" s="135">
        <f t="shared" ref="D109:D117" si="42">(B109-C109)*$C$103</f>
        <v>1080000</v>
      </c>
      <c r="E109" s="135">
        <f t="shared" ref="E109:E117" si="43">C109+D109</f>
        <v>6080000</v>
      </c>
      <c r="F109" s="64">
        <f t="shared" ref="F109:F117" si="44">B109-E109</f>
        <v>34920000</v>
      </c>
      <c r="G109" s="33"/>
      <c r="H109" s="81"/>
      <c r="I109" s="33"/>
      <c r="J109" s="33"/>
    </row>
    <row r="110" spans="1:10" s="26" customFormat="1" x14ac:dyDescent="0.2">
      <c r="A110" s="83">
        <v>3</v>
      </c>
      <c r="B110" s="69">
        <f t="shared" si="41"/>
        <v>41000000</v>
      </c>
      <c r="C110" s="135">
        <f t="shared" si="40"/>
        <v>5000000</v>
      </c>
      <c r="D110" s="135">
        <f t="shared" si="42"/>
        <v>1080000</v>
      </c>
      <c r="E110" s="135">
        <f t="shared" si="43"/>
        <v>6080000</v>
      </c>
      <c r="F110" s="64">
        <f t="shared" si="44"/>
        <v>34920000</v>
      </c>
      <c r="G110" s="33"/>
      <c r="H110" s="81"/>
      <c r="I110" s="33"/>
      <c r="J110" s="33"/>
    </row>
    <row r="111" spans="1:10" s="26" customFormat="1" x14ac:dyDescent="0.2">
      <c r="A111" s="83">
        <v>4</v>
      </c>
      <c r="B111" s="69">
        <f t="shared" si="41"/>
        <v>41000000</v>
      </c>
      <c r="C111" s="135">
        <f t="shared" si="40"/>
        <v>5000000</v>
      </c>
      <c r="D111" s="135">
        <f t="shared" si="42"/>
        <v>1080000</v>
      </c>
      <c r="E111" s="135">
        <f t="shared" si="43"/>
        <v>6080000</v>
      </c>
      <c r="F111" s="64">
        <f t="shared" si="44"/>
        <v>34920000</v>
      </c>
      <c r="G111" s="33"/>
      <c r="H111" s="81"/>
      <c r="I111" s="33"/>
      <c r="J111" s="33"/>
    </row>
    <row r="112" spans="1:10" s="26" customFormat="1" x14ac:dyDescent="0.2">
      <c r="A112" s="83">
        <v>5</v>
      </c>
      <c r="B112" s="69">
        <f t="shared" si="41"/>
        <v>41000000</v>
      </c>
      <c r="C112" s="135">
        <f t="shared" si="40"/>
        <v>5000000</v>
      </c>
      <c r="D112" s="135">
        <f t="shared" si="42"/>
        <v>1080000</v>
      </c>
      <c r="E112" s="135">
        <f t="shared" si="43"/>
        <v>6080000</v>
      </c>
      <c r="F112" s="64">
        <f t="shared" si="44"/>
        <v>34920000</v>
      </c>
      <c r="G112" s="33"/>
      <c r="H112" s="81"/>
      <c r="I112" s="33"/>
      <c r="J112" s="33"/>
    </row>
    <row r="113" spans="1:10" s="26" customFormat="1" x14ac:dyDescent="0.2">
      <c r="A113" s="83">
        <v>6</v>
      </c>
      <c r="B113" s="69">
        <f t="shared" si="41"/>
        <v>41000000</v>
      </c>
      <c r="C113" s="135">
        <f t="shared" si="40"/>
        <v>5000000</v>
      </c>
      <c r="D113" s="135">
        <f t="shared" si="42"/>
        <v>1080000</v>
      </c>
      <c r="E113" s="135">
        <f t="shared" si="43"/>
        <v>6080000</v>
      </c>
      <c r="F113" s="64">
        <f t="shared" si="44"/>
        <v>34920000</v>
      </c>
      <c r="G113" s="33"/>
      <c r="H113" s="81"/>
      <c r="I113" s="33"/>
      <c r="J113" s="33"/>
    </row>
    <row r="114" spans="1:10" s="26" customFormat="1" x14ac:dyDescent="0.2">
      <c r="A114" s="83">
        <v>7</v>
      </c>
      <c r="B114" s="69">
        <f t="shared" si="41"/>
        <v>41000000</v>
      </c>
      <c r="C114" s="135">
        <f t="shared" si="40"/>
        <v>5000000</v>
      </c>
      <c r="D114" s="135">
        <f t="shared" si="42"/>
        <v>1080000</v>
      </c>
      <c r="E114" s="135">
        <f t="shared" si="43"/>
        <v>6080000</v>
      </c>
      <c r="F114" s="64">
        <f t="shared" si="44"/>
        <v>34920000</v>
      </c>
      <c r="G114" s="33"/>
      <c r="H114" s="81"/>
      <c r="I114" s="33"/>
      <c r="J114" s="33"/>
    </row>
    <row r="115" spans="1:10" s="26" customFormat="1" x14ac:dyDescent="0.2">
      <c r="A115" s="83">
        <v>8</v>
      </c>
      <c r="B115" s="69">
        <f t="shared" si="41"/>
        <v>41000000</v>
      </c>
      <c r="C115" s="135">
        <f t="shared" si="40"/>
        <v>5000000</v>
      </c>
      <c r="D115" s="135">
        <f t="shared" si="42"/>
        <v>1080000</v>
      </c>
      <c r="E115" s="135">
        <f t="shared" si="43"/>
        <v>6080000</v>
      </c>
      <c r="F115" s="64">
        <f t="shared" si="44"/>
        <v>34920000</v>
      </c>
      <c r="G115" s="33"/>
      <c r="H115" s="81"/>
      <c r="I115" s="33"/>
      <c r="J115" s="33"/>
    </row>
    <row r="116" spans="1:10" s="26" customFormat="1" x14ac:dyDescent="0.2">
      <c r="A116" s="83">
        <v>9</v>
      </c>
      <c r="B116" s="69">
        <f t="shared" si="41"/>
        <v>36000000</v>
      </c>
      <c r="C116" s="135">
        <f t="shared" si="40"/>
        <v>0</v>
      </c>
      <c r="D116" s="135">
        <f t="shared" si="42"/>
        <v>1080000</v>
      </c>
      <c r="E116" s="135">
        <f t="shared" si="43"/>
        <v>1080000</v>
      </c>
      <c r="F116" s="64">
        <f t="shared" si="44"/>
        <v>34920000</v>
      </c>
      <c r="G116" s="33"/>
      <c r="H116" s="81"/>
      <c r="I116" s="33"/>
      <c r="J116" s="33"/>
    </row>
    <row r="117" spans="1:10" s="26" customFormat="1" ht="15" thickBot="1" x14ac:dyDescent="0.25">
      <c r="A117" s="84">
        <v>10</v>
      </c>
      <c r="B117" s="71">
        <f t="shared" si="41"/>
        <v>36000000</v>
      </c>
      <c r="C117" s="136">
        <f t="shared" si="40"/>
        <v>0</v>
      </c>
      <c r="D117" s="136">
        <f t="shared" si="42"/>
        <v>1080000</v>
      </c>
      <c r="E117" s="136">
        <f t="shared" si="43"/>
        <v>1080000</v>
      </c>
      <c r="F117" s="65">
        <f t="shared" si="44"/>
        <v>34920000</v>
      </c>
      <c r="G117" s="33"/>
      <c r="H117" s="81"/>
      <c r="I117" s="33"/>
      <c r="J117" s="33"/>
    </row>
    <row r="118" spans="1:10" s="26" customFormat="1" ht="15" x14ac:dyDescent="0.25">
      <c r="A118" s="85" t="s">
        <v>39</v>
      </c>
      <c r="B118" s="54">
        <f>SUM(B108:B117)</f>
        <v>400000000</v>
      </c>
      <c r="C118" s="63">
        <f t="shared" ref="C118" si="45">SUM(C108:C117)</f>
        <v>40000000</v>
      </c>
      <c r="D118" s="54">
        <f>SUM(D108:D117)</f>
        <v>10800000</v>
      </c>
      <c r="E118" s="54">
        <f>SUM(E108:E117)</f>
        <v>50800000</v>
      </c>
      <c r="F118" s="54">
        <f>SUM(F108:F117)</f>
        <v>349200000</v>
      </c>
      <c r="G118" s="33"/>
      <c r="H118" s="81"/>
      <c r="I118" s="33"/>
      <c r="J118" s="33"/>
    </row>
    <row r="119" spans="1:10" s="26" customFormat="1" ht="15" x14ac:dyDescent="0.25">
      <c r="A119" s="128"/>
      <c r="B119" s="129"/>
      <c r="C119" s="130"/>
      <c r="D119" s="129"/>
      <c r="E119" s="33"/>
      <c r="F119" s="33"/>
      <c r="G119" s="33"/>
      <c r="H119" s="81"/>
      <c r="J119" s="33"/>
    </row>
    <row r="120" spans="1:10" s="26" customFormat="1" ht="15" x14ac:dyDescent="0.25">
      <c r="A120" s="137" t="s">
        <v>94</v>
      </c>
      <c r="B120" s="129"/>
      <c r="C120" s="130"/>
      <c r="D120" s="129"/>
      <c r="E120" s="33"/>
      <c r="F120" s="33"/>
      <c r="G120" s="33"/>
      <c r="H120" s="81"/>
    </row>
    <row r="121" spans="1:10" s="26" customFormat="1" ht="15" x14ac:dyDescent="0.25">
      <c r="A121" s="128"/>
      <c r="B121" s="129"/>
      <c r="C121" s="130"/>
      <c r="D121" s="129"/>
      <c r="E121" s="33"/>
      <c r="F121" s="33"/>
      <c r="G121" s="33"/>
      <c r="H121" s="81"/>
    </row>
    <row r="122" spans="1:10" ht="14.25" customHeight="1" thickBot="1" x14ac:dyDescent="0.25">
      <c r="A122" s="87"/>
      <c r="B122" s="88"/>
      <c r="C122" s="88"/>
      <c r="D122" s="88"/>
      <c r="E122" s="88"/>
      <c r="F122" s="88"/>
      <c r="G122" s="88"/>
      <c r="H122" s="89"/>
    </row>
  </sheetData>
  <mergeCells count="5">
    <mergeCell ref="A100:H100"/>
    <mergeCell ref="A16:H16"/>
    <mergeCell ref="A33:H33"/>
    <mergeCell ref="A42:H42"/>
    <mergeCell ref="A81:H81"/>
  </mergeCells>
  <pageMargins left="0.7" right="0.7" top="0.75" bottom="0.75" header="0.3" footer="0.3"/>
  <pageSetup scale="71" orientation="landscape" r:id="rId1"/>
  <rowBreaks count="2" manualBreakCount="2">
    <brk id="30" max="16383" man="1"/>
    <brk id="77" max="20"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Charges</vt:lpstr>
      <vt:lpstr>Interest Calculator</vt:lpstr>
      <vt:lpstr>Interval Level Holdback EXAMPLE</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Drauschak, Lisa</dc:creator>
  <cp:lastModifiedBy>Morelli, Lisa K.</cp:lastModifiedBy>
  <dcterms:created xsi:type="dcterms:W3CDTF">2019-10-29T21:38:08Z</dcterms:created>
  <dcterms:modified xsi:type="dcterms:W3CDTF">2023-04-14T12:31:41Z</dcterms:modified>
</cp:coreProperties>
</file>