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5180" windowHeight="7380"/>
  </bookViews>
  <sheets>
    <sheet name="Benefit Trend Line" sheetId="1" r:id="rId1"/>
    <sheet name="Annual Revenue Requirements " sheetId="2" r:id="rId2"/>
    <sheet name="10 Year vs 15 Year" sheetId="4" r:id="rId3"/>
    <sheet name="Benefit Adjustment " sheetId="3" r:id="rId4"/>
  </sheets>
  <externalReferences>
    <externalReference r:id="rId5"/>
  </externalReferences>
  <definedNames>
    <definedName name="FCR">[1]Setup!$P$4</definedName>
  </definedNames>
  <calcPr calcId="145621"/>
</workbook>
</file>

<file path=xl/calcChain.xml><?xml version="1.0" encoding="utf-8"?>
<calcChain xmlns="http://schemas.openxmlformats.org/spreadsheetml/2006/main">
  <c r="J20" i="2" l="1"/>
  <c r="C4" i="4"/>
  <c r="C4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8" i="4"/>
  <c r="E27" i="4" s="1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C8" i="2"/>
  <c r="G6" i="2"/>
  <c r="G5" i="2"/>
  <c r="G8" i="1"/>
  <c r="G9" i="1"/>
  <c r="G10" i="1"/>
  <c r="D15" i="3" s="1"/>
  <c r="G11" i="1"/>
  <c r="E15" i="3" s="1"/>
  <c r="G12" i="1"/>
  <c r="F8" i="3" s="1"/>
  <c r="G13" i="1"/>
  <c r="G8" i="3" s="1"/>
  <c r="G14" i="1"/>
  <c r="H15" i="3" s="1"/>
  <c r="G15" i="1"/>
  <c r="I15" i="3" s="1"/>
  <c r="G16" i="1"/>
  <c r="J8" i="3" s="1"/>
  <c r="G17" i="1"/>
  <c r="K8" i="3" s="1"/>
  <c r="G18" i="1"/>
  <c r="L15" i="3" s="1"/>
  <c r="G19" i="1"/>
  <c r="M15" i="3" s="1"/>
  <c r="G20" i="1"/>
  <c r="N8" i="3" s="1"/>
  <c r="G21" i="1"/>
  <c r="O8" i="3" s="1"/>
  <c r="G22" i="1"/>
  <c r="P15" i="3" s="1"/>
  <c r="G23" i="1"/>
  <c r="Q15" i="3" s="1"/>
  <c r="G7" i="1"/>
  <c r="D14" i="4"/>
  <c r="D19" i="4"/>
  <c r="H5" i="2"/>
  <c r="H6" i="2"/>
  <c r="I5" i="2"/>
  <c r="J5" i="2"/>
  <c r="H7" i="2"/>
  <c r="I6" i="2"/>
  <c r="J6" i="2"/>
  <c r="H8" i="2"/>
  <c r="I7" i="2"/>
  <c r="J7" i="2"/>
  <c r="H9" i="2"/>
  <c r="I8" i="2"/>
  <c r="J8" i="2"/>
  <c r="H10" i="2"/>
  <c r="I9" i="2"/>
  <c r="J9" i="2"/>
  <c r="H11" i="2"/>
  <c r="I10" i="2"/>
  <c r="J10" i="2"/>
  <c r="H12" i="2"/>
  <c r="I11" i="2"/>
  <c r="J11" i="2"/>
  <c r="H13" i="2"/>
  <c r="I12" i="2"/>
  <c r="J12" i="2"/>
  <c r="H14" i="2"/>
  <c r="I13" i="2"/>
  <c r="J13" i="2"/>
  <c r="H15" i="2"/>
  <c r="I14" i="2"/>
  <c r="J14" i="2"/>
  <c r="H16" i="2"/>
  <c r="I15" i="2"/>
  <c r="J15" i="2"/>
  <c r="H17" i="2"/>
  <c r="I16" i="2"/>
  <c r="J16" i="2"/>
  <c r="H18" i="2"/>
  <c r="I17" i="2"/>
  <c r="J17" i="2"/>
  <c r="H19" i="2"/>
  <c r="I19" i="2"/>
  <c r="J19" i="2"/>
  <c r="I18" i="2"/>
  <c r="J18" i="2"/>
  <c r="D10" i="4" l="1"/>
  <c r="D21" i="4"/>
  <c r="D13" i="4"/>
  <c r="D22" i="4"/>
  <c r="C8" i="3"/>
  <c r="G24" i="1"/>
  <c r="D8" i="3"/>
  <c r="D15" i="4"/>
  <c r="D17" i="4"/>
  <c r="H8" i="3"/>
  <c r="L8" i="3"/>
  <c r="D9" i="4"/>
  <c r="P8" i="3"/>
  <c r="F15" i="3"/>
  <c r="D8" i="4"/>
  <c r="E8" i="3"/>
  <c r="I8" i="3"/>
  <c r="M8" i="3"/>
  <c r="Q8" i="3"/>
  <c r="G15" i="3"/>
  <c r="K15" i="3"/>
  <c r="O15" i="3"/>
  <c r="D20" i="4"/>
  <c r="J15" i="3"/>
  <c r="N15" i="3"/>
  <c r="D12" i="4"/>
  <c r="D11" i="4"/>
  <c r="D16" i="4"/>
  <c r="D18" i="4"/>
  <c r="D27" i="4"/>
  <c r="C19" i="3"/>
  <c r="C11" i="3"/>
  <c r="D26" i="4" l="1"/>
  <c r="C18" i="3"/>
  <c r="C20" i="3" s="1"/>
  <c r="C10" i="3"/>
  <c r="C12" i="3" s="1"/>
  <c r="E26" i="4"/>
  <c r="E28" i="4" s="1"/>
  <c r="D28" i="4"/>
</calcChain>
</file>

<file path=xl/sharedStrings.xml><?xml version="1.0" encoding="utf-8"?>
<sst xmlns="http://schemas.openxmlformats.org/spreadsheetml/2006/main" count="126" uniqueCount="74">
  <si>
    <t>Trend Year</t>
  </si>
  <si>
    <t>Yearly Annual Revenue Requirements</t>
  </si>
  <si>
    <t>Simulation Year</t>
  </si>
  <si>
    <t>Year</t>
  </si>
  <si>
    <t>RTEP</t>
  </si>
  <si>
    <t>RTEP+2</t>
  </si>
  <si>
    <t>RTEP+4</t>
  </si>
  <si>
    <t>RTO-Level Average Useful Life</t>
  </si>
  <si>
    <t>Annual Depreciation %</t>
  </si>
  <si>
    <t>RTO-Level Average Carrying Charge</t>
  </si>
  <si>
    <t>Simulated Year (for Chart)</t>
  </si>
  <si>
    <t>Simulated Year (for Trend)</t>
  </si>
  <si>
    <t>15-year Calcs</t>
  </si>
  <si>
    <t>10-year Calcs</t>
  </si>
  <si>
    <t>PV Benefits</t>
  </si>
  <si>
    <t>PV Costs</t>
  </si>
  <si>
    <t>B/C Ratio</t>
  </si>
  <si>
    <t>Annual Depreciation ($M)</t>
  </si>
  <si>
    <t>Accumulated Depreciation ($M)</t>
  </si>
  <si>
    <t>Ending Carrying Value ($M)</t>
  </si>
  <si>
    <t>Discount rate</t>
  </si>
  <si>
    <t>Project 1
In-Service Year = RTEP</t>
  </si>
  <si>
    <t>Annual benefit</t>
  </si>
  <si>
    <t>Annual revenue requirement</t>
  </si>
  <si>
    <t>PV of benefits in project in-service year</t>
  </si>
  <si>
    <t>PV of costs in project in-service year</t>
  </si>
  <si>
    <t>B/C ratio</t>
  </si>
  <si>
    <t>Project 2
In-Service Year = RTEP+1</t>
  </si>
  <si>
    <t>Lost savings in RTEP</t>
  </si>
  <si>
    <t>Discount Rate</t>
  </si>
  <si>
    <t>Project Capital Cost ($M)</t>
  </si>
  <si>
    <t>Annual Revenue Requirement ($M)</t>
  </si>
  <si>
    <t>Simulated NLP Reduction (for Trend) ($M)</t>
  </si>
  <si>
    <t>Estimated Benefit ($M)</t>
  </si>
  <si>
    <t>Simulated NLP Reduction 
(for Chart) ($M)</t>
  </si>
  <si>
    <t>Annual Benefit ($M)</t>
  </si>
  <si>
    <t>RTEP+1</t>
  </si>
  <si>
    <t>RTEP+3</t>
  </si>
  <si>
    <t>RTEP+5</t>
  </si>
  <si>
    <t>RTEP+6</t>
  </si>
  <si>
    <t>RTEP+7</t>
  </si>
  <si>
    <t>RTEP+8</t>
  </si>
  <si>
    <t>RTEP+9</t>
  </si>
  <si>
    <t>RTEP+10</t>
  </si>
  <si>
    <t>RTEP+11</t>
  </si>
  <si>
    <t>RTEP+12</t>
  </si>
  <si>
    <t>RTEP+13</t>
  </si>
  <si>
    <t>RTEP+14</t>
  </si>
  <si>
    <t>RTEP - 2</t>
  </si>
  <si>
    <t>RTEP - 1</t>
  </si>
  <si>
    <t>RTEP +1</t>
  </si>
  <si>
    <t>RTEP +2</t>
  </si>
  <si>
    <t>RTEP +3</t>
  </si>
  <si>
    <t>RTEP +4</t>
  </si>
  <si>
    <t>RTEP +5</t>
  </si>
  <si>
    <t>RTEP +6</t>
  </si>
  <si>
    <t>RTEP +7</t>
  </si>
  <si>
    <t>RTEP +8</t>
  </si>
  <si>
    <t>RTEP +9</t>
  </si>
  <si>
    <t>RTEP +10</t>
  </si>
  <si>
    <t>RTEP +11</t>
  </si>
  <si>
    <t>RTEP +12</t>
  </si>
  <si>
    <t>RTEP +13</t>
  </si>
  <si>
    <t>RTEP +14</t>
  </si>
  <si>
    <t>In-Service Date</t>
  </si>
  <si>
    <t>Carrying Charge</t>
  </si>
  <si>
    <t>Example Comparison 10-Years BC Ratio vs. 15-Years BC Ratio</t>
  </si>
  <si>
    <t>NPV Total</t>
  </si>
  <si>
    <t>Example 15-Years Annual Revenue Requirements</t>
  </si>
  <si>
    <t>In-Service Year</t>
  </si>
  <si>
    <t>Example 15-Years Benefits Calculation</t>
  </si>
  <si>
    <t>Cost Inputs</t>
  </si>
  <si>
    <t>Example Benefits Adjustment Project with In-Service Date One Year Later</t>
  </si>
  <si>
    <t>NPV Total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</si>
</sst>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"/>
    <numFmt numFmtId="165" formatCode="&quot;$&quot;#,##0"/>
    <numFmt numFmtId="166" formatCode="0.00_);[Red]\(0.00\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/>
    <xf numFmtId="8" fontId="0" fillId="2" borderId="0" xfId="0" applyNumberFormat="1" applyFill="1"/>
    <xf numFmtId="0" fontId="2" fillId="2" borderId="10" xfId="0" applyFont="1" applyFill="1" applyBorder="1" applyAlignment="1">
      <alignment wrapText="1"/>
    </xf>
    <xf numFmtId="0" fontId="0" fillId="2" borderId="1" xfId="0" applyFont="1" applyFill="1" applyBorder="1"/>
    <xf numFmtId="166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/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4" xfId="0" applyFill="1" applyBorder="1"/>
    <xf numFmtId="0" fontId="2" fillId="2" borderId="1" xfId="0" applyFont="1" applyFill="1" applyBorder="1"/>
    <xf numFmtId="1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NumberFormat="1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2" fontId="2" fillId="3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2" borderId="0" xfId="0" applyFont="1" applyFill="1"/>
    <xf numFmtId="0" fontId="2" fillId="2" borderId="18" xfId="0" applyFont="1" applyFill="1" applyBorder="1"/>
    <xf numFmtId="10" fontId="2" fillId="2" borderId="19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167" fontId="2" fillId="2" borderId="17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6" xfId="0" applyFont="1" applyFill="1" applyBorder="1"/>
    <xf numFmtId="44" fontId="0" fillId="2" borderId="0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44" fontId="0" fillId="2" borderId="8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8" fontId="0" fillId="2" borderId="20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44" fontId="0" fillId="3" borderId="2" xfId="1" applyFont="1" applyFill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44" fontId="0" fillId="2" borderId="26" xfId="1" applyFont="1" applyFill="1" applyBorder="1" applyAlignment="1">
      <alignment horizontal="center"/>
    </xf>
    <xf numFmtId="0" fontId="0" fillId="2" borderId="25" xfId="0" applyFill="1" applyBorder="1"/>
    <xf numFmtId="0" fontId="0" fillId="2" borderId="28" xfId="0" applyFill="1" applyBorder="1"/>
    <xf numFmtId="0" fontId="0" fillId="2" borderId="29" xfId="0" applyFill="1" applyBorder="1" applyAlignment="1">
      <alignment horizontal="center"/>
    </xf>
    <xf numFmtId="44" fontId="0" fillId="2" borderId="29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67" fontId="2" fillId="2" borderId="15" xfId="2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44" fontId="2" fillId="2" borderId="17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67" fontId="2" fillId="2" borderId="19" xfId="0" applyNumberFormat="1" applyFont="1" applyFill="1" applyBorder="1" applyAlignment="1">
      <alignment horizontal="center" vertical="center"/>
    </xf>
    <xf numFmtId="44" fontId="0" fillId="2" borderId="11" xfId="1" applyFont="1" applyFill="1" applyBorder="1" applyAlignment="1">
      <alignment horizontal="center"/>
    </xf>
    <xf numFmtId="44" fontId="0" fillId="2" borderId="27" xfId="1" applyFont="1" applyFill="1" applyBorder="1" applyAlignment="1">
      <alignment horizontal="center"/>
    </xf>
    <xf numFmtId="44" fontId="0" fillId="2" borderId="30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8" fontId="2" fillId="2" borderId="6" xfId="0" applyNumberFormat="1" applyFont="1" applyFill="1" applyBorder="1"/>
    <xf numFmtId="8" fontId="2" fillId="3" borderId="6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1152290174255"/>
          <c:y val="4.7777638906247831E-2"/>
          <c:w val="0.83590919556108123"/>
          <c:h val="0.67056534599841688"/>
        </c:manualLayout>
      </c:layout>
      <c:lineChart>
        <c:grouping val="standard"/>
        <c:varyColors val="0"/>
        <c:ser>
          <c:idx val="1"/>
          <c:order val="0"/>
          <c:tx>
            <c:v>Simulated Years</c:v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'Benefit Trend Line'!$E$7:$E$23</c:f>
              <c:numCache>
                <c:formatCode>General</c:formatCode>
                <c:ptCount val="17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</c:numCache>
            </c:numRef>
          </c:cat>
          <c:val>
            <c:numRef>
              <c:f>'Benefit Trend Line'!$I$7:$I$23</c:f>
              <c:numCache>
                <c:formatCode>"$"#,##0</c:formatCode>
                <c:ptCount val="17"/>
                <c:pt idx="0" formatCode="&quot;$&quot;#,##0.0">
                  <c:v>15.729305960000039</c:v>
                </c:pt>
                <c:pt idx="2" formatCode="&quot;$&quot;#,##0.0">
                  <c:v>8.8607292400000102</c:v>
                </c:pt>
                <c:pt idx="4" formatCode="&quot;$&quot;#,##0.0">
                  <c:v>16.06414625333333</c:v>
                </c:pt>
                <c:pt idx="6" formatCode="&quot;$&quot;#,##0.0">
                  <c:v>20.095933770000059</c:v>
                </c:pt>
              </c:numCache>
            </c:numRef>
          </c:val>
          <c:smooth val="0"/>
        </c:ser>
        <c:ser>
          <c:idx val="0"/>
          <c:order val="1"/>
          <c:tx>
            <c:v>Trend Line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'Benefit Trend Line'!$G$7:$G$23</c:f>
              <c:numCache>
                <c:formatCode>_("$"* #,##0.00_);_("$"* \(#,##0.00\);_("$"* "-"??_);_(@_)</c:formatCode>
                <c:ptCount val="17"/>
                <c:pt idx="0">
                  <c:v>12.142033739333101</c:v>
                </c:pt>
                <c:pt idx="1">
                  <c:v>13.157198761500013</c:v>
                </c:pt>
                <c:pt idx="2">
                  <c:v>14.172363783666469</c:v>
                </c:pt>
                <c:pt idx="3">
                  <c:v>15.187528805833381</c:v>
                </c:pt>
                <c:pt idx="4">
                  <c:v>16.202693827999838</c:v>
                </c:pt>
                <c:pt idx="5">
                  <c:v>17.217858850166749</c:v>
                </c:pt>
                <c:pt idx="6">
                  <c:v>18.233023872333206</c:v>
                </c:pt>
                <c:pt idx="7">
                  <c:v>19.248188894500117</c:v>
                </c:pt>
                <c:pt idx="8">
                  <c:v>20.263353916666574</c:v>
                </c:pt>
                <c:pt idx="9">
                  <c:v>21.278518938833486</c:v>
                </c:pt>
                <c:pt idx="10">
                  <c:v>22.293683960999942</c:v>
                </c:pt>
                <c:pt idx="11">
                  <c:v>23.308848983166854</c:v>
                </c:pt>
                <c:pt idx="12">
                  <c:v>24.324014005333311</c:v>
                </c:pt>
                <c:pt idx="13">
                  <c:v>25.339179027499767</c:v>
                </c:pt>
                <c:pt idx="14">
                  <c:v>26.354344049666679</c:v>
                </c:pt>
                <c:pt idx="15">
                  <c:v>27.369509071833136</c:v>
                </c:pt>
                <c:pt idx="16">
                  <c:v>28.384674094000047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8832"/>
        <c:axId val="389930368"/>
      </c:lineChart>
      <c:catAx>
        <c:axId val="38992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3540000"/>
          <a:lstStyle/>
          <a:p>
            <a:pPr>
              <a:defRPr sz="1400"/>
            </a:pPr>
            <a:endParaRPr lang="en-US"/>
          </a:p>
        </c:txPr>
        <c:crossAx val="389930368"/>
        <c:crosses val="autoZero"/>
        <c:auto val="1"/>
        <c:lblAlgn val="ctr"/>
        <c:lblOffset val="100"/>
        <c:noMultiLvlLbl val="0"/>
      </c:catAx>
      <c:valAx>
        <c:axId val="389930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Benefits ($ million)</a:t>
                </a:r>
              </a:p>
            </c:rich>
          </c:tx>
          <c:layout/>
          <c:overlay val="0"/>
        </c:title>
        <c:numFmt formatCode="\$#,##0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899288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0786092085561"/>
          <c:y val="3.5586983297369826E-2"/>
          <c:w val="0.8767846915014148"/>
          <c:h val="0.55823943915904217"/>
        </c:manualLayout>
      </c:layout>
      <c:barChart>
        <c:barDir val="col"/>
        <c:grouping val="clustered"/>
        <c:varyColors val="0"/>
        <c:ser>
          <c:idx val="0"/>
          <c:order val="0"/>
          <c:tx>
            <c:v>Annual Benefits</c:v>
          </c:tx>
          <c:invertIfNegative val="0"/>
          <c:cat>
            <c:numRef>
              <c:f>'Benefit Trend Line'!$E$9:$E$23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f>'10 Year vs 15 Year'!$D$8:$D$22</c:f>
              <c:numCache>
                <c:formatCode>_("$"* #,##0.00_);_("$"* \(#,##0.00\);_("$"* "-"??_);_(@_)</c:formatCode>
                <c:ptCount val="15"/>
                <c:pt idx="0">
                  <c:v>14.172363783666469</c:v>
                </c:pt>
                <c:pt idx="1">
                  <c:v>15.187528805833381</c:v>
                </c:pt>
                <c:pt idx="2">
                  <c:v>16.202693827999838</c:v>
                </c:pt>
                <c:pt idx="3">
                  <c:v>17.217858850166749</c:v>
                </c:pt>
                <c:pt idx="4">
                  <c:v>18.233023872333206</c:v>
                </c:pt>
                <c:pt idx="5">
                  <c:v>19.248188894500117</c:v>
                </c:pt>
                <c:pt idx="6">
                  <c:v>20.263353916666574</c:v>
                </c:pt>
                <c:pt idx="7">
                  <c:v>21.278518938833486</c:v>
                </c:pt>
                <c:pt idx="8">
                  <c:v>22.293683960999942</c:v>
                </c:pt>
                <c:pt idx="9">
                  <c:v>23.308848983166854</c:v>
                </c:pt>
                <c:pt idx="10">
                  <c:v>24.324014005333311</c:v>
                </c:pt>
                <c:pt idx="11">
                  <c:v>25.339179027499767</c:v>
                </c:pt>
                <c:pt idx="12">
                  <c:v>26.354344049666679</c:v>
                </c:pt>
                <c:pt idx="13">
                  <c:v>27.369509071833136</c:v>
                </c:pt>
                <c:pt idx="14">
                  <c:v>28.384674094000047</c:v>
                </c:pt>
              </c:numCache>
            </c:numRef>
          </c:val>
        </c:ser>
        <c:ser>
          <c:idx val="1"/>
          <c:order val="1"/>
          <c:tx>
            <c:v>Annual Revenue Requirements</c:v>
          </c:tx>
          <c:invertIfNegative val="0"/>
          <c:cat>
            <c:numRef>
              <c:f>'Benefit Trend Line'!$E$9:$E$23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f>'10 Year vs 15 Year'!$E$8:$E$22</c:f>
              <c:numCache>
                <c:formatCode>_("$"* #,##0.00_);_("$"* \(#,##0.00\);_("$"* "-"??_);_(@_)</c:formatCode>
                <c:ptCount val="15"/>
                <c:pt idx="0">
                  <c:v>7.84311111111111</c:v>
                </c:pt>
                <c:pt idx="1">
                  <c:v>7.6901111111111113</c:v>
                </c:pt>
                <c:pt idx="2">
                  <c:v>7.5371111111111109</c:v>
                </c:pt>
                <c:pt idx="3">
                  <c:v>7.3841111111111104</c:v>
                </c:pt>
                <c:pt idx="4">
                  <c:v>7.2311111111111099</c:v>
                </c:pt>
                <c:pt idx="5">
                  <c:v>7.0781111111111112</c:v>
                </c:pt>
                <c:pt idx="6">
                  <c:v>6.9251111111111108</c:v>
                </c:pt>
                <c:pt idx="7">
                  <c:v>6.7721111111111103</c:v>
                </c:pt>
                <c:pt idx="8">
                  <c:v>6.6191111111111098</c:v>
                </c:pt>
                <c:pt idx="9">
                  <c:v>6.4661111111111111</c:v>
                </c:pt>
                <c:pt idx="10">
                  <c:v>6.3131111111111107</c:v>
                </c:pt>
                <c:pt idx="11">
                  <c:v>6.160111111111112</c:v>
                </c:pt>
                <c:pt idx="12">
                  <c:v>6.0071111111111115</c:v>
                </c:pt>
                <c:pt idx="13">
                  <c:v>5.854111111111111</c:v>
                </c:pt>
                <c:pt idx="14">
                  <c:v>5.7011111111111106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94339072"/>
        <c:axId val="394340608"/>
      </c:barChart>
      <c:catAx>
        <c:axId val="3943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160000"/>
          <a:lstStyle/>
          <a:p>
            <a:pPr>
              <a:defRPr sz="1200"/>
            </a:pPr>
            <a:endParaRPr lang="en-US"/>
          </a:p>
        </c:txPr>
        <c:crossAx val="394340608"/>
        <c:crosses val="autoZero"/>
        <c:auto val="1"/>
        <c:lblAlgn val="ctr"/>
        <c:lblOffset val="100"/>
        <c:noMultiLvlLbl val="0"/>
      </c:catAx>
      <c:valAx>
        <c:axId val="394340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Cost &amp; Bernefit ($M)</a:t>
                </a:r>
              </a:p>
            </c:rich>
          </c:tx>
          <c:layout/>
          <c:overlay val="0"/>
        </c:title>
        <c:numFmt formatCode="\$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3943390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57151</xdr:colOff>
      <xdr:row>5</xdr:row>
      <xdr:rowOff>28575</xdr:rowOff>
    </xdr:from>
    <xdr:to>
      <xdr:col>16</xdr:col>
      <xdr:colOff>85726</xdr:colOff>
      <xdr:row>22</xdr:row>
      <xdr:rowOff>171450</xdr:rowOff>
    </xdr:to>
    <xdr:graphicFrame macro="">
      <xdr:nvGraphicFramePr>
        <xdr:cNvPr id="11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47625</xdr:rowOff>
    </xdr:from>
    <xdr:to>
      <xdr:col>16</xdr:col>
      <xdr:colOff>59055</xdr:colOff>
      <xdr:row>21</xdr:row>
      <xdr:rowOff>171450</xdr:rowOff>
    </xdr:to>
    <xdr:graphicFrame macro="">
      <xdr:nvGraphicFramePr>
        <xdr:cNvPr id="419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544831</xdr:colOff>
      <xdr:row>16</xdr:row>
      <xdr:rowOff>76198</xdr:rowOff>
    </xdr:from>
    <xdr:to>
      <xdr:col>12</xdr:col>
      <xdr:colOff>499111</xdr:colOff>
      <xdr:row>17</xdr:row>
      <xdr:rowOff>150493</xdr:rowOff>
    </xdr:to>
    <xdr:sp macro="" textlink="">
      <xdr:nvSpPr>
        <xdr:cNvPr id="10" name="Left Brace 9"/>
        <xdr:cNvSpPr/>
      </xdr:nvSpPr>
      <xdr:spPr>
        <a:xfrm rot="16200000">
          <a:off x="7680961" y="1836418"/>
          <a:ext cx="255270" cy="361188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8</xdr:col>
      <xdr:colOff>588646</xdr:colOff>
      <xdr:row>17</xdr:row>
      <xdr:rowOff>41912</xdr:rowOff>
    </xdr:from>
    <xdr:ext cx="1125116" cy="264560"/>
    <xdr:sp macro="" textlink="">
      <xdr:nvSpPr>
        <xdr:cNvPr id="11" name="TextBox 10"/>
        <xdr:cNvSpPr txBox="1"/>
      </xdr:nvSpPr>
      <xdr:spPr>
        <a:xfrm>
          <a:off x="7265671" y="3661412"/>
          <a:ext cx="1125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10-year BC ratio</a:t>
          </a:r>
        </a:p>
      </xdr:txBody>
    </xdr:sp>
    <xdr:clientData/>
  </xdr:oneCellAnchor>
  <xdr:twoCellAnchor>
    <xdr:from>
      <xdr:col>6</xdr:col>
      <xdr:colOff>544831</xdr:colOff>
      <xdr:row>18</xdr:row>
      <xdr:rowOff>45718</xdr:rowOff>
    </xdr:from>
    <xdr:to>
      <xdr:col>15</xdr:col>
      <xdr:colOff>468633</xdr:colOff>
      <xdr:row>19</xdr:row>
      <xdr:rowOff>118108</xdr:rowOff>
    </xdr:to>
    <xdr:sp macro="" textlink="">
      <xdr:nvSpPr>
        <xdr:cNvPr id="12" name="Left Brace 11"/>
        <xdr:cNvSpPr/>
      </xdr:nvSpPr>
      <xdr:spPr>
        <a:xfrm rot="16200000">
          <a:off x="8581074" y="1267775"/>
          <a:ext cx="253365" cy="541020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10</xdr:col>
      <xdr:colOff>268606</xdr:colOff>
      <xdr:row>19</xdr:row>
      <xdr:rowOff>19052</xdr:rowOff>
    </xdr:from>
    <xdr:ext cx="1125116" cy="264560"/>
    <xdr:sp macro="" textlink="">
      <xdr:nvSpPr>
        <xdr:cNvPr id="13" name="TextBox 12"/>
        <xdr:cNvSpPr txBox="1"/>
      </xdr:nvSpPr>
      <xdr:spPr>
        <a:xfrm>
          <a:off x="8164831" y="4000502"/>
          <a:ext cx="1125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15-year BC ratio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hon\Desktop\201617ME%2012D%20S1%20v2017-08-27___201617ME%20Base%20v2017-08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Descriptions"/>
      <sheetName val="BC_CA Results"/>
      <sheetName val="Sim.Results"/>
      <sheetName val="Setup"/>
      <sheetName val="NLP Analysis"/>
      <sheetName val="PRDCst Analysis"/>
    </sheetNames>
    <sheetDataSet>
      <sheetData sheetId="0"/>
      <sheetData sheetId="1"/>
      <sheetData sheetId="2"/>
      <sheetData sheetId="3"/>
      <sheetData sheetId="4">
        <row r="4">
          <cell r="P4">
            <v>0.153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="80" zoomScaleNormal="80" workbookViewId="0">
      <selection activeCell="C14" sqref="C14"/>
    </sheetView>
  </sheetViews>
  <sheetFormatPr defaultRowHeight="14.4" x14ac:dyDescent="0.3"/>
  <cols>
    <col min="1" max="1" width="8.88671875" style="12"/>
    <col min="2" max="2" width="14.5546875" style="12" bestFit="1" customWidth="1"/>
    <col min="3" max="3" width="14" style="12" customWidth="1"/>
    <col min="4" max="4" width="14.88671875" style="12" customWidth="1"/>
    <col min="5" max="5" width="17.33203125" style="12" bestFit="1" customWidth="1"/>
    <col min="6" max="6" width="14.6640625" style="12" bestFit="1" customWidth="1"/>
    <col min="7" max="7" width="13.33203125" style="12" customWidth="1"/>
    <col min="8" max="8" width="15.44140625" style="12" customWidth="1"/>
    <col min="9" max="9" width="14.5546875" style="12" customWidth="1"/>
    <col min="10" max="10" width="17.44140625" style="12" customWidth="1"/>
    <col min="11" max="11" width="7" style="12" bestFit="1" customWidth="1"/>
    <col min="12" max="12" width="12.109375" style="12" bestFit="1" customWidth="1"/>
    <col min="13" max="13" width="14.6640625" style="12" bestFit="1" customWidth="1"/>
    <col min="14" max="14" width="4.88671875" style="12" bestFit="1" customWidth="1"/>
    <col min="15" max="15" width="12.109375" style="12" customWidth="1"/>
    <col min="16" max="16" width="12.21875" style="12" bestFit="1" customWidth="1"/>
    <col min="17" max="18" width="13.5546875" style="12" customWidth="1"/>
    <col min="19" max="19" width="12.33203125" style="12" bestFit="1" customWidth="1"/>
    <col min="20" max="16384" width="8.88671875" style="12"/>
  </cols>
  <sheetData>
    <row r="1" spans="1:13" ht="18" x14ac:dyDescent="0.35">
      <c r="A1" s="37" t="s">
        <v>70</v>
      </c>
      <c r="B1" s="37"/>
      <c r="C1" s="75"/>
    </row>
    <row r="2" spans="1:13" ht="15" thickBot="1" x14ac:dyDescent="0.35"/>
    <row r="3" spans="1:13" x14ac:dyDescent="0.3">
      <c r="B3" s="42" t="s">
        <v>64</v>
      </c>
      <c r="C3" s="40" t="s">
        <v>4</v>
      </c>
    </row>
    <row r="4" spans="1:13" ht="15" thickBot="1" x14ac:dyDescent="0.35">
      <c r="B4" s="38" t="s">
        <v>20</v>
      </c>
      <c r="C4" s="78">
        <v>7.3999999999999996E-2</v>
      </c>
    </row>
    <row r="5" spans="1:13" ht="15" thickBot="1" x14ac:dyDescent="0.35"/>
    <row r="6" spans="1:13" ht="43.8" thickBot="1" x14ac:dyDescent="0.35">
      <c r="C6" s="2" t="s">
        <v>11</v>
      </c>
      <c r="D6" s="3" t="s">
        <v>32</v>
      </c>
      <c r="E6" s="6" t="s">
        <v>0</v>
      </c>
      <c r="F6" s="7" t="s">
        <v>2</v>
      </c>
      <c r="G6" s="4" t="s">
        <v>33</v>
      </c>
      <c r="H6" s="28" t="s">
        <v>10</v>
      </c>
      <c r="I6" s="28" t="s">
        <v>34</v>
      </c>
    </row>
    <row r="7" spans="1:13" x14ac:dyDescent="0.3">
      <c r="C7" s="1">
        <v>2021</v>
      </c>
      <c r="D7" s="48">
        <v>15.729305960000039</v>
      </c>
      <c r="E7" s="35">
        <v>2021</v>
      </c>
      <c r="F7" s="36" t="s">
        <v>48</v>
      </c>
      <c r="G7" s="79">
        <f t="shared" ref="G7:G23" si="0">TREND($D$7:$D$10,$C$7:$C$10,E7)</f>
        <v>12.142033739333101</v>
      </c>
      <c r="H7" s="29">
        <v>2021</v>
      </c>
      <c r="I7" s="30">
        <v>15.729305960000039</v>
      </c>
      <c r="M7" s="26"/>
    </row>
    <row r="8" spans="1:13" x14ac:dyDescent="0.3">
      <c r="C8" s="1">
        <v>2023</v>
      </c>
      <c r="D8" s="48">
        <v>8.8607292400000102</v>
      </c>
      <c r="E8" s="1">
        <v>2022</v>
      </c>
      <c r="F8" s="9" t="s">
        <v>49</v>
      </c>
      <c r="G8" s="49">
        <f t="shared" si="0"/>
        <v>13.157198761500013</v>
      </c>
      <c r="H8" s="29"/>
      <c r="I8" s="31"/>
      <c r="M8" s="26"/>
    </row>
    <row r="9" spans="1:13" x14ac:dyDescent="0.3">
      <c r="C9" s="1">
        <v>2025</v>
      </c>
      <c r="D9" s="48">
        <v>16.06414625333333</v>
      </c>
      <c r="E9" s="1">
        <v>2023</v>
      </c>
      <c r="F9" s="9" t="s">
        <v>4</v>
      </c>
      <c r="G9" s="58">
        <f t="shared" si="0"/>
        <v>14.172363783666469</v>
      </c>
      <c r="H9" s="29">
        <v>2023</v>
      </c>
      <c r="I9" s="30">
        <v>8.8607292400000102</v>
      </c>
      <c r="M9" s="26"/>
    </row>
    <row r="10" spans="1:13" ht="15" thickBot="1" x14ac:dyDescent="0.35">
      <c r="C10" s="5">
        <v>2027</v>
      </c>
      <c r="D10" s="50">
        <v>20.095933770000059</v>
      </c>
      <c r="E10" s="1">
        <v>2024</v>
      </c>
      <c r="F10" s="9" t="s">
        <v>50</v>
      </c>
      <c r="G10" s="58">
        <f t="shared" si="0"/>
        <v>15.187528805833381</v>
      </c>
      <c r="H10" s="29"/>
      <c r="I10" s="31"/>
      <c r="M10" s="26"/>
    </row>
    <row r="11" spans="1:13" x14ac:dyDescent="0.3">
      <c r="E11" s="1">
        <v>2025</v>
      </c>
      <c r="F11" s="9" t="s">
        <v>51</v>
      </c>
      <c r="G11" s="58">
        <f t="shared" si="0"/>
        <v>16.202693827999838</v>
      </c>
      <c r="H11" s="29">
        <v>2025</v>
      </c>
      <c r="I11" s="30">
        <v>16.06414625333333</v>
      </c>
      <c r="M11" s="26"/>
    </row>
    <row r="12" spans="1:13" x14ac:dyDescent="0.3">
      <c r="E12" s="1">
        <v>2026</v>
      </c>
      <c r="F12" s="9" t="s">
        <v>52</v>
      </c>
      <c r="G12" s="58">
        <f t="shared" si="0"/>
        <v>17.217858850166749</v>
      </c>
      <c r="H12" s="29"/>
      <c r="I12" s="31"/>
      <c r="M12" s="26"/>
    </row>
    <row r="13" spans="1:13" x14ac:dyDescent="0.3">
      <c r="E13" s="1">
        <v>2027</v>
      </c>
      <c r="F13" s="9" t="s">
        <v>53</v>
      </c>
      <c r="G13" s="58">
        <f t="shared" si="0"/>
        <v>18.233023872333206</v>
      </c>
      <c r="H13" s="29">
        <v>2027</v>
      </c>
      <c r="I13" s="30">
        <v>20.095933770000059</v>
      </c>
      <c r="M13" s="26"/>
    </row>
    <row r="14" spans="1:13" x14ac:dyDescent="0.3">
      <c r="E14" s="1">
        <v>2028</v>
      </c>
      <c r="F14" s="9" t="s">
        <v>54</v>
      </c>
      <c r="G14" s="58">
        <f t="shared" si="0"/>
        <v>19.248188894500117</v>
      </c>
      <c r="H14" s="27"/>
      <c r="I14" s="25"/>
      <c r="M14" s="26"/>
    </row>
    <row r="15" spans="1:13" x14ac:dyDescent="0.3">
      <c r="E15" s="1">
        <v>2029</v>
      </c>
      <c r="F15" s="9" t="s">
        <v>55</v>
      </c>
      <c r="G15" s="58">
        <f t="shared" si="0"/>
        <v>20.263353916666574</v>
      </c>
      <c r="H15" s="27"/>
      <c r="I15" s="25"/>
      <c r="M15" s="26"/>
    </row>
    <row r="16" spans="1:13" x14ac:dyDescent="0.3">
      <c r="E16" s="1">
        <v>2030</v>
      </c>
      <c r="F16" s="9" t="s">
        <v>56</v>
      </c>
      <c r="G16" s="58">
        <f t="shared" si="0"/>
        <v>21.278518938833486</v>
      </c>
      <c r="H16" s="27"/>
      <c r="I16" s="25"/>
      <c r="M16" s="26"/>
    </row>
    <row r="17" spans="5:26" x14ac:dyDescent="0.3">
      <c r="E17" s="1">
        <v>2031</v>
      </c>
      <c r="F17" s="9" t="s">
        <v>57</v>
      </c>
      <c r="G17" s="58">
        <f t="shared" si="0"/>
        <v>22.293683960999942</v>
      </c>
      <c r="H17" s="27"/>
      <c r="I17" s="25"/>
      <c r="M17" s="26"/>
    </row>
    <row r="18" spans="5:26" x14ac:dyDescent="0.3">
      <c r="E18" s="1">
        <v>2032</v>
      </c>
      <c r="F18" s="9" t="s">
        <v>58</v>
      </c>
      <c r="G18" s="58">
        <f t="shared" si="0"/>
        <v>23.308848983166854</v>
      </c>
      <c r="H18" s="27"/>
      <c r="I18" s="25"/>
      <c r="M18" s="26"/>
    </row>
    <row r="19" spans="5:26" x14ac:dyDescent="0.3">
      <c r="E19" s="1">
        <v>2033</v>
      </c>
      <c r="F19" s="9" t="s">
        <v>59</v>
      </c>
      <c r="G19" s="58">
        <f t="shared" si="0"/>
        <v>24.324014005333311</v>
      </c>
      <c r="H19" s="27"/>
      <c r="I19" s="25"/>
      <c r="M19" s="26"/>
    </row>
    <row r="20" spans="5:26" x14ac:dyDescent="0.3">
      <c r="E20" s="1">
        <v>2034</v>
      </c>
      <c r="F20" s="9" t="s">
        <v>60</v>
      </c>
      <c r="G20" s="58">
        <f t="shared" si="0"/>
        <v>25.339179027499767</v>
      </c>
      <c r="H20" s="27"/>
      <c r="I20" s="25"/>
      <c r="M20" s="26"/>
    </row>
    <row r="21" spans="5:26" x14ac:dyDescent="0.3">
      <c r="E21" s="1">
        <v>2035</v>
      </c>
      <c r="F21" s="9" t="s">
        <v>61</v>
      </c>
      <c r="G21" s="58">
        <f t="shared" si="0"/>
        <v>26.354344049666679</v>
      </c>
      <c r="H21" s="27"/>
      <c r="I21" s="25"/>
      <c r="M21" s="26"/>
    </row>
    <row r="22" spans="5:26" x14ac:dyDescent="0.3">
      <c r="E22" s="1">
        <v>2036</v>
      </c>
      <c r="F22" s="9" t="s">
        <v>62</v>
      </c>
      <c r="G22" s="58">
        <f t="shared" si="0"/>
        <v>27.369509071833136</v>
      </c>
      <c r="H22" s="27"/>
      <c r="I22" s="25"/>
      <c r="M22" s="26"/>
    </row>
    <row r="23" spans="5:26" ht="15" thickBot="1" x14ac:dyDescent="0.35">
      <c r="E23" s="5">
        <v>2037</v>
      </c>
      <c r="F23" s="10" t="s">
        <v>63</v>
      </c>
      <c r="G23" s="59">
        <f t="shared" si="0"/>
        <v>28.384674094000047</v>
      </c>
      <c r="H23" s="27"/>
      <c r="I23" s="25"/>
      <c r="M23" s="26"/>
    </row>
    <row r="24" spans="5:26" ht="15" thickBot="1" x14ac:dyDescent="0.35">
      <c r="E24" s="82" t="s">
        <v>73</v>
      </c>
      <c r="F24" s="11"/>
      <c r="G24" s="83">
        <f>NPV(C4,G9:G23)</f>
        <v>177.20859639330311</v>
      </c>
    </row>
    <row r="29" spans="5:26" x14ac:dyDescent="0.3">
      <c r="Z29" s="13"/>
    </row>
    <row r="43" spans="24:25" x14ac:dyDescent="0.3">
      <c r="X43" s="13"/>
      <c r="Y43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G23" sqref="G23"/>
    </sheetView>
  </sheetViews>
  <sheetFormatPr defaultRowHeight="14.4" x14ac:dyDescent="0.3"/>
  <cols>
    <col min="1" max="1" width="8.88671875" style="12"/>
    <col min="2" max="2" width="31.77734375" style="12" bestFit="1" customWidth="1"/>
    <col min="3" max="3" width="8.88671875" style="75"/>
    <col min="4" max="4" width="8.88671875" style="12"/>
    <col min="5" max="5" width="14.6640625" style="12" bestFit="1" customWidth="1"/>
    <col min="6" max="6" width="4.88671875" style="12" bestFit="1" customWidth="1"/>
    <col min="7" max="7" width="18.88671875" style="12" bestFit="1" customWidth="1"/>
    <col min="8" max="8" width="16.88671875" style="12" bestFit="1" customWidth="1"/>
    <col min="9" max="9" width="14.44140625" style="12" bestFit="1" customWidth="1"/>
    <col min="10" max="10" width="17.21875" style="12" bestFit="1" customWidth="1"/>
    <col min="11" max="16384" width="8.88671875" style="12"/>
  </cols>
  <sheetData>
    <row r="1" spans="1:10" ht="18" x14ac:dyDescent="0.35">
      <c r="A1" s="37" t="s">
        <v>68</v>
      </c>
      <c r="B1" s="37"/>
    </row>
    <row r="2" spans="1:10" ht="15" thickBot="1" x14ac:dyDescent="0.35"/>
    <row r="3" spans="1:10" ht="16.2" thickBot="1" x14ac:dyDescent="0.35">
      <c r="E3" s="85" t="s">
        <v>1</v>
      </c>
      <c r="F3" s="86"/>
      <c r="G3" s="86"/>
      <c r="H3" s="86"/>
      <c r="I3" s="86"/>
      <c r="J3" s="87"/>
    </row>
    <row r="4" spans="1:10" ht="45" customHeight="1" thickBot="1" x14ac:dyDescent="0.35">
      <c r="B4" s="71" t="s">
        <v>71</v>
      </c>
      <c r="C4" s="76"/>
      <c r="E4" s="60" t="s">
        <v>2</v>
      </c>
      <c r="F4" s="61" t="s">
        <v>3</v>
      </c>
      <c r="G4" s="62" t="s">
        <v>17</v>
      </c>
      <c r="H4" s="62" t="s">
        <v>18</v>
      </c>
      <c r="I4" s="62" t="s">
        <v>19</v>
      </c>
      <c r="J4" s="63" t="s">
        <v>31</v>
      </c>
    </row>
    <row r="5" spans="1:10" x14ac:dyDescent="0.3">
      <c r="B5" s="42" t="s">
        <v>29</v>
      </c>
      <c r="C5" s="72">
        <v>7.3999999999999996E-2</v>
      </c>
      <c r="E5" s="64" t="s">
        <v>4</v>
      </c>
      <c r="F5" s="65">
        <v>1</v>
      </c>
      <c r="G5" s="66">
        <f t="shared" ref="G5:G19" si="0">$C$6/$C$7</f>
        <v>1.1111111111111112</v>
      </c>
      <c r="H5" s="66">
        <f>G5</f>
        <v>1.1111111111111112</v>
      </c>
      <c r="I5" s="66">
        <f t="shared" ref="I5:I19" si="1">$C$6-H5</f>
        <v>48.888888888888886</v>
      </c>
      <c r="J5" s="80">
        <f t="shared" ref="J5:J19" si="2">I5*$C$9+G5</f>
        <v>7.84311111111111</v>
      </c>
    </row>
    <row r="6" spans="1:10" x14ac:dyDescent="0.3">
      <c r="B6" s="43" t="s">
        <v>30</v>
      </c>
      <c r="C6" s="74">
        <v>50</v>
      </c>
      <c r="E6" s="64"/>
      <c r="F6" s="65">
        <v>2</v>
      </c>
      <c r="G6" s="66">
        <f t="shared" si="0"/>
        <v>1.1111111111111112</v>
      </c>
      <c r="H6" s="66">
        <f t="shared" ref="H6:H19" si="3">G6+H5</f>
        <v>2.2222222222222223</v>
      </c>
      <c r="I6" s="66">
        <f t="shared" si="1"/>
        <v>47.777777777777779</v>
      </c>
      <c r="J6" s="80">
        <f t="shared" si="2"/>
        <v>7.6901111111111113</v>
      </c>
    </row>
    <row r="7" spans="1:10" x14ac:dyDescent="0.3">
      <c r="B7" s="43" t="s">
        <v>7</v>
      </c>
      <c r="C7" s="73">
        <v>45</v>
      </c>
      <c r="E7" s="64" t="s">
        <v>5</v>
      </c>
      <c r="F7" s="65">
        <v>3</v>
      </c>
      <c r="G7" s="66">
        <f t="shared" si="0"/>
        <v>1.1111111111111112</v>
      </c>
      <c r="H7" s="66">
        <f t="shared" si="3"/>
        <v>3.3333333333333335</v>
      </c>
      <c r="I7" s="66">
        <f t="shared" si="1"/>
        <v>46.666666666666664</v>
      </c>
      <c r="J7" s="80">
        <f t="shared" si="2"/>
        <v>7.5371111111111109</v>
      </c>
    </row>
    <row r="8" spans="1:10" x14ac:dyDescent="0.3">
      <c r="B8" s="43" t="s">
        <v>8</v>
      </c>
      <c r="C8" s="41">
        <f>1/C7</f>
        <v>2.2222222222222223E-2</v>
      </c>
      <c r="E8" s="64"/>
      <c r="F8" s="65">
        <v>4</v>
      </c>
      <c r="G8" s="66">
        <f t="shared" si="0"/>
        <v>1.1111111111111112</v>
      </c>
      <c r="H8" s="66">
        <f t="shared" si="3"/>
        <v>4.4444444444444446</v>
      </c>
      <c r="I8" s="66">
        <f t="shared" si="1"/>
        <v>45.555555555555557</v>
      </c>
      <c r="J8" s="80">
        <f t="shared" si="2"/>
        <v>7.3841111111111104</v>
      </c>
    </row>
    <row r="9" spans="1:10" x14ac:dyDescent="0.3">
      <c r="B9" s="43" t="s">
        <v>9</v>
      </c>
      <c r="C9" s="41">
        <v>0.13769999999999999</v>
      </c>
      <c r="E9" s="64" t="s">
        <v>6</v>
      </c>
      <c r="F9" s="65">
        <v>5</v>
      </c>
      <c r="G9" s="66">
        <f t="shared" si="0"/>
        <v>1.1111111111111112</v>
      </c>
      <c r="H9" s="66">
        <f t="shared" si="3"/>
        <v>5.5555555555555554</v>
      </c>
      <c r="I9" s="66">
        <f t="shared" si="1"/>
        <v>44.444444444444443</v>
      </c>
      <c r="J9" s="80">
        <f t="shared" si="2"/>
        <v>7.2311111111111099</v>
      </c>
    </row>
    <row r="10" spans="1:10" ht="15" thickBot="1" x14ac:dyDescent="0.35">
      <c r="B10" s="38" t="s">
        <v>69</v>
      </c>
      <c r="C10" s="77" t="s">
        <v>4</v>
      </c>
      <c r="E10" s="67"/>
      <c r="F10" s="65">
        <v>6</v>
      </c>
      <c r="G10" s="66">
        <f t="shared" si="0"/>
        <v>1.1111111111111112</v>
      </c>
      <c r="H10" s="66">
        <f t="shared" si="3"/>
        <v>6.6666666666666661</v>
      </c>
      <c r="I10" s="66">
        <f t="shared" si="1"/>
        <v>43.333333333333336</v>
      </c>
      <c r="J10" s="80">
        <f t="shared" si="2"/>
        <v>7.0781111111111112</v>
      </c>
    </row>
    <row r="11" spans="1:10" x14ac:dyDescent="0.3">
      <c r="E11" s="67"/>
      <c r="F11" s="65">
        <v>7</v>
      </c>
      <c r="G11" s="66">
        <f t="shared" si="0"/>
        <v>1.1111111111111112</v>
      </c>
      <c r="H11" s="66">
        <f t="shared" si="3"/>
        <v>7.7777777777777768</v>
      </c>
      <c r="I11" s="66">
        <f t="shared" si="1"/>
        <v>42.222222222222221</v>
      </c>
      <c r="J11" s="80">
        <f t="shared" si="2"/>
        <v>6.9251111111111108</v>
      </c>
    </row>
    <row r="12" spans="1:10" x14ac:dyDescent="0.3">
      <c r="E12" s="67"/>
      <c r="F12" s="65">
        <v>8</v>
      </c>
      <c r="G12" s="66">
        <f t="shared" si="0"/>
        <v>1.1111111111111112</v>
      </c>
      <c r="H12" s="66">
        <f t="shared" si="3"/>
        <v>8.8888888888888875</v>
      </c>
      <c r="I12" s="66">
        <f t="shared" si="1"/>
        <v>41.111111111111114</v>
      </c>
      <c r="J12" s="80">
        <f t="shared" si="2"/>
        <v>6.7721111111111103</v>
      </c>
    </row>
    <row r="13" spans="1:10" x14ac:dyDescent="0.3">
      <c r="E13" s="67"/>
      <c r="F13" s="65">
        <v>9</v>
      </c>
      <c r="G13" s="66">
        <f t="shared" si="0"/>
        <v>1.1111111111111112</v>
      </c>
      <c r="H13" s="66">
        <f t="shared" si="3"/>
        <v>9.9999999999999982</v>
      </c>
      <c r="I13" s="66">
        <f t="shared" si="1"/>
        <v>40</v>
      </c>
      <c r="J13" s="80">
        <f t="shared" si="2"/>
        <v>6.6191111111111098</v>
      </c>
    </row>
    <row r="14" spans="1:10" x14ac:dyDescent="0.3">
      <c r="E14" s="67"/>
      <c r="F14" s="65">
        <v>10</v>
      </c>
      <c r="G14" s="66">
        <f t="shared" si="0"/>
        <v>1.1111111111111112</v>
      </c>
      <c r="H14" s="66">
        <f t="shared" si="3"/>
        <v>11.111111111111109</v>
      </c>
      <c r="I14" s="66">
        <f t="shared" si="1"/>
        <v>38.888888888888893</v>
      </c>
      <c r="J14" s="80">
        <f t="shared" si="2"/>
        <v>6.4661111111111111</v>
      </c>
    </row>
    <row r="15" spans="1:10" x14ac:dyDescent="0.3">
      <c r="E15" s="67"/>
      <c r="F15" s="65">
        <v>11</v>
      </c>
      <c r="G15" s="66">
        <f t="shared" si="0"/>
        <v>1.1111111111111112</v>
      </c>
      <c r="H15" s="66">
        <f t="shared" si="3"/>
        <v>12.22222222222222</v>
      </c>
      <c r="I15" s="66">
        <f t="shared" si="1"/>
        <v>37.777777777777779</v>
      </c>
      <c r="J15" s="80">
        <f t="shared" si="2"/>
        <v>6.3131111111111107</v>
      </c>
    </row>
    <row r="16" spans="1:10" x14ac:dyDescent="0.3">
      <c r="E16" s="67"/>
      <c r="F16" s="65">
        <v>12</v>
      </c>
      <c r="G16" s="66">
        <f t="shared" si="0"/>
        <v>1.1111111111111112</v>
      </c>
      <c r="H16" s="66">
        <f t="shared" si="3"/>
        <v>13.33333333333333</v>
      </c>
      <c r="I16" s="66">
        <f t="shared" si="1"/>
        <v>36.666666666666671</v>
      </c>
      <c r="J16" s="80">
        <f t="shared" si="2"/>
        <v>6.160111111111112</v>
      </c>
    </row>
    <row r="17" spans="5:10" x14ac:dyDescent="0.3">
      <c r="E17" s="67"/>
      <c r="F17" s="65">
        <v>13</v>
      </c>
      <c r="G17" s="66">
        <f t="shared" si="0"/>
        <v>1.1111111111111112</v>
      </c>
      <c r="H17" s="66">
        <f t="shared" si="3"/>
        <v>14.444444444444441</v>
      </c>
      <c r="I17" s="66">
        <f t="shared" si="1"/>
        <v>35.555555555555557</v>
      </c>
      <c r="J17" s="80">
        <f t="shared" si="2"/>
        <v>6.0071111111111115</v>
      </c>
    </row>
    <row r="18" spans="5:10" x14ac:dyDescent="0.3">
      <c r="E18" s="67"/>
      <c r="F18" s="65">
        <v>14</v>
      </c>
      <c r="G18" s="66">
        <f t="shared" si="0"/>
        <v>1.1111111111111112</v>
      </c>
      <c r="H18" s="66">
        <f t="shared" si="3"/>
        <v>15.555555555555552</v>
      </c>
      <c r="I18" s="66">
        <f t="shared" si="1"/>
        <v>34.44444444444445</v>
      </c>
      <c r="J18" s="80">
        <f t="shared" si="2"/>
        <v>5.854111111111111</v>
      </c>
    </row>
    <row r="19" spans="5:10" ht="15" thickBot="1" x14ac:dyDescent="0.35">
      <c r="E19" s="68"/>
      <c r="F19" s="69">
        <v>15</v>
      </c>
      <c r="G19" s="70">
        <f t="shared" si="0"/>
        <v>1.1111111111111112</v>
      </c>
      <c r="H19" s="70">
        <f t="shared" si="3"/>
        <v>16.666666666666664</v>
      </c>
      <c r="I19" s="70">
        <f t="shared" si="1"/>
        <v>33.333333333333336</v>
      </c>
      <c r="J19" s="81">
        <f t="shared" si="2"/>
        <v>5.7011111111111106</v>
      </c>
    </row>
    <row r="20" spans="5:10" ht="15" thickBot="1" x14ac:dyDescent="0.35">
      <c r="E20" s="82" t="s">
        <v>67</v>
      </c>
      <c r="F20" s="11"/>
      <c r="G20" s="11"/>
      <c r="H20" s="11"/>
      <c r="I20" s="11"/>
      <c r="J20" s="84">
        <f>NPV(C5,J5:J19)</f>
        <v>61.928401883134605</v>
      </c>
    </row>
  </sheetData>
  <mergeCells count="1">
    <mergeCell ref="E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80" zoomScaleNormal="80" workbookViewId="0">
      <selection activeCell="T19" sqref="T19"/>
    </sheetView>
  </sheetViews>
  <sheetFormatPr defaultRowHeight="14.4" x14ac:dyDescent="0.3"/>
  <cols>
    <col min="1" max="1" width="8.88671875" style="12"/>
    <col min="2" max="2" width="14.6640625" style="12" bestFit="1" customWidth="1"/>
    <col min="3" max="3" width="15.33203125" style="12" customWidth="1"/>
    <col min="4" max="4" width="15.21875" style="12" customWidth="1"/>
    <col min="5" max="5" width="16.5546875" style="12" bestFit="1" customWidth="1"/>
    <col min="6" max="16384" width="8.88671875" style="12"/>
  </cols>
  <sheetData>
    <row r="1" spans="1:5" ht="18" x14ac:dyDescent="0.35">
      <c r="A1" s="37" t="s">
        <v>66</v>
      </c>
      <c r="B1" s="37"/>
    </row>
    <row r="2" spans="1:5" ht="15" thickBot="1" x14ac:dyDescent="0.35"/>
    <row r="3" spans="1:5" x14ac:dyDescent="0.3">
      <c r="B3" s="42" t="s">
        <v>64</v>
      </c>
      <c r="C3" s="40" t="s">
        <v>4</v>
      </c>
    </row>
    <row r="4" spans="1:5" x14ac:dyDescent="0.3">
      <c r="B4" s="43" t="s">
        <v>65</v>
      </c>
      <c r="C4" s="41">
        <f>'Annual Revenue Requirements '!C9</f>
        <v>0.13769999999999999</v>
      </c>
    </row>
    <row r="5" spans="1:5" ht="15" thickBot="1" x14ac:dyDescent="0.35">
      <c r="B5" s="38" t="s">
        <v>20</v>
      </c>
      <c r="C5" s="39">
        <v>7.3999999999999996E-2</v>
      </c>
    </row>
    <row r="6" spans="1:5" ht="15" thickBot="1" x14ac:dyDescent="0.35"/>
    <row r="7" spans="1:5" ht="51" customHeight="1" thickBot="1" x14ac:dyDescent="0.35">
      <c r="B7" s="6" t="s">
        <v>2</v>
      </c>
      <c r="C7" s="55" t="s">
        <v>3</v>
      </c>
      <c r="D7" s="3" t="s">
        <v>35</v>
      </c>
      <c r="E7" s="4" t="s">
        <v>31</v>
      </c>
    </row>
    <row r="8" spans="1:5" x14ac:dyDescent="0.3">
      <c r="B8" s="1" t="s">
        <v>4</v>
      </c>
      <c r="C8" s="56">
        <v>2023</v>
      </c>
      <c r="D8" s="48">
        <f>'Benefit Trend Line'!G9</f>
        <v>14.172363783666469</v>
      </c>
      <c r="E8" s="49">
        <f>'Annual Revenue Requirements '!J5</f>
        <v>7.84311111111111</v>
      </c>
    </row>
    <row r="9" spans="1:5" x14ac:dyDescent="0.3">
      <c r="B9" s="1" t="s">
        <v>50</v>
      </c>
      <c r="C9" s="56">
        <v>2024</v>
      </c>
      <c r="D9" s="48">
        <f>'Benefit Trend Line'!G10</f>
        <v>15.187528805833381</v>
      </c>
      <c r="E9" s="49">
        <f>'Annual Revenue Requirements '!J6</f>
        <v>7.6901111111111113</v>
      </c>
    </row>
    <row r="10" spans="1:5" x14ac:dyDescent="0.3">
      <c r="B10" s="1" t="s">
        <v>51</v>
      </c>
      <c r="C10" s="56">
        <v>2025</v>
      </c>
      <c r="D10" s="48">
        <f>'Benefit Trend Line'!G11</f>
        <v>16.202693827999838</v>
      </c>
      <c r="E10" s="49">
        <f>'Annual Revenue Requirements '!J7</f>
        <v>7.5371111111111109</v>
      </c>
    </row>
    <row r="11" spans="1:5" x14ac:dyDescent="0.3">
      <c r="B11" s="1" t="s">
        <v>52</v>
      </c>
      <c r="C11" s="56">
        <v>2026</v>
      </c>
      <c r="D11" s="48">
        <f>'Benefit Trend Line'!G12</f>
        <v>17.217858850166749</v>
      </c>
      <c r="E11" s="49">
        <f>'Annual Revenue Requirements '!J8</f>
        <v>7.3841111111111104</v>
      </c>
    </row>
    <row r="12" spans="1:5" x14ac:dyDescent="0.3">
      <c r="B12" s="1" t="s">
        <v>53</v>
      </c>
      <c r="C12" s="56">
        <v>2027</v>
      </c>
      <c r="D12" s="48">
        <f>'Benefit Trend Line'!G13</f>
        <v>18.233023872333206</v>
      </c>
      <c r="E12" s="49">
        <f>'Annual Revenue Requirements '!J9</f>
        <v>7.2311111111111099</v>
      </c>
    </row>
    <row r="13" spans="1:5" x14ac:dyDescent="0.3">
      <c r="B13" s="1" t="s">
        <v>54</v>
      </c>
      <c r="C13" s="56">
        <v>2028</v>
      </c>
      <c r="D13" s="48">
        <f>'Benefit Trend Line'!G14</f>
        <v>19.248188894500117</v>
      </c>
      <c r="E13" s="49">
        <f>'Annual Revenue Requirements '!J10</f>
        <v>7.0781111111111112</v>
      </c>
    </row>
    <row r="14" spans="1:5" x14ac:dyDescent="0.3">
      <c r="B14" s="1" t="s">
        <v>55</v>
      </c>
      <c r="C14" s="56">
        <v>2029</v>
      </c>
      <c r="D14" s="48">
        <f>'Benefit Trend Line'!G15</f>
        <v>20.263353916666574</v>
      </c>
      <c r="E14" s="49">
        <f>'Annual Revenue Requirements '!J11</f>
        <v>6.9251111111111108</v>
      </c>
    </row>
    <row r="15" spans="1:5" x14ac:dyDescent="0.3">
      <c r="B15" s="1" t="s">
        <v>56</v>
      </c>
      <c r="C15" s="56">
        <v>2030</v>
      </c>
      <c r="D15" s="48">
        <f>'Benefit Trend Line'!G16</f>
        <v>21.278518938833486</v>
      </c>
      <c r="E15" s="49">
        <f>'Annual Revenue Requirements '!J12</f>
        <v>6.7721111111111103</v>
      </c>
    </row>
    <row r="16" spans="1:5" x14ac:dyDescent="0.3">
      <c r="B16" s="1" t="s">
        <v>57</v>
      </c>
      <c r="C16" s="56">
        <v>2031</v>
      </c>
      <c r="D16" s="48">
        <f>'Benefit Trend Line'!G17</f>
        <v>22.293683960999942</v>
      </c>
      <c r="E16" s="49">
        <f>'Annual Revenue Requirements '!J13</f>
        <v>6.6191111111111098</v>
      </c>
    </row>
    <row r="17" spans="2:5" x14ac:dyDescent="0.3">
      <c r="B17" s="1" t="s">
        <v>58</v>
      </c>
      <c r="C17" s="56">
        <v>2032</v>
      </c>
      <c r="D17" s="48">
        <f>'Benefit Trend Line'!G18</f>
        <v>23.308848983166854</v>
      </c>
      <c r="E17" s="49">
        <f>'Annual Revenue Requirements '!J14</f>
        <v>6.4661111111111111</v>
      </c>
    </row>
    <row r="18" spans="2:5" x14ac:dyDescent="0.3">
      <c r="B18" s="1" t="s">
        <v>59</v>
      </c>
      <c r="C18" s="56">
        <v>2033</v>
      </c>
      <c r="D18" s="48">
        <f>'Benefit Trend Line'!G19</f>
        <v>24.324014005333311</v>
      </c>
      <c r="E18" s="49">
        <f>'Annual Revenue Requirements '!J15</f>
        <v>6.3131111111111107</v>
      </c>
    </row>
    <row r="19" spans="2:5" x14ac:dyDescent="0.3">
      <c r="B19" s="1" t="s">
        <v>60</v>
      </c>
      <c r="C19" s="56">
        <v>2034</v>
      </c>
      <c r="D19" s="48">
        <f>'Benefit Trend Line'!G20</f>
        <v>25.339179027499767</v>
      </c>
      <c r="E19" s="49">
        <f>'Annual Revenue Requirements '!J16</f>
        <v>6.160111111111112</v>
      </c>
    </row>
    <row r="20" spans="2:5" x14ac:dyDescent="0.3">
      <c r="B20" s="1" t="s">
        <v>61</v>
      </c>
      <c r="C20" s="56">
        <v>2035</v>
      </c>
      <c r="D20" s="48">
        <f>'Benefit Trend Line'!G21</f>
        <v>26.354344049666679</v>
      </c>
      <c r="E20" s="49">
        <f>'Annual Revenue Requirements '!J17</f>
        <v>6.0071111111111115</v>
      </c>
    </row>
    <row r="21" spans="2:5" x14ac:dyDescent="0.3">
      <c r="B21" s="1" t="s">
        <v>62</v>
      </c>
      <c r="C21" s="56">
        <v>2036</v>
      </c>
      <c r="D21" s="48">
        <f>'Benefit Trend Line'!G22</f>
        <v>27.369509071833136</v>
      </c>
      <c r="E21" s="49">
        <f>'Annual Revenue Requirements '!J18</f>
        <v>5.854111111111111</v>
      </c>
    </row>
    <row r="22" spans="2:5" ht="15" thickBot="1" x14ac:dyDescent="0.35">
      <c r="B22" s="5" t="s">
        <v>63</v>
      </c>
      <c r="C22" s="57">
        <v>2037</v>
      </c>
      <c r="D22" s="50">
        <f>'Benefit Trend Line'!G23</f>
        <v>28.384674094000047</v>
      </c>
      <c r="E22" s="51">
        <f>'Annual Revenue Requirements '!J19</f>
        <v>5.7011111111111106</v>
      </c>
    </row>
    <row r="23" spans="2:5" x14ac:dyDescent="0.3">
      <c r="D23" s="27"/>
    </row>
    <row r="24" spans="2:5" ht="15" thickBot="1" x14ac:dyDescent="0.35">
      <c r="D24" s="27"/>
    </row>
    <row r="25" spans="2:5" ht="15" thickBot="1" x14ac:dyDescent="0.35">
      <c r="C25" s="23"/>
      <c r="D25" s="52" t="s">
        <v>12</v>
      </c>
      <c r="E25" s="52" t="s">
        <v>13</v>
      </c>
    </row>
    <row r="26" spans="2:5" x14ac:dyDescent="0.3">
      <c r="C26" s="24" t="s">
        <v>14</v>
      </c>
      <c r="D26" s="54">
        <f>NPV(C5,D8:D22)</f>
        <v>177.20859639330311</v>
      </c>
      <c r="E26" s="54">
        <f>NPV(C5,D8:D17)</f>
        <v>125.13858770566399</v>
      </c>
    </row>
    <row r="27" spans="2:5" x14ac:dyDescent="0.3">
      <c r="C27" s="24" t="s">
        <v>15</v>
      </c>
      <c r="D27" s="54">
        <f>NPV(C5,E8:E22)</f>
        <v>61.928401883134605</v>
      </c>
      <c r="E27" s="54">
        <f>NPV(C5,E8:E17)</f>
        <v>49.950962410260651</v>
      </c>
    </row>
    <row r="28" spans="2:5" ht="15" thickBot="1" x14ac:dyDescent="0.35">
      <c r="C28" s="19" t="s">
        <v>16</v>
      </c>
      <c r="D28" s="53">
        <f>D26/D27</f>
        <v>2.8615076605353766</v>
      </c>
      <c r="E28" s="53">
        <f>E26/E27</f>
        <v>2.5052287617176865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0" zoomScaleNormal="80" workbookViewId="0">
      <selection activeCell="G31" sqref="G31"/>
    </sheetView>
  </sheetViews>
  <sheetFormatPr defaultRowHeight="14.4" x14ac:dyDescent="0.3"/>
  <cols>
    <col min="1" max="1" width="3.88671875" style="12" customWidth="1"/>
    <col min="2" max="2" width="33.21875" style="12" bestFit="1" customWidth="1"/>
    <col min="3" max="17" width="9.109375" style="12" customWidth="1"/>
    <col min="18" max="16384" width="8.88671875" style="12"/>
  </cols>
  <sheetData>
    <row r="1" spans="1:17" ht="18" x14ac:dyDescent="0.35">
      <c r="A1" s="37" t="s">
        <v>72</v>
      </c>
    </row>
    <row r="2" spans="1:17" ht="15.6" customHeight="1" thickBot="1" x14ac:dyDescent="0.35"/>
    <row r="3" spans="1:17" x14ac:dyDescent="0.3">
      <c r="B3" s="42" t="s">
        <v>64</v>
      </c>
      <c r="C3" s="40" t="s">
        <v>50</v>
      </c>
    </row>
    <row r="4" spans="1:17" x14ac:dyDescent="0.3">
      <c r="B4" s="43" t="s">
        <v>65</v>
      </c>
      <c r="C4" s="41">
        <f>'Annual Revenue Requirements '!C9</f>
        <v>0.13769999999999999</v>
      </c>
    </row>
    <row r="5" spans="1:17" ht="15" thickBot="1" x14ac:dyDescent="0.35">
      <c r="B5" s="38" t="s">
        <v>20</v>
      </c>
      <c r="C5" s="39">
        <v>7.3999999999999996E-2</v>
      </c>
    </row>
    <row r="6" spans="1:17" ht="15" thickBot="1" x14ac:dyDescent="0.35">
      <c r="C6" s="13"/>
    </row>
    <row r="7" spans="1:17" ht="29.4" thickBot="1" x14ac:dyDescent="0.35">
      <c r="B7" s="33" t="s">
        <v>21</v>
      </c>
      <c r="C7" s="7" t="s">
        <v>4</v>
      </c>
      <c r="D7" s="7" t="s">
        <v>36</v>
      </c>
      <c r="E7" s="7" t="s">
        <v>5</v>
      </c>
      <c r="F7" s="7" t="s">
        <v>37</v>
      </c>
      <c r="G7" s="7" t="s">
        <v>6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34" t="s">
        <v>47</v>
      </c>
    </row>
    <row r="8" spans="1:17" x14ac:dyDescent="0.3">
      <c r="B8" s="15" t="s">
        <v>22</v>
      </c>
      <c r="C8" s="44">
        <f>INDEX('Benefit Trend Line'!$G$9:$G$23,IFERROR(VALUE(MID(C7,5,LEN(C7)-4)),0)+1,0)</f>
        <v>14.172363783666469</v>
      </c>
      <c r="D8" s="44">
        <f>INDEX('Benefit Trend Line'!$G$9:$G$23,IFERROR(VALUE(MID(D7,5,LEN(D7)-4)),0)+1,0)</f>
        <v>15.187528805833381</v>
      </c>
      <c r="E8" s="44">
        <f>INDEX('Benefit Trend Line'!$G$9:$G$23,IFERROR(VALUE(MID(E7,5,LEN(E7)-4)),0)+1,0)</f>
        <v>16.202693827999838</v>
      </c>
      <c r="F8" s="44">
        <f>INDEX('Benefit Trend Line'!$G$9:$G$23,IFERROR(VALUE(MID(F7,5,LEN(F7)-4)),0)+1,0)</f>
        <v>17.217858850166749</v>
      </c>
      <c r="G8" s="44">
        <f>INDEX('Benefit Trend Line'!$G$9:$G$23,IFERROR(VALUE(MID(G7,5,LEN(G7)-4)),0)+1,0)</f>
        <v>18.233023872333206</v>
      </c>
      <c r="H8" s="44">
        <f>INDEX('Benefit Trend Line'!$G$9:$G$23,IFERROR(VALUE(MID(H7,5,LEN(H7)-4)),0)+1,0)</f>
        <v>19.248188894500117</v>
      </c>
      <c r="I8" s="44">
        <f>INDEX('Benefit Trend Line'!$G$9:$G$23,IFERROR(VALUE(MID(I7,5,LEN(I7)-4)),0)+1,0)</f>
        <v>20.263353916666574</v>
      </c>
      <c r="J8" s="44">
        <f>INDEX('Benefit Trend Line'!$G$9:$G$23,IFERROR(VALUE(MID(J7,5,LEN(J7)-4)),0)+1,0)</f>
        <v>21.278518938833486</v>
      </c>
      <c r="K8" s="44">
        <f>INDEX('Benefit Trend Line'!$G$9:$G$23,IFERROR(VALUE(MID(K7,5,LEN(K7)-4)),0)+1,0)</f>
        <v>22.293683960999942</v>
      </c>
      <c r="L8" s="44">
        <f>INDEX('Benefit Trend Line'!$G$9:$G$23,IFERROR(VALUE(MID(L7,5,LEN(L7)-4)),0)+1,0)</f>
        <v>23.308848983166854</v>
      </c>
      <c r="M8" s="44">
        <f>INDEX('Benefit Trend Line'!$G$9:$G$23,IFERROR(VALUE(MID(M7,5,LEN(M7)-4)),0)+1,0)</f>
        <v>24.324014005333311</v>
      </c>
      <c r="N8" s="44">
        <f>INDEX('Benefit Trend Line'!$G$9:$G$23,IFERROR(VALUE(MID(N7,5,LEN(N7)-4)),0)+1,0)</f>
        <v>25.339179027499767</v>
      </c>
      <c r="O8" s="44">
        <f>INDEX('Benefit Trend Line'!$G$9:$G$23,IFERROR(VALUE(MID(O7,5,LEN(O7)-4)),0)+1,0)</f>
        <v>26.354344049666679</v>
      </c>
      <c r="P8" s="44">
        <f>INDEX('Benefit Trend Line'!$G$9:$G$23,IFERROR(VALUE(MID(P7,5,LEN(P7)-4)),0)+1,0)</f>
        <v>27.369509071833136</v>
      </c>
      <c r="Q8" s="45">
        <f>INDEX('Benefit Trend Line'!$G$9:$G$23,IFERROR(VALUE(MID(Q7,5,LEN(Q7)-4)),0)+1,0)</f>
        <v>28.384674094000047</v>
      </c>
    </row>
    <row r="9" spans="1:17" x14ac:dyDescent="0.3">
      <c r="B9" s="15" t="s">
        <v>23</v>
      </c>
      <c r="C9" s="46">
        <f>-INDEX('Annual Revenue Requirements '!$J$5:$J$19,IFERROR(VALUE(MID(C7,5,LEN(C7)-4)),0)+1,0)</f>
        <v>-7.84311111111111</v>
      </c>
      <c r="D9" s="46">
        <f>-INDEX('Annual Revenue Requirements '!$J$5:$J$19,IFERROR(VALUE(MID(D7,5,LEN(D7)-4)),0)+1,0)</f>
        <v>-7.6901111111111113</v>
      </c>
      <c r="E9" s="46">
        <f>-INDEX('Annual Revenue Requirements '!$J$5:$J$19,IFERROR(VALUE(MID(E7,5,LEN(E7)-4)),0)+1,0)</f>
        <v>-7.5371111111111109</v>
      </c>
      <c r="F9" s="46">
        <f>-INDEX('Annual Revenue Requirements '!$J$5:$J$19,IFERROR(VALUE(MID(F7,5,LEN(F7)-4)),0)+1,0)</f>
        <v>-7.3841111111111104</v>
      </c>
      <c r="G9" s="46">
        <f>-INDEX('Annual Revenue Requirements '!$J$5:$J$19,IFERROR(VALUE(MID(G7,5,LEN(G7)-4)),0)+1,0)</f>
        <v>-7.2311111111111099</v>
      </c>
      <c r="H9" s="46">
        <f>-INDEX('Annual Revenue Requirements '!$J$5:$J$19,IFERROR(VALUE(MID(H7,5,LEN(H7)-4)),0)+1,0)</f>
        <v>-7.0781111111111112</v>
      </c>
      <c r="I9" s="46">
        <f>-INDEX('Annual Revenue Requirements '!$J$5:$J$19,IFERROR(VALUE(MID(I7,5,LEN(I7)-4)),0)+1,0)</f>
        <v>-6.9251111111111108</v>
      </c>
      <c r="J9" s="46">
        <f>-INDEX('Annual Revenue Requirements '!$J$5:$J$19,IFERROR(VALUE(MID(J7,5,LEN(J7)-4)),0)+1,0)</f>
        <v>-6.7721111111111103</v>
      </c>
      <c r="K9" s="46">
        <f>-INDEX('Annual Revenue Requirements '!$J$5:$J$19,IFERROR(VALUE(MID(K7,5,LEN(K7)-4)),0)+1,0)</f>
        <v>-6.6191111111111098</v>
      </c>
      <c r="L9" s="46">
        <f>-INDEX('Annual Revenue Requirements '!$J$5:$J$19,IFERROR(VALUE(MID(L7,5,LEN(L7)-4)),0)+1,0)</f>
        <v>-6.4661111111111111</v>
      </c>
      <c r="M9" s="46">
        <f>-INDEX('Annual Revenue Requirements '!$J$5:$J$19,IFERROR(VALUE(MID(M7,5,LEN(M7)-4)),0)+1,0)</f>
        <v>-6.3131111111111107</v>
      </c>
      <c r="N9" s="46">
        <f>-INDEX('Annual Revenue Requirements '!$J$5:$J$19,IFERROR(VALUE(MID(N7,5,LEN(N7)-4)),0)+1,0)</f>
        <v>-6.160111111111112</v>
      </c>
      <c r="O9" s="46">
        <f>-INDEX('Annual Revenue Requirements '!$J$5:$J$19,IFERROR(VALUE(MID(O7,5,LEN(O7)-4)),0)+1,0)</f>
        <v>-6.0071111111111115</v>
      </c>
      <c r="P9" s="46">
        <f>-INDEX('Annual Revenue Requirements '!$J$5:$J$19,IFERROR(VALUE(MID(P7,5,LEN(P7)-4)),0)+1,0)</f>
        <v>-5.854111111111111</v>
      </c>
      <c r="Q9" s="47">
        <f>-INDEX('Annual Revenue Requirements '!$J$5:$J$19,IFERROR(VALUE(MID(Q7,5,LEN(Q7)-4)),0)+1,0)</f>
        <v>-5.7011111111111106</v>
      </c>
    </row>
    <row r="10" spans="1:17" x14ac:dyDescent="0.3">
      <c r="B10" s="15" t="s">
        <v>24</v>
      </c>
      <c r="C10" s="44">
        <f>NPV($C$5,C8:Q8)</f>
        <v>177.20859639330311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/>
    </row>
    <row r="11" spans="1:17" x14ac:dyDescent="0.3">
      <c r="B11" s="15" t="s">
        <v>25</v>
      </c>
      <c r="C11" s="46">
        <f>NPV($C$5,C9:Q9)</f>
        <v>-61.928401883134605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7"/>
    </row>
    <row r="12" spans="1:17" ht="15" thickBot="1" x14ac:dyDescent="0.35">
      <c r="B12" s="19" t="s">
        <v>26</v>
      </c>
      <c r="C12" s="32">
        <f>-C10/C11</f>
        <v>2.8615076605353766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7" ht="15" thickBot="1" x14ac:dyDescent="0.35"/>
    <row r="14" spans="1:17" ht="29.4" thickBot="1" x14ac:dyDescent="0.35">
      <c r="B14" s="14" t="s">
        <v>27</v>
      </c>
      <c r="C14" s="7" t="s">
        <v>4</v>
      </c>
      <c r="D14" s="7" t="s">
        <v>36</v>
      </c>
      <c r="E14" s="7" t="s">
        <v>5</v>
      </c>
      <c r="F14" s="7" t="s">
        <v>37</v>
      </c>
      <c r="G14" s="7" t="s">
        <v>6</v>
      </c>
      <c r="H14" s="7" t="s">
        <v>38</v>
      </c>
      <c r="I14" s="7" t="s">
        <v>39</v>
      </c>
      <c r="J14" s="7" t="s">
        <v>40</v>
      </c>
      <c r="K14" s="7" t="s">
        <v>41</v>
      </c>
      <c r="L14" s="7" t="s">
        <v>42</v>
      </c>
      <c r="M14" s="7" t="s">
        <v>43</v>
      </c>
      <c r="N14" s="7" t="s">
        <v>44</v>
      </c>
      <c r="O14" s="7" t="s">
        <v>45</v>
      </c>
      <c r="P14" s="7" t="s">
        <v>46</v>
      </c>
      <c r="Q14" s="34" t="s">
        <v>47</v>
      </c>
    </row>
    <row r="15" spans="1:17" x14ac:dyDescent="0.3">
      <c r="B15" s="8" t="s">
        <v>22</v>
      </c>
      <c r="C15" s="44">
        <v>0</v>
      </c>
      <c r="D15" s="44">
        <f>INDEX('Benefit Trend Line'!$G$9:$G$23,IFERROR(VALUE(MID(D14,5,LEN(D14)-4)),0)+1,0)</f>
        <v>15.187528805833381</v>
      </c>
      <c r="E15" s="44">
        <f>INDEX('Benefit Trend Line'!$G$9:$G$23,IFERROR(VALUE(MID(E14,5,LEN(E14)-4)),0)+1,0)</f>
        <v>16.202693827999838</v>
      </c>
      <c r="F15" s="44">
        <f>INDEX('Benefit Trend Line'!$G$9:$G$23,IFERROR(VALUE(MID(F14,5,LEN(F14)-4)),0)+1,0)</f>
        <v>17.217858850166749</v>
      </c>
      <c r="G15" s="44">
        <f>INDEX('Benefit Trend Line'!$G$9:$G$23,IFERROR(VALUE(MID(G14,5,LEN(G14)-4)),0)+1,0)</f>
        <v>18.233023872333206</v>
      </c>
      <c r="H15" s="44">
        <f>INDEX('Benefit Trend Line'!$G$9:$G$23,IFERROR(VALUE(MID(H14,5,LEN(H14)-4)),0)+1,0)</f>
        <v>19.248188894500117</v>
      </c>
      <c r="I15" s="44">
        <f>INDEX('Benefit Trend Line'!$G$9:$G$23,IFERROR(VALUE(MID(I14,5,LEN(I14)-4)),0)+1,0)</f>
        <v>20.263353916666574</v>
      </c>
      <c r="J15" s="44">
        <f>INDEX('Benefit Trend Line'!$G$9:$G$23,IFERROR(VALUE(MID(J14,5,LEN(J14)-4)),0)+1,0)</f>
        <v>21.278518938833486</v>
      </c>
      <c r="K15" s="44">
        <f>INDEX('Benefit Trend Line'!$G$9:$G$23,IFERROR(VALUE(MID(K14,5,LEN(K14)-4)),0)+1,0)</f>
        <v>22.293683960999942</v>
      </c>
      <c r="L15" s="44">
        <f>INDEX('Benefit Trend Line'!$G$9:$G$23,IFERROR(VALUE(MID(L14,5,LEN(L14)-4)),0)+1,0)</f>
        <v>23.308848983166854</v>
      </c>
      <c r="M15" s="44">
        <f>INDEX('Benefit Trend Line'!$G$9:$G$23,IFERROR(VALUE(MID(M14,5,LEN(M14)-4)),0)+1,0)</f>
        <v>24.324014005333311</v>
      </c>
      <c r="N15" s="44">
        <f>INDEX('Benefit Trend Line'!$G$9:$G$23,IFERROR(VALUE(MID(N14,5,LEN(N14)-4)),0)+1,0)</f>
        <v>25.339179027499767</v>
      </c>
      <c r="O15" s="44">
        <f>INDEX('Benefit Trend Line'!$G$9:$G$23,IFERROR(VALUE(MID(O14,5,LEN(O14)-4)),0)+1,0)</f>
        <v>26.354344049666679</v>
      </c>
      <c r="P15" s="44">
        <f>INDEX('Benefit Trend Line'!$G$9:$G$23,IFERROR(VALUE(MID(P14,5,LEN(P14)-4)),0)+1,0)</f>
        <v>27.369509071833136</v>
      </c>
      <c r="Q15" s="45">
        <f>INDEX('Benefit Trend Line'!$G$9:$G$23,IFERROR(VALUE(MID(Q14,5,LEN(Q14)-4)),0)+1,0)</f>
        <v>28.384674094000047</v>
      </c>
    </row>
    <row r="16" spans="1:17" x14ac:dyDescent="0.3">
      <c r="B16" s="8" t="s">
        <v>23</v>
      </c>
      <c r="C16" s="44">
        <v>0</v>
      </c>
      <c r="D16" s="46">
        <f>-INDEX('Annual Revenue Requirements '!$J$5:$J$19,IFERROR(VALUE(MID(D14,5,LEN(D14)-4)),0),0)</f>
        <v>-7.84311111111111</v>
      </c>
      <c r="E16" s="46">
        <f>-INDEX('Annual Revenue Requirements '!$J$5:$J$19,IFERROR(VALUE(MID(E14,5,LEN(E14)-4)),0),0)</f>
        <v>-7.6901111111111113</v>
      </c>
      <c r="F16" s="46">
        <f>-INDEX('Annual Revenue Requirements '!$J$5:$J$19,IFERROR(VALUE(MID(F14,5,LEN(F14)-4)),0),0)</f>
        <v>-7.5371111111111109</v>
      </c>
      <c r="G16" s="46">
        <f>-INDEX('Annual Revenue Requirements '!$J$5:$J$19,IFERROR(VALUE(MID(G14,5,LEN(G14)-4)),0),0)</f>
        <v>-7.3841111111111104</v>
      </c>
      <c r="H16" s="46">
        <f>-INDEX('Annual Revenue Requirements '!$J$5:$J$19,IFERROR(VALUE(MID(H14,5,LEN(H14)-4)),0),0)</f>
        <v>-7.2311111111111099</v>
      </c>
      <c r="I16" s="46">
        <f>-INDEX('Annual Revenue Requirements '!$J$5:$J$19,IFERROR(VALUE(MID(I14,5,LEN(I14)-4)),0),0)</f>
        <v>-7.0781111111111112</v>
      </c>
      <c r="J16" s="46">
        <f>-INDEX('Annual Revenue Requirements '!$J$5:$J$19,IFERROR(VALUE(MID(J14,5,LEN(J14)-4)),0),0)</f>
        <v>-6.9251111111111108</v>
      </c>
      <c r="K16" s="46">
        <f>-INDEX('Annual Revenue Requirements '!$J$5:$J$19,IFERROR(VALUE(MID(K14,5,LEN(K14)-4)),0),0)</f>
        <v>-6.7721111111111103</v>
      </c>
      <c r="L16" s="46">
        <f>-INDEX('Annual Revenue Requirements '!$J$5:$J$19,IFERROR(VALUE(MID(L14,5,LEN(L14)-4)),0),0)</f>
        <v>-6.6191111111111098</v>
      </c>
      <c r="M16" s="46">
        <f>-INDEX('Annual Revenue Requirements '!$J$5:$J$19,IFERROR(VALUE(MID(M14,5,LEN(M14)-4)),0),0)</f>
        <v>-6.4661111111111111</v>
      </c>
      <c r="N16" s="46">
        <f>-INDEX('Annual Revenue Requirements '!$J$5:$J$19,IFERROR(VALUE(MID(N14,5,LEN(N14)-4)),0),0)</f>
        <v>-6.3131111111111107</v>
      </c>
      <c r="O16" s="46">
        <f>-INDEX('Annual Revenue Requirements '!$J$5:$J$19,IFERROR(VALUE(MID(O14,5,LEN(O14)-4)),0),0)</f>
        <v>-6.160111111111112</v>
      </c>
      <c r="P16" s="46">
        <f>-INDEX('Annual Revenue Requirements '!$J$5:$J$19,IFERROR(VALUE(MID(P14,5,LEN(P14)-4)),0),0)</f>
        <v>-6.0071111111111115</v>
      </c>
      <c r="Q16" s="47">
        <f>-INDEX('Annual Revenue Requirements '!$J$5:$J$19,IFERROR(VALUE(MID(Q14,5,LEN(Q14)-4)),0),0)</f>
        <v>-5.854111111111111</v>
      </c>
    </row>
    <row r="17" spans="2:18" x14ac:dyDescent="0.3">
      <c r="B17" s="22" t="s">
        <v>28</v>
      </c>
      <c r="C17" s="46">
        <v>-14.172363783666601</v>
      </c>
      <c r="D17" s="1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7"/>
    </row>
    <row r="18" spans="2:18" x14ac:dyDescent="0.3">
      <c r="B18" s="8" t="s">
        <v>24</v>
      </c>
      <c r="C18" s="44">
        <f>NPV($C$5,C15:Q15)+NPV($C$5,C17)</f>
        <v>150.81685750379373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7"/>
    </row>
    <row r="19" spans="2:18" x14ac:dyDescent="0.3">
      <c r="B19" s="8" t="s">
        <v>25</v>
      </c>
      <c r="C19" s="46">
        <f>NPV($C$5,C16:Q16)</f>
        <v>-55.842210048943741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</row>
    <row r="20" spans="2:18" ht="15" thickBot="1" x14ac:dyDescent="0.35">
      <c r="B20" s="19" t="s">
        <v>26</v>
      </c>
      <c r="C20" s="32">
        <f>-C18/C19</f>
        <v>2.7007680636494871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</row>
    <row r="22" spans="2:18" x14ac:dyDescent="0.3">
      <c r="D22" s="13"/>
    </row>
    <row r="23" spans="2:18" x14ac:dyDescent="0.3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Benefit Trend Line</vt:lpstr>
      <vt:lpstr>Annual Revenue Requirements </vt:lpstr>
      <vt:lpstr>10 Year vs 15 Year</vt:lpstr>
      <vt:lpstr>Benefit Adjustment 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2014-03-11T21:14:54Z</dcterms:created>
  <dcterms:modified xsi:type="dcterms:W3CDTF">2018-06-18T18:40:07Z</dcterms:modified>
</cp:coreProperties>
</file>