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180" windowWidth="15450" windowHeight="11700"/>
  </bookViews>
  <sheets>
    <sheet name="2019-20 Excess Commit MW" sheetId="13" r:id="rId1"/>
    <sheet name="Calculation of Excess Commit MW" sheetId="14" r:id="rId2"/>
  </sheets>
  <definedNames>
    <definedName name="_xlnm.Print_Area" localSheetId="0">'2019-20 Excess Commit MW'!$A$2:$G$44</definedName>
    <definedName name="_xlnm.Print_Area" localSheetId="1">'Calculation of Excess Commit MW'!$A$1:$H$67</definedName>
  </definedNames>
  <calcPr calcId="145621"/>
</workbook>
</file>

<file path=xl/calcChain.xml><?xml version="1.0" encoding="utf-8"?>
<calcChain xmlns="http://schemas.openxmlformats.org/spreadsheetml/2006/main">
  <c r="E4" i="14" l="1"/>
  <c r="E3" i="14"/>
  <c r="F3" i="14" l="1"/>
  <c r="E65" i="14"/>
  <c r="E64" i="14"/>
  <c r="E63" i="14"/>
  <c r="E62" i="14"/>
  <c r="E61" i="14"/>
  <c r="E60" i="14"/>
  <c r="E59" i="14"/>
  <c r="E58" i="14"/>
  <c r="E57" i="14"/>
  <c r="E56" i="14"/>
  <c r="E55" i="14"/>
  <c r="E54" i="14"/>
  <c r="D30" i="14"/>
  <c r="B38" i="14" l="1"/>
  <c r="B37" i="14"/>
  <c r="D12" i="14"/>
  <c r="D11" i="14"/>
  <c r="D10" i="14"/>
  <c r="D9" i="14"/>
  <c r="C29" i="14"/>
  <c r="C20" i="14"/>
  <c r="C12" i="14"/>
  <c r="B29" i="14"/>
  <c r="B20" i="14"/>
  <c r="B32" i="14" s="1"/>
  <c r="B12" i="14"/>
  <c r="B39" i="14" l="1"/>
  <c r="H3" i="14"/>
  <c r="H4" i="14" l="1"/>
  <c r="C32" i="14" l="1"/>
  <c r="G5" i="14"/>
  <c r="F5" i="14"/>
  <c r="E5" i="14"/>
  <c r="H5" i="14" l="1"/>
  <c r="E66" i="14"/>
  <c r="B41" i="14"/>
  <c r="B42" i="14"/>
  <c r="B43" i="14"/>
  <c r="B44" i="14"/>
  <c r="B45" i="14"/>
  <c r="B46" i="14"/>
  <c r="B47" i="14"/>
  <c r="B48" i="14"/>
  <c r="B49" i="14"/>
  <c r="B50" i="14" l="1"/>
  <c r="C49" i="14" l="1"/>
  <c r="D49" i="14" s="1"/>
  <c r="C48" i="14"/>
  <c r="D48" i="14" s="1"/>
  <c r="C47" i="14"/>
  <c r="C46" i="14"/>
  <c r="C44" i="14"/>
  <c r="C43" i="14"/>
  <c r="C42" i="14"/>
  <c r="C38" i="14"/>
  <c r="D38" i="14" s="1"/>
  <c r="C37" i="14"/>
  <c r="D37" i="14" s="1"/>
  <c r="C41" i="14"/>
  <c r="C39" i="14"/>
  <c r="C45" i="14"/>
  <c r="C50" i="14" l="1"/>
  <c r="D47" i="14"/>
  <c r="D42" i="14" l="1"/>
  <c r="D13" i="14"/>
  <c r="D22" i="14"/>
  <c r="D17" i="14"/>
  <c r="D41" i="14"/>
  <c r="D20" i="14"/>
  <c r="D31" i="14"/>
  <c r="D28" i="14"/>
  <c r="D27" i="14"/>
  <c r="D26" i="14"/>
  <c r="D25" i="14"/>
  <c r="D24" i="14"/>
  <c r="D23" i="14"/>
  <c r="D21" i="14"/>
  <c r="D19" i="14"/>
  <c r="D18" i="14"/>
  <c r="D16" i="14"/>
  <c r="D15" i="14"/>
  <c r="D14" i="14"/>
  <c r="D44" i="14"/>
  <c r="D43" i="14" l="1"/>
  <c r="D40" i="14"/>
  <c r="D46" i="14"/>
  <c r="D39" i="14"/>
  <c r="D29" i="14"/>
  <c r="D32" i="14" s="1"/>
  <c r="D45" i="14"/>
  <c r="D50" i="14" l="1"/>
  <c r="G46" i="14" l="1"/>
  <c r="G13" i="14" s="1"/>
  <c r="D30" i="13" s="1"/>
  <c r="E37" i="14"/>
  <c r="F37" i="14"/>
  <c r="F38" i="14"/>
  <c r="E38" i="14"/>
  <c r="F39" i="14"/>
  <c r="G40" i="14"/>
  <c r="G49" i="14"/>
  <c r="G28" i="14" s="1"/>
  <c r="D21" i="13" s="1"/>
  <c r="F48" i="14"/>
  <c r="F14" i="14" s="1"/>
  <c r="C8" i="13" s="1"/>
  <c r="G37" i="14"/>
  <c r="H37" i="14" s="1"/>
  <c r="G48" i="14"/>
  <c r="G14" i="14" s="1"/>
  <c r="D8" i="13" s="1"/>
  <c r="F49" i="14"/>
  <c r="F28" i="14" s="1"/>
  <c r="C21" i="13" s="1"/>
  <c r="G38" i="14"/>
  <c r="H38" i="14" s="1"/>
  <c r="F47" i="14"/>
  <c r="F15" i="14" s="1"/>
  <c r="C9" i="13" s="1"/>
  <c r="G47" i="14"/>
  <c r="G15" i="14" s="1"/>
  <c r="D9" i="13" s="1"/>
  <c r="F41" i="14"/>
  <c r="F29" i="14" s="1"/>
  <c r="C33" i="13" s="1"/>
  <c r="C22" i="13" s="1"/>
  <c r="G41" i="14"/>
  <c r="G29" i="14" s="1"/>
  <c r="D33" i="13" s="1"/>
  <c r="D22" i="13" s="1"/>
  <c r="F44" i="14"/>
  <c r="F27" i="14" s="1"/>
  <c r="F42" i="14"/>
  <c r="F30" i="14" s="1"/>
  <c r="G44" i="14"/>
  <c r="G27" i="14" s="1"/>
  <c r="G42" i="14"/>
  <c r="G30" i="14" s="1"/>
  <c r="F40" i="14"/>
  <c r="F46" i="14"/>
  <c r="F13" i="14" s="1"/>
  <c r="C30" i="13" s="1"/>
  <c r="G43" i="14"/>
  <c r="G21" i="14" s="1"/>
  <c r="D32" i="13" s="1"/>
  <c r="G45" i="14"/>
  <c r="G12" i="14" s="1"/>
  <c r="D29" i="13" s="1"/>
  <c r="D7" i="13" s="1"/>
  <c r="G39" i="14"/>
  <c r="F43" i="14"/>
  <c r="F21" i="14" s="1"/>
  <c r="C32" i="13" s="1"/>
  <c r="F45" i="14"/>
  <c r="F12" i="14" s="1"/>
  <c r="E43" i="14"/>
  <c r="E47" i="14"/>
  <c r="E48" i="14"/>
  <c r="E49" i="14"/>
  <c r="E42" i="14"/>
  <c r="E44" i="14"/>
  <c r="E41" i="14"/>
  <c r="E46" i="14"/>
  <c r="E39" i="14"/>
  <c r="E45" i="14"/>
  <c r="E40" i="14"/>
  <c r="H39" i="14" l="1"/>
  <c r="H40" i="14"/>
  <c r="E12" i="14"/>
  <c r="H45" i="14"/>
  <c r="E27" i="14"/>
  <c r="H44" i="14"/>
  <c r="B61" i="14" s="1"/>
  <c r="E15" i="14"/>
  <c r="B9" i="13" s="1"/>
  <c r="H47" i="14"/>
  <c r="B64" i="14" s="1"/>
  <c r="E20" i="14"/>
  <c r="B31" i="13" s="1"/>
  <c r="E25" i="14"/>
  <c r="B18" i="13" s="1"/>
  <c r="E23" i="14"/>
  <c r="B16" i="13" s="1"/>
  <c r="E31" i="14"/>
  <c r="B23" i="13" s="1"/>
  <c r="E30" i="14"/>
  <c r="H42" i="14"/>
  <c r="B59" i="14" s="1"/>
  <c r="E21" i="14"/>
  <c r="B32" i="13" s="1"/>
  <c r="H43" i="14"/>
  <c r="B60" i="14" s="1"/>
  <c r="G25" i="14"/>
  <c r="D18" i="13" s="1"/>
  <c r="G23" i="14"/>
  <c r="D16" i="13" s="1"/>
  <c r="G9" i="14"/>
  <c r="D4" i="13" s="1"/>
  <c r="G20" i="14"/>
  <c r="D31" i="13" s="1"/>
  <c r="D14" i="13" s="1"/>
  <c r="G31" i="14"/>
  <c r="D23" i="13" s="1"/>
  <c r="F24" i="14"/>
  <c r="C17" i="13" s="1"/>
  <c r="F26" i="14"/>
  <c r="C19" i="13" s="1"/>
  <c r="F50" i="14"/>
  <c r="F17" i="14"/>
  <c r="C11" i="13" s="1"/>
  <c r="F22" i="14"/>
  <c r="F16" i="14"/>
  <c r="C10" i="13" s="1"/>
  <c r="F18" i="14"/>
  <c r="C12" i="13" s="1"/>
  <c r="F19" i="14"/>
  <c r="C13" i="13" s="1"/>
  <c r="F10" i="14"/>
  <c r="C5" i="13" s="1"/>
  <c r="F11" i="14"/>
  <c r="C6" i="13" s="1"/>
  <c r="E13" i="14"/>
  <c r="B30" i="13" s="1"/>
  <c r="H46" i="14"/>
  <c r="E28" i="14"/>
  <c r="B21" i="13" s="1"/>
  <c r="H49" i="14"/>
  <c r="B66" i="14" s="1"/>
  <c r="F20" i="14"/>
  <c r="C31" i="13" s="1"/>
  <c r="C14" i="13" s="1"/>
  <c r="F31" i="14"/>
  <c r="C23" i="13" s="1"/>
  <c r="F25" i="14"/>
  <c r="C18" i="13" s="1"/>
  <c r="F23" i="14"/>
  <c r="C16" i="13" s="1"/>
  <c r="F9" i="14"/>
  <c r="G26" i="14"/>
  <c r="D19" i="13" s="1"/>
  <c r="G24" i="14"/>
  <c r="D17" i="13" s="1"/>
  <c r="G18" i="14"/>
  <c r="D12" i="13" s="1"/>
  <c r="G19" i="14"/>
  <c r="D13" i="13" s="1"/>
  <c r="G10" i="14"/>
  <c r="G11" i="14"/>
  <c r="D6" i="13" s="1"/>
  <c r="G17" i="14"/>
  <c r="D11" i="13" s="1"/>
  <c r="G22" i="14"/>
  <c r="G16" i="14"/>
  <c r="D10" i="13" s="1"/>
  <c r="E29" i="14"/>
  <c r="B33" i="13" s="1"/>
  <c r="B22" i="13" s="1"/>
  <c r="H41" i="14"/>
  <c r="E14" i="14"/>
  <c r="B8" i="13" s="1"/>
  <c r="H48" i="14"/>
  <c r="B65" i="14" s="1"/>
  <c r="E50" i="14"/>
  <c r="E22" i="14"/>
  <c r="E16" i="14"/>
  <c r="E18" i="14"/>
  <c r="E19" i="14"/>
  <c r="E10" i="14"/>
  <c r="E11" i="14"/>
  <c r="E17" i="14"/>
  <c r="E24" i="14"/>
  <c r="B17" i="13" s="1"/>
  <c r="E26" i="14"/>
  <c r="B19" i="13" s="1"/>
  <c r="E9" i="14"/>
  <c r="B55" i="14" l="1"/>
  <c r="B29" i="13"/>
  <c r="B7" i="13" s="1"/>
  <c r="B63" i="14"/>
  <c r="C29" i="13"/>
  <c r="C7" i="13" s="1"/>
  <c r="B14" i="13"/>
  <c r="B58" i="14"/>
  <c r="B62" i="14"/>
  <c r="H50" i="14"/>
  <c r="B54" i="14" s="1"/>
  <c r="F32" i="14"/>
  <c r="C4" i="13"/>
  <c r="B56" i="14"/>
  <c r="B57" i="14"/>
  <c r="B12" i="13"/>
  <c r="B13" i="13"/>
  <c r="B5" i="13"/>
  <c r="D5" i="13"/>
  <c r="D24" i="13" s="1"/>
  <c r="B10" i="13"/>
  <c r="B6" i="13"/>
  <c r="B11" i="13"/>
  <c r="E32" i="14"/>
  <c r="B4" i="13"/>
  <c r="C24" i="13" l="1"/>
  <c r="G32" i="14"/>
  <c r="B24" i="13"/>
  <c r="G50" i="14"/>
</calcChain>
</file>

<file path=xl/sharedStrings.xml><?xml version="1.0" encoding="utf-8"?>
<sst xmlns="http://schemas.openxmlformats.org/spreadsheetml/2006/main" count="186" uniqueCount="81">
  <si>
    <t>Zone</t>
  </si>
  <si>
    <t>PECO</t>
  </si>
  <si>
    <t>BGE</t>
  </si>
  <si>
    <t>JCPL</t>
  </si>
  <si>
    <t>METED</t>
  </si>
  <si>
    <t>PEPCO</t>
  </si>
  <si>
    <t>RECO</t>
  </si>
  <si>
    <t>APS</t>
  </si>
  <si>
    <t xml:space="preserve"> </t>
  </si>
  <si>
    <t>DOM</t>
  </si>
  <si>
    <t>AEP</t>
  </si>
  <si>
    <t>COMED</t>
  </si>
  <si>
    <t>PENELEC</t>
  </si>
  <si>
    <t>PPL</t>
  </si>
  <si>
    <t>PSEG</t>
  </si>
  <si>
    <t>Reduction in Peak Load Forecast [MW]</t>
  </si>
  <si>
    <t>DLCO</t>
  </si>
  <si>
    <t>Reduction in Reliability Requirement [MW]</t>
  </si>
  <si>
    <t>Final Reliability Requirement [MW]</t>
  </si>
  <si>
    <t>RTO</t>
  </si>
  <si>
    <t>MAAC</t>
  </si>
  <si>
    <t>EMAAC</t>
  </si>
  <si>
    <t>SWMAAC</t>
  </si>
  <si>
    <t>PSNORTH</t>
  </si>
  <si>
    <t>LDA</t>
  </si>
  <si>
    <t>Total</t>
  </si>
  <si>
    <t>DPLSOUTH</t>
  </si>
  <si>
    <t>Rest of DPL</t>
  </si>
  <si>
    <t>Rest of PSEG</t>
  </si>
  <si>
    <t>Location</t>
  </si>
  <si>
    <t>Rest of RTO</t>
  </si>
  <si>
    <t>Rest of EMAAC</t>
  </si>
  <si>
    <t>Rest of MAAC</t>
  </si>
  <si>
    <t>Allocation of Excess Commitment Credit to LDA [MW]</t>
  </si>
  <si>
    <t xml:space="preserve">Confirmation that Amount Allocated to LDA does not exceed Reduction in LDA Reliability Requirement </t>
  </si>
  <si>
    <t>Excess Commitment Credit Allocation to each LDA</t>
  </si>
  <si>
    <t>Excess Commitment Credits Allocation based on Reduction in LDA Peak Load Forecast</t>
  </si>
  <si>
    <t>ATSI</t>
  </si>
  <si>
    <t>AE</t>
  </si>
  <si>
    <t>DAYTON</t>
  </si>
  <si>
    <t>Rest of  SWMAAC</t>
  </si>
  <si>
    <t>BRA Reliability Requirement    [MW]</t>
  </si>
  <si>
    <t>DEOK</t>
  </si>
  <si>
    <t>EKPC</t>
  </si>
  <si>
    <t>ATSI-C</t>
  </si>
  <si>
    <t>Rest of ATSI</t>
  </si>
  <si>
    <t>Zone/ Subzone</t>
  </si>
  <si>
    <t>Preliminary Zonal Peak Load Forecast less FRR Load [MW]</t>
  </si>
  <si>
    <t>Final Zonal Peak Load Forecast less FRR Load [MW]</t>
  </si>
  <si>
    <t>ATSI-CLEVELAND</t>
  </si>
  <si>
    <t>RTO Total</t>
  </si>
  <si>
    <t>CP, MW</t>
  </si>
  <si>
    <t>Base Gen, MW</t>
  </si>
  <si>
    <t>Base DR/EE, MW</t>
  </si>
  <si>
    <t>Total, MW</t>
  </si>
  <si>
    <t>PJM Sell Offers less PJM Buy Bids in 3rd Incremental Auction (1)</t>
  </si>
  <si>
    <t>Cleared PJM Sell Offers less Cleared PJM Buy Bids in 3rd Incremental Auction (2)</t>
  </si>
  <si>
    <t>PPL *</t>
  </si>
  <si>
    <t>Zonal Allocation of Excess Commitment Credits [MW]</t>
  </si>
  <si>
    <r>
      <t>ATSI</t>
    </r>
    <r>
      <rPr>
        <vertAlign val="superscript"/>
        <sz val="10"/>
        <rFont val="Arial"/>
        <family val="2"/>
      </rPr>
      <t>1</t>
    </r>
  </si>
  <si>
    <r>
      <t>DPL</t>
    </r>
    <r>
      <rPr>
        <vertAlign val="superscript"/>
        <sz val="10"/>
        <rFont val="Arial"/>
        <family val="2"/>
      </rPr>
      <t>2</t>
    </r>
  </si>
  <si>
    <t>Subzonal Allocation of Excess Commitment Credits [MW]</t>
  </si>
  <si>
    <t>Subzone</t>
  </si>
  <si>
    <t>Notes:</t>
  </si>
  <si>
    <t>Excess Commitment Credits for Allocation (1) - (2)</t>
  </si>
  <si>
    <t xml:space="preserve"> Allocation of Excess Commitment Credit [MW]</t>
  </si>
  <si>
    <t>Excess Commitment Credits Allocation to Zone or Sub-Zone, CP [MW]</t>
  </si>
  <si>
    <t>Excess Commitment Credits Allocation to Zone or Sub-Zone Base Gen [MW]</t>
  </si>
  <si>
    <t>Excess Commitment Credits Allocation to Zone or Sub-Zone Base DR/EE [MW]</t>
  </si>
  <si>
    <t>All LSEs in a zone will receive a pro-rata share (based on Daily UCAP obligation as of 6/1/2019) of the Excess Commitment Credits assigned to such zone.</t>
  </si>
  <si>
    <r>
      <rPr>
        <vertAlign val="superscript"/>
        <sz val="10"/>
        <rFont val="Arial"/>
        <family val="2"/>
      </rPr>
      <t>2</t>
    </r>
    <r>
      <rPr>
        <sz val="10"/>
        <rFont val="Arial"/>
        <family val="2"/>
      </rPr>
      <t>LSEs in DPL Zone will receive a pro-rata share (based on Daily UCAP obligation as of 6/1/2019) of the Excess Commitment Credits assigned to both the DPLSOUTH subzone and the Rest of DPL subzone. Resources located in the DPLSOUTH LDA may only be replaced by Excess Commitment Credits assigned to the DPLSOUTH subzone.</t>
    </r>
  </si>
  <si>
    <r>
      <t>EKPC</t>
    </r>
    <r>
      <rPr>
        <vertAlign val="superscript"/>
        <sz val="10"/>
        <rFont val="Arial"/>
        <family val="2"/>
      </rPr>
      <t>3</t>
    </r>
  </si>
  <si>
    <t>CERA #1007769504</t>
  </si>
  <si>
    <r>
      <rPr>
        <vertAlign val="superscript"/>
        <sz val="10"/>
        <rFont val="Arial"/>
        <family val="2"/>
      </rPr>
      <t>1</t>
    </r>
    <r>
      <rPr>
        <sz val="10"/>
        <rFont val="Arial"/>
        <family val="2"/>
      </rPr>
      <t>LSEs in ATSI Zone will receive a pro-rata share (based on Daily UCAP obligation as of 6/1/2019) of the Excess Commitment Credits assigned to both the ATSI-CLEVELAND subzone and the Rest of ATSI subzone. Resources located in the ATSI-CLEVELAND LDA may only be replaced by Excess Commitment Credits assigned to the ATSI-CLEVELAND subzone.  Excess Commitment Credits of Rest of ATSI subzone were adjusted down so that the total ATSI-CLEVELAND subzone and the Rest of ATSI subzone Excess Commitment Credits do not exceed 107 MW, the reduction in ATSI Reliability Requirement.</t>
    </r>
  </si>
  <si>
    <r>
      <rPr>
        <vertAlign val="superscript"/>
        <sz val="10"/>
        <rFont val="Arial"/>
        <family val="2"/>
      </rPr>
      <t>3</t>
    </r>
    <r>
      <rPr>
        <sz val="10"/>
        <rFont val="Arial"/>
        <family val="2"/>
      </rPr>
      <t>The zonal allocation of Excess Commitment Credits to the EKPC zone is 0 MW due to Zonal Peak Load Forecast increase in EKPC zone.</t>
    </r>
  </si>
  <si>
    <r>
      <rPr>
        <vertAlign val="superscript"/>
        <sz val="10"/>
        <rFont val="Arial"/>
        <family val="2"/>
      </rPr>
      <t>5</t>
    </r>
    <r>
      <rPr>
        <sz val="10"/>
        <rFont val="Arial"/>
        <family val="2"/>
      </rPr>
      <t>LSEs in PSEG Zone will receive a pro-rata share (based on Daily UCAP obligation as of 6/1/2019) of the Excess Commitment Credits assigned to the Rest of PSEG subzone.  The allocation of Excess Commitment Credits to the PSNORTH subzone is 0 due to Peak Load Forecast increase in PSNORTH subzone.  Resources located in the PSNORTH LDA may not be replaced by Excess Commitment Credits assigned to the Rest of PSEG subzone.</t>
    </r>
  </si>
  <si>
    <r>
      <t>PEPCO</t>
    </r>
    <r>
      <rPr>
        <vertAlign val="superscript"/>
        <sz val="10"/>
        <rFont val="Arial"/>
        <family val="2"/>
      </rPr>
      <t>4</t>
    </r>
  </si>
  <si>
    <r>
      <t>PSEG</t>
    </r>
    <r>
      <rPr>
        <vertAlign val="superscript"/>
        <sz val="10"/>
        <rFont val="Arial"/>
        <family val="2"/>
      </rPr>
      <t>5</t>
    </r>
  </si>
  <si>
    <r>
      <rPr>
        <vertAlign val="superscript"/>
        <sz val="10"/>
        <rFont val="Arial"/>
        <family val="2"/>
      </rPr>
      <t>4</t>
    </r>
    <r>
      <rPr>
        <sz val="10"/>
        <rFont val="Arial"/>
        <family val="2"/>
      </rPr>
      <t xml:space="preserve">The zonal allocation of Excess Commitment Credits to the PEPCO zone is 0 MW due to Reliability Requirement increase in PEPCO LDA. </t>
    </r>
  </si>
  <si>
    <t>Dated:  4/26/2019</t>
  </si>
  <si>
    <t>Note:  Excess Commitment Credits in PEPCO zone will be set to zero MWs since the Reliability Requirement in PEPCO LDA increased.  Excess Commitment Credits in ATSI will be set to 107.0 MW limited by the reduction in Reliability Requirement in ATSI LDA.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</si>
</sst>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quot;$&quot;#,##0.00"/>
    <numFmt numFmtId="166" formatCode="#,##0.0"/>
    <numFmt numFmtId="167" formatCode="_(* #,##0.0_);_(* \(#,##0.0\);_(* &quot;-&quot;??_);_(@_)"/>
    <numFmt numFmtId="168" formatCode="_(* #,##0.0_);_(* \(#,##0.0\);_(* &quot;-&quot;?_);_(@_)"/>
    <numFmt numFmtId="169" formatCode="0.0_);[Red]\(0.0\)"/>
    <numFmt numFmtId="170" formatCode="#,##0.0_);[Red]\(#,##0.0\)"/>
  </numFmts>
  <fonts count="9" x14ac:knownFonts="1">
    <font>
      <sz val="10"/>
      <name val="Arial"/>
    </font>
    <font>
      <sz val="10"/>
      <name val="Arial"/>
      <family val="2"/>
    </font>
    <font>
      <b/>
      <sz val="10"/>
      <name val="Arial"/>
      <family val="2"/>
    </font>
    <font>
      <b/>
      <sz val="12"/>
      <name val="Arial"/>
      <family val="2"/>
    </font>
    <font>
      <sz val="10"/>
      <name val="Arial"/>
      <family val="2"/>
    </font>
    <font>
      <sz val="10"/>
      <color rgb="FFFF0000"/>
      <name val="Arial"/>
      <family val="2"/>
    </font>
    <font>
      <b/>
      <sz val="10"/>
      <color rgb="FFFF0000"/>
      <name val="Arial"/>
      <family val="2"/>
    </font>
    <font>
      <i/>
      <sz val="10"/>
      <name val="Arial"/>
      <family val="2"/>
    </font>
    <font>
      <vertAlign val="superscript"/>
      <sz val="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70">
    <xf numFmtId="0" fontId="0" fillId="0" borderId="0" xfId="0"/>
    <xf numFmtId="0" fontId="1" fillId="0" borderId="0" xfId="0" applyFont="1"/>
    <xf numFmtId="164" fontId="2" fillId="0" borderId="0" xfId="0" applyNumberFormat="1" applyFont="1" applyBorder="1"/>
    <xf numFmtId="165" fontId="2" fillId="0" borderId="0" xfId="0" applyNumberFormat="1" applyFont="1"/>
    <xf numFmtId="164" fontId="2" fillId="0" borderId="0" xfId="0" applyNumberFormat="1" applyFont="1"/>
    <xf numFmtId="165" fontId="2" fillId="0" borderId="0" xfId="0" applyNumberFormat="1" applyFont="1" applyBorder="1"/>
    <xf numFmtId="164" fontId="1"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166" fontId="2" fillId="0" borderId="0" xfId="0" applyNumberFormat="1" applyFont="1"/>
    <xf numFmtId="0" fontId="1" fillId="0" borderId="0" xfId="0" applyFont="1" applyAlignment="1">
      <alignment horizontal="centerContinuous"/>
    </xf>
    <xf numFmtId="0" fontId="3" fillId="0" borderId="0" xfId="0" applyFont="1"/>
    <xf numFmtId="0" fontId="3" fillId="0" borderId="0" xfId="0" applyFont="1" applyAlignment="1">
      <alignment horizontal="left"/>
    </xf>
    <xf numFmtId="0" fontId="1" fillId="0" borderId="0" xfId="0" applyFont="1" applyAlignment="1">
      <alignment vertical="center"/>
    </xf>
    <xf numFmtId="166" fontId="1" fillId="4" borderId="1" xfId="0" applyNumberFormat="1" applyFont="1" applyFill="1" applyBorder="1" applyAlignment="1">
      <alignment vertical="center"/>
    </xf>
    <xf numFmtId="166" fontId="2" fillId="4" borderId="1" xfId="0" applyNumberFormat="1" applyFont="1" applyFill="1" applyBorder="1" applyAlignment="1">
      <alignment vertical="center"/>
    </xf>
    <xf numFmtId="0" fontId="3"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167" fontId="1" fillId="0" borderId="1" xfId="1" applyNumberFormat="1" applyFont="1" applyBorder="1" applyAlignment="1">
      <alignment vertical="center"/>
    </xf>
    <xf numFmtId="167" fontId="2" fillId="0" borderId="1" xfId="1" applyNumberFormat="1" applyFont="1" applyBorder="1" applyAlignment="1">
      <alignment vertical="center"/>
    </xf>
    <xf numFmtId="0" fontId="2"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164" fontId="1" fillId="0" borderId="1" xfId="0" applyNumberFormat="1" applyFont="1" applyBorder="1" applyAlignment="1">
      <alignment vertical="center"/>
    </xf>
    <xf numFmtId="0" fontId="1" fillId="4" borderId="3" xfId="0" applyFont="1" applyFill="1" applyBorder="1" applyAlignment="1">
      <alignment horizontal="right" vertical="center"/>
    </xf>
    <xf numFmtId="0" fontId="1" fillId="4" borderId="4" xfId="0" applyFont="1" applyFill="1" applyBorder="1" applyAlignment="1">
      <alignment horizontal="right" vertical="center"/>
    </xf>
    <xf numFmtId="164" fontId="1" fillId="4" borderId="2"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166" fontId="2" fillId="4"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1" fillId="0" borderId="1" xfId="0" applyNumberFormat="1" applyFont="1" applyBorder="1"/>
    <xf numFmtId="164" fontId="2" fillId="0" borderId="1" xfId="0" applyNumberFormat="1" applyFont="1" applyBorder="1"/>
    <xf numFmtId="164" fontId="1" fillId="0" borderId="0" xfId="0" applyNumberFormat="1" applyFont="1" applyBorder="1" applyAlignment="1">
      <alignment horizontal="center"/>
    </xf>
    <xf numFmtId="0" fontId="1" fillId="5" borderId="0" xfId="0" applyFont="1" applyFill="1" applyBorder="1"/>
    <xf numFmtId="0" fontId="2" fillId="5" borderId="0" xfId="0" applyFont="1" applyFill="1" applyBorder="1" applyAlignment="1">
      <alignment horizontal="center" vertical="center" wrapText="1"/>
    </xf>
    <xf numFmtId="164" fontId="1" fillId="5" borderId="0" xfId="0" applyNumberFormat="1" applyFont="1" applyFill="1" applyBorder="1" applyAlignment="1">
      <alignment horizontal="center"/>
    </xf>
    <xf numFmtId="0" fontId="6" fillId="0" borderId="0" xfId="0" applyFont="1" applyBorder="1" applyAlignment="1">
      <alignment horizontal="center" vertical="center"/>
    </xf>
    <xf numFmtId="164" fontId="6" fillId="0" borderId="0" xfId="0" applyNumberFormat="1" applyFont="1" applyBorder="1" applyAlignment="1">
      <alignment vertical="center"/>
    </xf>
    <xf numFmtId="0" fontId="7" fillId="0" borderId="0" xfId="0" applyFont="1"/>
    <xf numFmtId="167" fontId="1" fillId="0" borderId="1" xfId="1" applyNumberFormat="1" applyFont="1" applyBorder="1" applyAlignment="1">
      <alignment horizontal="right" vertical="center"/>
    </xf>
    <xf numFmtId="164" fontId="1" fillId="0" borderId="1" xfId="1" applyNumberFormat="1" applyFont="1" applyBorder="1" applyAlignment="1">
      <alignment horizontal="right" vertical="center"/>
    </xf>
    <xf numFmtId="167" fontId="2" fillId="0" borderId="1" xfId="1" applyNumberFormat="1" applyFont="1" applyBorder="1" applyAlignment="1">
      <alignment horizontal="right" vertical="center"/>
    </xf>
    <xf numFmtId="0" fontId="1" fillId="0" borderId="0" xfId="0" applyFont="1" applyBorder="1" applyAlignment="1">
      <alignment horizontal="center" vertical="center"/>
    </xf>
    <xf numFmtId="164" fontId="1" fillId="0" borderId="0" xfId="0" applyNumberFormat="1" applyFont="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1" fillId="4" borderId="2" xfId="0" applyFont="1" applyFill="1" applyBorder="1" applyAlignment="1">
      <alignment horizontal="right" vertical="center"/>
    </xf>
    <xf numFmtId="164" fontId="1" fillId="4" borderId="1" xfId="0" applyNumberFormat="1" applyFont="1" applyFill="1" applyBorder="1" applyAlignment="1">
      <alignment horizontal="right" vertical="center"/>
    </xf>
    <xf numFmtId="164" fontId="1" fillId="0" borderId="1" xfId="1" applyNumberFormat="1" applyFont="1" applyBorder="1" applyAlignment="1">
      <alignment vertical="center"/>
    </xf>
    <xf numFmtId="164" fontId="2" fillId="0" borderId="1" xfId="1" applyNumberFormat="1" applyFont="1" applyBorder="1" applyAlignment="1">
      <alignment vertical="center"/>
    </xf>
    <xf numFmtId="169" fontId="1" fillId="0" borderId="1" xfId="1" applyNumberFormat="1" applyFont="1" applyFill="1" applyBorder="1" applyAlignment="1">
      <alignment horizontal="right" vertical="center" wrapText="1"/>
    </xf>
    <xf numFmtId="166" fontId="1" fillId="0" borderId="1" xfId="0" applyNumberFormat="1" applyFont="1" applyFill="1" applyBorder="1" applyAlignment="1">
      <alignment horizontal="right" vertical="center" wrapText="1"/>
    </xf>
    <xf numFmtId="164" fontId="1" fillId="0" borderId="1" xfId="0" applyNumberFormat="1" applyFont="1" applyFill="1" applyBorder="1" applyAlignment="1">
      <alignment horizontal="right" vertical="center" wrapText="1"/>
    </xf>
    <xf numFmtId="166" fontId="1" fillId="0" borderId="1" xfId="0" applyNumberFormat="1" applyFont="1" applyFill="1" applyBorder="1" applyAlignment="1">
      <alignment horizontal="right" vertical="center"/>
    </xf>
    <xf numFmtId="166" fontId="2" fillId="0" borderId="1" xfId="0" applyNumberFormat="1" applyFont="1" applyFill="1" applyBorder="1" applyAlignment="1">
      <alignment horizontal="right" vertical="center"/>
    </xf>
    <xf numFmtId="167" fontId="1" fillId="0" borderId="1" xfId="1" applyNumberFormat="1" applyFont="1" applyFill="1" applyBorder="1" applyAlignment="1">
      <alignment horizontal="right" vertical="center" wrapText="1"/>
    </xf>
    <xf numFmtId="167" fontId="5" fillId="0" borderId="1" xfId="1" applyNumberFormat="1" applyFont="1" applyFill="1" applyBorder="1" applyAlignment="1">
      <alignment horizontal="right" vertical="center" wrapText="1"/>
    </xf>
    <xf numFmtId="164" fontId="2" fillId="0" borderId="1" xfId="1" applyNumberFormat="1" applyFont="1" applyBorder="1" applyAlignment="1">
      <alignment horizontal="right" vertical="center"/>
    </xf>
    <xf numFmtId="168" fontId="1" fillId="0" borderId="0" xfId="0" applyNumberFormat="1" applyFont="1"/>
    <xf numFmtId="169" fontId="1" fillId="0" borderId="1" xfId="1" applyNumberFormat="1" applyFont="1" applyBorder="1" applyAlignment="1">
      <alignment vertical="center"/>
    </xf>
    <xf numFmtId="170" fontId="1" fillId="0" borderId="1" xfId="1" applyNumberFormat="1" applyFont="1" applyBorder="1" applyAlignment="1">
      <alignment vertical="center"/>
    </xf>
    <xf numFmtId="169" fontId="1" fillId="0" borderId="1" xfId="0" applyNumberFormat="1" applyFont="1" applyFill="1" applyBorder="1" applyAlignment="1">
      <alignment horizontal="right" vertical="center" wrapText="1"/>
    </xf>
    <xf numFmtId="0" fontId="1" fillId="0" borderId="0" xfId="0" applyFont="1" applyFill="1" applyBorder="1" applyAlignment="1">
      <alignment horizontal="left" vertical="top" wrapText="1"/>
    </xf>
    <xf numFmtId="164" fontId="3" fillId="0" borderId="1" xfId="0" applyNumberFormat="1"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abSelected="1" showWhiteSpace="0" view="pageLayout" zoomScale="120" zoomScaleNormal="100" zoomScalePageLayoutView="120" workbookViewId="0">
      <selection activeCell="A2" sqref="A2"/>
    </sheetView>
  </sheetViews>
  <sheetFormatPr defaultColWidth="9.140625" defaultRowHeight="12.75" x14ac:dyDescent="0.2"/>
  <cols>
    <col min="1" max="1" width="20.42578125" style="1" customWidth="1"/>
    <col min="2" max="2" width="20" style="1" customWidth="1"/>
    <col min="3" max="4" width="19.85546875" style="1" customWidth="1"/>
    <col min="5" max="6" width="17.85546875" style="1" customWidth="1"/>
    <col min="7" max="7" width="7.85546875" style="1" customWidth="1"/>
    <col min="8" max="8" width="17.85546875" style="1" customWidth="1"/>
    <col min="9" max="9" width="20.42578125" style="1" customWidth="1"/>
    <col min="10" max="10" width="20.7109375" style="1" customWidth="1"/>
    <col min="11" max="11" width="15.7109375" style="1" customWidth="1"/>
    <col min="12" max="12" width="16.7109375" style="1" customWidth="1"/>
    <col min="13" max="13" width="15.7109375" style="1" customWidth="1"/>
    <col min="14" max="16384" width="9.140625" style="1"/>
  </cols>
  <sheetData>
    <row r="1" spans="1:5" x14ac:dyDescent="0.2">
      <c r="A1" s="7"/>
      <c r="B1" s="8"/>
      <c r="C1" s="9"/>
    </row>
    <row r="2" spans="1:5" ht="15.75" x14ac:dyDescent="0.25">
      <c r="A2" s="7"/>
      <c r="B2" s="65" t="s">
        <v>58</v>
      </c>
      <c r="C2" s="65"/>
      <c r="D2" s="65"/>
    </row>
    <row r="3" spans="1:5" ht="31.5" x14ac:dyDescent="0.2">
      <c r="A3" s="16" t="s">
        <v>0</v>
      </c>
      <c r="B3" s="24" t="s">
        <v>51</v>
      </c>
      <c r="C3" s="24" t="s">
        <v>52</v>
      </c>
      <c r="D3" s="24" t="s">
        <v>53</v>
      </c>
    </row>
    <row r="4" spans="1:5" ht="15" customHeight="1" x14ac:dyDescent="0.2">
      <c r="A4" s="18" t="s">
        <v>38</v>
      </c>
      <c r="B4" s="41">
        <f>'Calculation of Excess Commit MW'!E9</f>
        <v>11.179169076729748</v>
      </c>
      <c r="C4" s="41">
        <f>'Calculation of Excess Commit MW'!F9</f>
        <v>24.59790174920715</v>
      </c>
      <c r="D4" s="42">
        <f>'Calculation of Excess Commit MW'!G9</f>
        <v>0</v>
      </c>
    </row>
    <row r="5" spans="1:5" ht="15" customHeight="1" x14ac:dyDescent="0.2">
      <c r="A5" s="18" t="s">
        <v>10</v>
      </c>
      <c r="B5" s="41">
        <f>'Calculation of Excess Commit MW'!E10</f>
        <v>29.854957416678268</v>
      </c>
      <c r="C5" s="41">
        <f>'Calculation of Excess Commit MW'!F10</f>
        <v>65.69086702435321</v>
      </c>
      <c r="D5" s="42">
        <f>'Calculation of Excess Commit MW'!G10</f>
        <v>0</v>
      </c>
    </row>
    <row r="6" spans="1:5" ht="15" customHeight="1" x14ac:dyDescent="0.2">
      <c r="A6" s="18" t="s">
        <v>7</v>
      </c>
      <c r="B6" s="41">
        <f>'Calculation of Excess Commit MW'!E11</f>
        <v>66.548935915591215</v>
      </c>
      <c r="C6" s="41">
        <f>'Calculation of Excess Commit MW'!F11</f>
        <v>146.42986217763314</v>
      </c>
      <c r="D6" s="42">
        <f>'Calculation of Excess Commit MW'!G11</f>
        <v>0</v>
      </c>
    </row>
    <row r="7" spans="1:5" ht="15" customHeight="1" x14ac:dyDescent="0.2">
      <c r="A7" s="18" t="s">
        <v>59</v>
      </c>
      <c r="B7" s="41">
        <f>B29+B30</f>
        <v>33.434014121214986</v>
      </c>
      <c r="C7" s="41">
        <f>C29+C30</f>
        <v>73.565985878785014</v>
      </c>
      <c r="D7" s="42">
        <f>D29+D30</f>
        <v>0</v>
      </c>
      <c r="E7" s="60" t="s">
        <v>8</v>
      </c>
    </row>
    <row r="8" spans="1:5" ht="15" customHeight="1" x14ac:dyDescent="0.2">
      <c r="A8" s="18" t="s">
        <v>2</v>
      </c>
      <c r="B8" s="41">
        <f>'Calculation of Excess Commit MW'!E14</f>
        <v>44.059078125934889</v>
      </c>
      <c r="C8" s="41">
        <f>'Calculation of Excess Commit MW'!F14</f>
        <v>96.944671599816417</v>
      </c>
      <c r="D8" s="42">
        <f>'Calculation of Excess Commit MW'!G14</f>
        <v>0</v>
      </c>
    </row>
    <row r="9" spans="1:5" ht="15" customHeight="1" x14ac:dyDescent="0.2">
      <c r="A9" s="18" t="s">
        <v>11</v>
      </c>
      <c r="B9" s="41">
        <f>'Calculation of Excess Commit MW'!E15</f>
        <v>95.48325587889174</v>
      </c>
      <c r="C9" s="41">
        <f>'Calculation of Excess Commit MW'!F15</f>
        <v>210.09501964616931</v>
      </c>
      <c r="D9" s="42">
        <f>'Calculation of Excess Commit MW'!G15</f>
        <v>0</v>
      </c>
    </row>
    <row r="10" spans="1:5" ht="15" customHeight="1" x14ac:dyDescent="0.2">
      <c r="A10" s="18" t="s">
        <v>39</v>
      </c>
      <c r="B10" s="41">
        <f>'Calculation of Excess Commit MW'!E16</f>
        <v>14.335640345453445</v>
      </c>
      <c r="C10" s="41">
        <f>'Calculation of Excess Commit MW'!F16</f>
        <v>31.543191654865637</v>
      </c>
      <c r="D10" s="42">
        <f>'Calculation of Excess Commit MW'!G16</f>
        <v>0</v>
      </c>
    </row>
    <row r="11" spans="1:5" ht="15" customHeight="1" x14ac:dyDescent="0.2">
      <c r="A11" s="18" t="s">
        <v>42</v>
      </c>
      <c r="B11" s="41">
        <f>'Calculation of Excess Commit MW'!E17</f>
        <v>16.216371143068002</v>
      </c>
      <c r="C11" s="41">
        <f>'Calculation of Excess Commit MW'!F17</f>
        <v>35.681426890320537</v>
      </c>
      <c r="D11" s="42">
        <f>'Calculation of Excess Commit MW'!G17</f>
        <v>0</v>
      </c>
    </row>
    <row r="12" spans="1:5" ht="15" customHeight="1" x14ac:dyDescent="0.2">
      <c r="A12" s="18" t="s">
        <v>16</v>
      </c>
      <c r="B12" s="41">
        <f>'Calculation of Excess Commit MW'!E18</f>
        <v>10.916129804336109</v>
      </c>
      <c r="C12" s="41">
        <f>'Calculation of Excess Commit MW'!F18</f>
        <v>24.019127590402274</v>
      </c>
      <c r="D12" s="42">
        <f>'Calculation of Excess Commit MW'!G18</f>
        <v>0</v>
      </c>
    </row>
    <row r="13" spans="1:5" ht="15" customHeight="1" x14ac:dyDescent="0.2">
      <c r="A13" s="18" t="s">
        <v>9</v>
      </c>
      <c r="B13" s="41">
        <f>'Calculation of Excess Commit MW'!E19</f>
        <v>182.41773540499014</v>
      </c>
      <c r="C13" s="41">
        <f>'Calculation of Excess Commit MW'!F19</f>
        <v>401.37987913118013</v>
      </c>
      <c r="D13" s="42">
        <f>'Calculation of Excess Commit MW'!G19</f>
        <v>0</v>
      </c>
    </row>
    <row r="14" spans="1:5" ht="15" customHeight="1" x14ac:dyDescent="0.2">
      <c r="A14" s="18" t="s">
        <v>60</v>
      </c>
      <c r="B14" s="41">
        <f>B31+B32</f>
        <v>17.097552705586672</v>
      </c>
      <c r="C14" s="41">
        <f>C31+C32</f>
        <v>37.620320322316815</v>
      </c>
      <c r="D14" s="42">
        <f>D31+D32</f>
        <v>0</v>
      </c>
      <c r="E14" s="6" t="s">
        <v>8</v>
      </c>
    </row>
    <row r="15" spans="1:5" ht="15" customHeight="1" x14ac:dyDescent="0.2">
      <c r="A15" s="18" t="s">
        <v>71</v>
      </c>
      <c r="B15" s="42">
        <v>0</v>
      </c>
      <c r="C15" s="42">
        <v>0</v>
      </c>
      <c r="D15" s="42">
        <v>0</v>
      </c>
      <c r="E15" s="6"/>
    </row>
    <row r="16" spans="1:5" ht="15" customHeight="1" x14ac:dyDescent="0.2">
      <c r="A16" s="18" t="s">
        <v>3</v>
      </c>
      <c r="B16" s="41">
        <f>'Calculation of Excess Commit MW'!E23</f>
        <v>24.462652332608624</v>
      </c>
      <c r="C16" s="41">
        <f>'Calculation of Excess Commit MW'!F23</f>
        <v>53.825996768853294</v>
      </c>
      <c r="D16" s="42">
        <f>'Calculation of Excess Commit MW'!G23</f>
        <v>0</v>
      </c>
    </row>
    <row r="17" spans="1:6" ht="15" customHeight="1" x14ac:dyDescent="0.2">
      <c r="A17" s="18" t="s">
        <v>4</v>
      </c>
      <c r="B17" s="41">
        <f>'Calculation of Excess Commit MW'!E24</f>
        <v>8.811815625186977</v>
      </c>
      <c r="C17" s="41">
        <f>'Calculation of Excess Commit MW'!F24</f>
        <v>19.388934319963276</v>
      </c>
      <c r="D17" s="42">
        <f>'Calculation of Excess Commit MW'!G24</f>
        <v>0</v>
      </c>
    </row>
    <row r="18" spans="1:6" ht="15" customHeight="1" x14ac:dyDescent="0.2">
      <c r="A18" s="18" t="s">
        <v>1</v>
      </c>
      <c r="B18" s="41">
        <f>'Calculation of Excess Commit MW'!E25</f>
        <v>11.442208349123391</v>
      </c>
      <c r="C18" s="41">
        <f>'Calculation of Excess Commit MW'!F25</f>
        <v>25.176675908012022</v>
      </c>
      <c r="D18" s="42">
        <f>'Calculation of Excess Commit MW'!G25</f>
        <v>0</v>
      </c>
    </row>
    <row r="19" spans="1:6" ht="15" customHeight="1" x14ac:dyDescent="0.2">
      <c r="A19" s="18" t="s">
        <v>12</v>
      </c>
      <c r="B19" s="41">
        <f>'Calculation of Excess Commit MW'!E26</f>
        <v>1.7097552705586672</v>
      </c>
      <c r="C19" s="41">
        <f>'Calculation of Excess Commit MW'!F26</f>
        <v>3.7620320322316809</v>
      </c>
      <c r="D19" s="42">
        <f>'Calculation of Excess Commit MW'!G26</f>
        <v>0</v>
      </c>
    </row>
    <row r="20" spans="1:6" ht="15" customHeight="1" x14ac:dyDescent="0.2">
      <c r="A20" s="18" t="s">
        <v>76</v>
      </c>
      <c r="B20" s="42">
        <v>0</v>
      </c>
      <c r="C20" s="42">
        <v>0</v>
      </c>
      <c r="D20" s="42">
        <v>0</v>
      </c>
    </row>
    <row r="21" spans="1:6" ht="15" customHeight="1" x14ac:dyDescent="0.2">
      <c r="A21" s="18" t="s">
        <v>13</v>
      </c>
      <c r="B21" s="41">
        <f>'Calculation of Excess Commit MW'!E28</f>
        <v>28.934319963300528</v>
      </c>
      <c r="C21" s="41">
        <f>'Calculation of Excess Commit MW'!F28</f>
        <v>63.665157468536144</v>
      </c>
      <c r="D21" s="42">
        <f>'Calculation of Excess Commit MW'!G28</f>
        <v>0</v>
      </c>
      <c r="E21" s="39" t="s">
        <v>8</v>
      </c>
    </row>
    <row r="22" spans="1:6" ht="15" customHeight="1" x14ac:dyDescent="0.2">
      <c r="A22" s="18" t="s">
        <v>77</v>
      </c>
      <c r="B22" s="41">
        <f>B33+B34</f>
        <v>47.097181722081494</v>
      </c>
      <c r="C22" s="41">
        <f>C33+C34</f>
        <v>103.62951313401281</v>
      </c>
      <c r="D22" s="42">
        <f>D33+D34</f>
        <v>0</v>
      </c>
    </row>
    <row r="23" spans="1:6" ht="15" customHeight="1" x14ac:dyDescent="0.2">
      <c r="A23" s="18" t="s">
        <v>6</v>
      </c>
      <c r="B23" s="41">
        <f>'Calculation of Excess Commit MW'!E31</f>
        <v>0.92063745337774394</v>
      </c>
      <c r="C23" s="41">
        <f>'Calculation of Excess Commit MW'!F31</f>
        <v>2.0257095558170595</v>
      </c>
      <c r="D23" s="42">
        <f>'Calculation of Excess Commit MW'!G31</f>
        <v>0</v>
      </c>
    </row>
    <row r="24" spans="1:6" ht="15" customHeight="1" x14ac:dyDescent="0.2">
      <c r="A24" s="13"/>
      <c r="B24" s="43">
        <f>SUM(B4:B23)</f>
        <v>644.92141065471242</v>
      </c>
      <c r="C24" s="43">
        <f t="shared" ref="C24:D24" si="0">SUM(C4:C23)</f>
        <v>1419.0422728524752</v>
      </c>
      <c r="D24" s="59">
        <f t="shared" si="0"/>
        <v>0</v>
      </c>
    </row>
    <row r="25" spans="1:6" x14ac:dyDescent="0.2">
      <c r="C25" s="6" t="s">
        <v>8</v>
      </c>
      <c r="D25" s="6"/>
    </row>
    <row r="27" spans="1:6" ht="15.75" x14ac:dyDescent="0.25">
      <c r="B27" s="65" t="s">
        <v>61</v>
      </c>
      <c r="C27" s="65"/>
      <c r="D27" s="65"/>
    </row>
    <row r="28" spans="1:6" ht="31.5" x14ac:dyDescent="0.2">
      <c r="A28" s="16" t="s">
        <v>62</v>
      </c>
      <c r="B28" s="24" t="s">
        <v>51</v>
      </c>
      <c r="C28" s="24" t="s">
        <v>52</v>
      </c>
      <c r="D28" s="24" t="s">
        <v>53</v>
      </c>
    </row>
    <row r="29" spans="1:6" ht="15" customHeight="1" x14ac:dyDescent="0.2">
      <c r="A29" s="18" t="s">
        <v>45</v>
      </c>
      <c r="B29" s="25">
        <f>'Calculation of Excess Commit MW'!E12*('Calculation of Excess Commit MW'!$E$62-'Calculation of Excess Commit MW'!$H$46)/'Calculation of Excess Commit MW'!$H$45</f>
        <v>17.16503512366819</v>
      </c>
      <c r="C29" s="25">
        <f>'Calculation of Excess Commit MW'!F12*('Calculation of Excess Commit MW'!$E$62-'Calculation of Excess Commit MW'!$H$46)/'Calculation of Excess Commit MW'!$H$45</f>
        <v>37.768804156703339</v>
      </c>
      <c r="D29" s="25">
        <f>'Calculation of Excess Commit MW'!G12</f>
        <v>0</v>
      </c>
      <c r="E29" s="6" t="s">
        <v>8</v>
      </c>
      <c r="F29" s="6" t="s">
        <v>8</v>
      </c>
    </row>
    <row r="30" spans="1:6" ht="15" customHeight="1" x14ac:dyDescent="0.2">
      <c r="A30" s="18" t="s">
        <v>49</v>
      </c>
      <c r="B30" s="25">
        <f>'Calculation of Excess Commit MW'!E13</f>
        <v>16.2689789975468</v>
      </c>
      <c r="C30" s="25">
        <f>'Calculation of Excess Commit MW'!F13</f>
        <v>35.797181722081675</v>
      </c>
      <c r="D30" s="25">
        <f>'Calculation of Excess Commit MW'!G13</f>
        <v>0</v>
      </c>
    </row>
    <row r="31" spans="1:6" ht="15" customHeight="1" x14ac:dyDescent="0.2">
      <c r="A31" s="18" t="s">
        <v>27</v>
      </c>
      <c r="B31" s="25">
        <f>'Calculation of Excess Commit MW'!E20</f>
        <v>11.073953367772267</v>
      </c>
      <c r="C31" s="25">
        <f>'Calculation of Excess Commit MW'!F20</f>
        <v>24.366392085685149</v>
      </c>
      <c r="D31" s="25">
        <f>'Calculation of Excess Commit MW'!G20</f>
        <v>0</v>
      </c>
    </row>
    <row r="32" spans="1:6" ht="15" customHeight="1" x14ac:dyDescent="0.2">
      <c r="A32" s="18" t="s">
        <v>26</v>
      </c>
      <c r="B32" s="25">
        <f>'Calculation of Excess Commit MW'!E21</f>
        <v>6.0235993378144066</v>
      </c>
      <c r="C32" s="25">
        <f>'Calculation of Excess Commit MW'!F21</f>
        <v>13.253928236631667</v>
      </c>
      <c r="D32" s="25">
        <f>'Calculation of Excess Commit MW'!G21</f>
        <v>0</v>
      </c>
    </row>
    <row r="33" spans="1:7" ht="15" customHeight="1" x14ac:dyDescent="0.2">
      <c r="A33" s="18" t="s">
        <v>28</v>
      </c>
      <c r="B33" s="25">
        <f>'Calculation of Excess Commit MW'!E29</f>
        <v>47.097181722081494</v>
      </c>
      <c r="C33" s="25">
        <f>'Calculation of Excess Commit MW'!F29</f>
        <v>103.62951313401281</v>
      </c>
      <c r="D33" s="25">
        <f>'Calculation of Excess Commit MW'!G29</f>
        <v>0</v>
      </c>
    </row>
    <row r="34" spans="1:7" ht="15" customHeight="1" x14ac:dyDescent="0.2">
      <c r="A34" s="18" t="s">
        <v>23</v>
      </c>
      <c r="B34" s="42">
        <v>0</v>
      </c>
      <c r="C34" s="42">
        <v>0</v>
      </c>
      <c r="D34" s="42">
        <v>0</v>
      </c>
    </row>
    <row r="35" spans="1:7" ht="15" customHeight="1" x14ac:dyDescent="0.2">
      <c r="A35" s="44"/>
      <c r="B35" s="45"/>
      <c r="C35" s="45"/>
      <c r="D35" s="45"/>
    </row>
    <row r="36" spans="1:7" x14ac:dyDescent="0.2">
      <c r="A36" s="47" t="s">
        <v>63</v>
      </c>
    </row>
    <row r="37" spans="1:7" ht="14.25" customHeight="1" x14ac:dyDescent="0.2">
      <c r="A37" s="46" t="s">
        <v>69</v>
      </c>
    </row>
    <row r="38" spans="1:7" ht="72" customHeight="1" x14ac:dyDescent="0.2">
      <c r="A38" s="64" t="s">
        <v>73</v>
      </c>
      <c r="B38" s="64"/>
      <c r="C38" s="64"/>
      <c r="D38" s="64"/>
      <c r="E38" s="64"/>
      <c r="F38" s="64"/>
      <c r="G38" s="64"/>
    </row>
    <row r="39" spans="1:7" ht="43.15" customHeight="1" x14ac:dyDescent="0.2">
      <c r="A39" s="64" t="s">
        <v>70</v>
      </c>
      <c r="B39" s="64"/>
      <c r="C39" s="64"/>
      <c r="D39" s="64"/>
      <c r="E39" s="64"/>
      <c r="F39" s="64"/>
      <c r="G39" s="64"/>
    </row>
    <row r="40" spans="1:7" ht="14.25" customHeight="1" x14ac:dyDescent="0.2">
      <c r="A40" s="64" t="s">
        <v>74</v>
      </c>
      <c r="B40" s="64"/>
      <c r="C40" s="64"/>
      <c r="D40" s="64"/>
      <c r="E40" s="64"/>
      <c r="F40" s="64"/>
      <c r="G40" s="64"/>
    </row>
    <row r="41" spans="1:7" ht="14.25" customHeight="1" x14ac:dyDescent="0.2">
      <c r="A41" s="64" t="s">
        <v>78</v>
      </c>
      <c r="B41" s="64"/>
      <c r="C41" s="64"/>
      <c r="D41" s="64"/>
      <c r="E41" s="64"/>
      <c r="F41" s="64"/>
      <c r="G41" s="64"/>
    </row>
    <row r="42" spans="1:7" ht="45" customHeight="1" x14ac:dyDescent="0.2">
      <c r="A42" s="64" t="s">
        <v>75</v>
      </c>
      <c r="B42" s="64"/>
      <c r="C42" s="64"/>
      <c r="D42" s="64"/>
      <c r="E42" s="64"/>
      <c r="F42" s="64"/>
      <c r="G42" s="64"/>
    </row>
    <row r="43" spans="1:7" x14ac:dyDescent="0.2">
      <c r="A43" s="40" t="s">
        <v>72</v>
      </c>
    </row>
    <row r="44" spans="1:7" x14ac:dyDescent="0.2">
      <c r="A44" s="40" t="s">
        <v>79</v>
      </c>
    </row>
  </sheetData>
  <mergeCells count="7">
    <mergeCell ref="A42:G42"/>
    <mergeCell ref="B2:D2"/>
    <mergeCell ref="B27:D27"/>
    <mergeCell ref="A38:G38"/>
    <mergeCell ref="A39:G39"/>
    <mergeCell ref="A40:G40"/>
    <mergeCell ref="A41:G41"/>
  </mergeCells>
  <pageMargins left="0.5" right="0.5" top="0.5" bottom="0.5" header="0" footer="0"/>
  <pageSetup scale="77" orientation="portrait" r:id="rId1"/>
  <headerFooter>
    <oddHeader xml:space="preserve">&amp;L&amp;"Arial,Bold"&amp;14Zonal Allocation of 2019/2020 Delivery Year Excess Commitment Credits&amp;"Arial,Regular"&amp;10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showGridLines="0" view="pageLayout" zoomScaleNormal="100" workbookViewId="0"/>
  </sheetViews>
  <sheetFormatPr defaultColWidth="0.28515625" defaultRowHeight="12.75" x14ac:dyDescent="0.2"/>
  <cols>
    <col min="1" max="1" width="16.7109375" style="1" customWidth="1"/>
    <col min="2" max="2" width="18" style="1" customWidth="1"/>
    <col min="3" max="3" width="17.7109375" style="1" customWidth="1"/>
    <col min="4" max="4" width="15.7109375" style="1" customWidth="1"/>
    <col min="5" max="7" width="18.7109375" style="1" customWidth="1"/>
    <col min="8" max="8" width="17.7109375" style="1" customWidth="1"/>
    <col min="9" max="13" width="10.7109375" style="1" customWidth="1"/>
    <col min="14" max="16384" width="0.28515625" style="1"/>
  </cols>
  <sheetData>
    <row r="1" spans="1:8" ht="20.100000000000001" customHeight="1" x14ac:dyDescent="0.2">
      <c r="A1" s="13"/>
      <c r="B1" s="13"/>
      <c r="C1" s="13"/>
      <c r="D1" s="13"/>
      <c r="E1" s="68" t="s">
        <v>50</v>
      </c>
      <c r="F1" s="68"/>
      <c r="G1" s="68"/>
      <c r="H1" s="68"/>
    </row>
    <row r="2" spans="1:8" ht="15" customHeight="1" x14ac:dyDescent="0.2">
      <c r="A2" s="13"/>
      <c r="B2" s="13"/>
      <c r="C2" s="13"/>
      <c r="D2" s="13" t="s">
        <v>8</v>
      </c>
      <c r="E2" s="30" t="s">
        <v>51</v>
      </c>
      <c r="F2" s="30" t="s">
        <v>52</v>
      </c>
      <c r="G2" s="30" t="s">
        <v>53</v>
      </c>
      <c r="H2" s="30" t="s">
        <v>54</v>
      </c>
    </row>
    <row r="3" spans="1:8" ht="15" customHeight="1" x14ac:dyDescent="0.2">
      <c r="A3" s="48"/>
      <c r="B3" s="26"/>
      <c r="C3" s="26"/>
      <c r="D3" s="27" t="s">
        <v>55</v>
      </c>
      <c r="E3" s="14">
        <f>321.1+85.8+28.6+19.9+36.5+284.2+1.5+101.3-289.5</f>
        <v>589.4</v>
      </c>
      <c r="F3" s="14">
        <f>620+165.6+55.3+38.3+70.5+548.8+2.9+195.5</f>
        <v>1696.9</v>
      </c>
      <c r="G3" s="14">
        <v>-40.799999999999997</v>
      </c>
      <c r="H3" s="14">
        <f>E3+F3+G3</f>
        <v>2245.5</v>
      </c>
    </row>
    <row r="4" spans="1:8" ht="15" customHeight="1" x14ac:dyDescent="0.2">
      <c r="A4" s="48"/>
      <c r="B4" s="26"/>
      <c r="C4" s="26"/>
      <c r="D4" s="27" t="s">
        <v>56</v>
      </c>
      <c r="E4" s="14">
        <f>219.5-289.5</f>
        <v>-70</v>
      </c>
      <c r="F4" s="14">
        <v>246</v>
      </c>
      <c r="G4" s="14">
        <v>-40.799999999999997</v>
      </c>
      <c r="H4" s="14">
        <f>E4+F4+G4</f>
        <v>135.19999999999999</v>
      </c>
    </row>
    <row r="5" spans="1:8" ht="15" customHeight="1" x14ac:dyDescent="0.2">
      <c r="A5" s="28"/>
      <c r="B5" s="29"/>
      <c r="C5" s="29"/>
      <c r="D5" s="49" t="s">
        <v>64</v>
      </c>
      <c r="E5" s="15">
        <f>E3-E4</f>
        <v>659.4</v>
      </c>
      <c r="F5" s="15">
        <f>F3-F4</f>
        <v>1450.9</v>
      </c>
      <c r="G5" s="15">
        <f>G3-G4</f>
        <v>0</v>
      </c>
      <c r="H5" s="15">
        <f>E5+F5+G5</f>
        <v>2110.3000000000002</v>
      </c>
    </row>
    <row r="6" spans="1:8" x14ac:dyDescent="0.2">
      <c r="B6" s="7"/>
      <c r="C6" s="8"/>
      <c r="D6" s="9"/>
    </row>
    <row r="7" spans="1:8" ht="15.75" x14ac:dyDescent="0.25">
      <c r="A7" s="11" t="s">
        <v>36</v>
      </c>
    </row>
    <row r="8" spans="1:8" ht="76.5" x14ac:dyDescent="0.2">
      <c r="A8" s="16" t="s">
        <v>46</v>
      </c>
      <c r="B8" s="17" t="s">
        <v>47</v>
      </c>
      <c r="C8" s="17" t="s">
        <v>48</v>
      </c>
      <c r="D8" s="17" t="s">
        <v>15</v>
      </c>
      <c r="E8" s="17" t="s">
        <v>66</v>
      </c>
      <c r="F8" s="17" t="s">
        <v>67</v>
      </c>
      <c r="G8" s="17" t="s">
        <v>68</v>
      </c>
      <c r="H8" s="17" t="s">
        <v>29</v>
      </c>
    </row>
    <row r="9" spans="1:8" ht="15" customHeight="1" x14ac:dyDescent="0.2">
      <c r="A9" s="18" t="s">
        <v>38</v>
      </c>
      <c r="B9" s="32">
        <v>2445</v>
      </c>
      <c r="C9" s="19">
        <v>2360</v>
      </c>
      <c r="D9" s="52">
        <f>B9-C9</f>
        <v>85</v>
      </c>
      <c r="E9" s="19">
        <f>E$39*$D9/$D$39</f>
        <v>11.179169076729748</v>
      </c>
      <c r="F9" s="19">
        <f>F$39*$D9/$D$39</f>
        <v>24.59790174920715</v>
      </c>
      <c r="G9" s="50">
        <f>G$39*$D9/$D$39</f>
        <v>0</v>
      </c>
      <c r="H9" s="18" t="s">
        <v>31</v>
      </c>
    </row>
    <row r="10" spans="1:8" ht="15" customHeight="1" x14ac:dyDescent="0.2">
      <c r="A10" s="18" t="s">
        <v>10</v>
      </c>
      <c r="B10" s="32">
        <v>10953.5</v>
      </c>
      <c r="C10" s="19">
        <v>10726.5</v>
      </c>
      <c r="D10" s="52">
        <f>B10-C10</f>
        <v>227</v>
      </c>
      <c r="E10" s="19">
        <f t="shared" ref="E10:G11" si="0">E$37*$D10/$D$37</f>
        <v>29.854957416678268</v>
      </c>
      <c r="F10" s="19">
        <f t="shared" si="0"/>
        <v>65.69086702435321</v>
      </c>
      <c r="G10" s="50">
        <f t="shared" si="0"/>
        <v>0</v>
      </c>
      <c r="H10" s="18" t="s">
        <v>30</v>
      </c>
    </row>
    <row r="11" spans="1:8" ht="15" customHeight="1" x14ac:dyDescent="0.2">
      <c r="A11" s="18" t="s">
        <v>7</v>
      </c>
      <c r="B11" s="32">
        <v>8891</v>
      </c>
      <c r="C11" s="19">
        <v>8385</v>
      </c>
      <c r="D11" s="52">
        <f>B11-C11</f>
        <v>506</v>
      </c>
      <c r="E11" s="19">
        <f t="shared" si="0"/>
        <v>66.548935915591215</v>
      </c>
      <c r="F11" s="19">
        <f t="shared" si="0"/>
        <v>146.42986217763314</v>
      </c>
      <c r="G11" s="50">
        <f t="shared" si="0"/>
        <v>0</v>
      </c>
      <c r="H11" s="18" t="s">
        <v>30</v>
      </c>
    </row>
    <row r="12" spans="1:8" ht="15" customHeight="1" x14ac:dyDescent="0.2">
      <c r="A12" s="18" t="s">
        <v>45</v>
      </c>
      <c r="B12" s="32">
        <f>12617-B13</f>
        <v>8395.4</v>
      </c>
      <c r="C12" s="19">
        <f>12343-C13</f>
        <v>8245.1</v>
      </c>
      <c r="D12" s="52">
        <f>B12-C12</f>
        <v>150.29999999999927</v>
      </c>
      <c r="E12" s="19">
        <f>E$45*$D12/$D$45</f>
        <v>19.767401320382035</v>
      </c>
      <c r="F12" s="19">
        <f>F$45*$D12/$D$45</f>
        <v>43.49487803418608</v>
      </c>
      <c r="G12" s="50">
        <f>G$45*$D12/$D$45</f>
        <v>0</v>
      </c>
      <c r="H12" s="18" t="s">
        <v>45</v>
      </c>
    </row>
    <row r="13" spans="1:8" ht="15" customHeight="1" x14ac:dyDescent="0.2">
      <c r="A13" s="18" t="s">
        <v>49</v>
      </c>
      <c r="B13" s="32">
        <v>4221.6000000000004</v>
      </c>
      <c r="C13" s="19">
        <v>4097.8999999999996</v>
      </c>
      <c r="D13" s="52">
        <f>B13-C13</f>
        <v>123.70000000000073</v>
      </c>
      <c r="E13" s="19">
        <f>E$46*$D13/$D$46</f>
        <v>16.2689789975468</v>
      </c>
      <c r="F13" s="19">
        <f>F$46*$D13/$D$46</f>
        <v>35.797181722081675</v>
      </c>
      <c r="G13" s="50">
        <f>G$46*$D13/$D$46</f>
        <v>0</v>
      </c>
      <c r="H13" s="18" t="s">
        <v>44</v>
      </c>
    </row>
    <row r="14" spans="1:8" ht="15" customHeight="1" x14ac:dyDescent="0.2">
      <c r="A14" s="18" t="s">
        <v>2</v>
      </c>
      <c r="B14" s="32">
        <v>6758</v>
      </c>
      <c r="C14" s="19">
        <v>6423</v>
      </c>
      <c r="D14" s="52">
        <f t="shared" ref="D14:D31" si="1">B14-C14</f>
        <v>335</v>
      </c>
      <c r="E14" s="19">
        <f>E$48*$D14/$D$48</f>
        <v>44.059078125934889</v>
      </c>
      <c r="F14" s="19">
        <f>F$48*$D14/$D$48</f>
        <v>96.944671599816417</v>
      </c>
      <c r="G14" s="50">
        <f>G$48*$D14/$D$48</f>
        <v>0</v>
      </c>
      <c r="H14" s="18" t="s">
        <v>2</v>
      </c>
    </row>
    <row r="15" spans="1:8" ht="15" customHeight="1" x14ac:dyDescent="0.2">
      <c r="A15" s="18" t="s">
        <v>11</v>
      </c>
      <c r="B15" s="32">
        <v>21855</v>
      </c>
      <c r="C15" s="19">
        <v>21129</v>
      </c>
      <c r="D15" s="52">
        <f t="shared" si="1"/>
        <v>726</v>
      </c>
      <c r="E15" s="19">
        <f>E$47*$D15/$D$47</f>
        <v>95.48325587889174</v>
      </c>
      <c r="F15" s="19">
        <f>F$47*$D15/$D$47</f>
        <v>210.09501964616931</v>
      </c>
      <c r="G15" s="50">
        <f>G$47*$D15/$D$47</f>
        <v>0</v>
      </c>
      <c r="H15" s="18" t="s">
        <v>11</v>
      </c>
    </row>
    <row r="16" spans="1:8" ht="15" customHeight="1" x14ac:dyDescent="0.2">
      <c r="A16" s="18" t="s">
        <v>39</v>
      </c>
      <c r="B16" s="32">
        <v>3344</v>
      </c>
      <c r="C16" s="19">
        <v>3235</v>
      </c>
      <c r="D16" s="52">
        <f t="shared" si="1"/>
        <v>109</v>
      </c>
      <c r="E16" s="19">
        <f t="shared" ref="E16:G19" si="2">E$37*$D16/$D$37</f>
        <v>14.335640345453445</v>
      </c>
      <c r="F16" s="19">
        <f t="shared" si="2"/>
        <v>31.543191654865637</v>
      </c>
      <c r="G16" s="50">
        <f t="shared" si="2"/>
        <v>0</v>
      </c>
      <c r="H16" s="18" t="s">
        <v>30</v>
      </c>
    </row>
    <row r="17" spans="1:8" ht="15" customHeight="1" x14ac:dyDescent="0.2">
      <c r="A17" s="18" t="s">
        <v>42</v>
      </c>
      <c r="B17" s="32">
        <v>4525.5</v>
      </c>
      <c r="C17" s="19">
        <v>4402.2</v>
      </c>
      <c r="D17" s="52">
        <f t="shared" si="1"/>
        <v>123.30000000000018</v>
      </c>
      <c r="E17" s="19">
        <f t="shared" si="2"/>
        <v>16.216371143068002</v>
      </c>
      <c r="F17" s="19">
        <f t="shared" si="2"/>
        <v>35.681426890320537</v>
      </c>
      <c r="G17" s="50">
        <f t="shared" si="2"/>
        <v>0</v>
      </c>
      <c r="H17" s="18" t="s">
        <v>30</v>
      </c>
    </row>
    <row r="18" spans="1:8" ht="15" customHeight="1" x14ac:dyDescent="0.2">
      <c r="A18" s="18" t="s">
        <v>16</v>
      </c>
      <c r="B18" s="32">
        <v>2827</v>
      </c>
      <c r="C18" s="19">
        <v>2744</v>
      </c>
      <c r="D18" s="52">
        <f t="shared" si="1"/>
        <v>83</v>
      </c>
      <c r="E18" s="19">
        <f t="shared" si="2"/>
        <v>10.916129804336109</v>
      </c>
      <c r="F18" s="19">
        <f t="shared" si="2"/>
        <v>24.019127590402274</v>
      </c>
      <c r="G18" s="50">
        <f t="shared" si="2"/>
        <v>0</v>
      </c>
      <c r="H18" s="18" t="s">
        <v>30</v>
      </c>
    </row>
    <row r="19" spans="1:8" ht="15" customHeight="1" x14ac:dyDescent="0.2">
      <c r="A19" s="18" t="s">
        <v>9</v>
      </c>
      <c r="B19" s="32">
        <v>20104</v>
      </c>
      <c r="C19" s="19">
        <v>18717</v>
      </c>
      <c r="D19" s="52">
        <f t="shared" si="1"/>
        <v>1387</v>
      </c>
      <c r="E19" s="19">
        <f t="shared" si="2"/>
        <v>182.41773540499014</v>
      </c>
      <c r="F19" s="19">
        <f t="shared" si="2"/>
        <v>401.37987913118013</v>
      </c>
      <c r="G19" s="50">
        <f t="shared" si="2"/>
        <v>0</v>
      </c>
      <c r="H19" s="18" t="s">
        <v>30</v>
      </c>
    </row>
    <row r="20" spans="1:8" ht="15" customHeight="1" x14ac:dyDescent="0.2">
      <c r="A20" s="18" t="s">
        <v>27</v>
      </c>
      <c r="B20" s="32">
        <f>3916-B21</f>
        <v>1636.5</v>
      </c>
      <c r="C20" s="19">
        <f>3786-C21</f>
        <v>1552.3000000000002</v>
      </c>
      <c r="D20" s="52">
        <f t="shared" si="1"/>
        <v>84.199999999999818</v>
      </c>
      <c r="E20" s="19">
        <f>E$39*$D20/$D$39</f>
        <v>11.073953367772267</v>
      </c>
      <c r="F20" s="19">
        <f>F$39*$D20/$D$39</f>
        <v>24.366392085685149</v>
      </c>
      <c r="G20" s="50">
        <f>G$39*$D20/$D$39</f>
        <v>0</v>
      </c>
      <c r="H20" s="18" t="s">
        <v>31</v>
      </c>
    </row>
    <row r="21" spans="1:8" ht="15" customHeight="1" x14ac:dyDescent="0.2">
      <c r="A21" s="18" t="s">
        <v>26</v>
      </c>
      <c r="B21" s="32">
        <v>2279.5</v>
      </c>
      <c r="C21" s="19">
        <v>2233.6999999999998</v>
      </c>
      <c r="D21" s="52">
        <f t="shared" si="1"/>
        <v>45.800000000000182</v>
      </c>
      <c r="E21" s="19">
        <f>E$43*$D21/$D$43</f>
        <v>6.0235993378144066</v>
      </c>
      <c r="F21" s="19">
        <f>F$43*$D21/$D$43</f>
        <v>13.253928236631667</v>
      </c>
      <c r="G21" s="50">
        <f>G$43*$D21/$D$43</f>
        <v>0</v>
      </c>
      <c r="H21" s="18" t="s">
        <v>26</v>
      </c>
    </row>
    <row r="22" spans="1:8" ht="15" customHeight="1" x14ac:dyDescent="0.2">
      <c r="A22" s="18" t="s">
        <v>43</v>
      </c>
      <c r="B22" s="32">
        <v>2119.1</v>
      </c>
      <c r="C22" s="19">
        <v>2186.6999999999998</v>
      </c>
      <c r="D22" s="52">
        <f t="shared" si="1"/>
        <v>-67.599999999999909</v>
      </c>
      <c r="E22" s="61">
        <f>E$37*$D22/$D$37</f>
        <v>-8.890727406905059</v>
      </c>
      <c r="F22" s="61">
        <f>F$37*$D22/$D$37</f>
        <v>-19.562566567604719</v>
      </c>
      <c r="G22" s="50">
        <f>G$37*$D22/$D$37</f>
        <v>0</v>
      </c>
      <c r="H22" s="18" t="s">
        <v>30</v>
      </c>
    </row>
    <row r="23" spans="1:8" ht="15" customHeight="1" x14ac:dyDescent="0.2">
      <c r="A23" s="18" t="s">
        <v>3</v>
      </c>
      <c r="B23" s="32">
        <v>5891</v>
      </c>
      <c r="C23" s="19">
        <v>5705</v>
      </c>
      <c r="D23" s="52">
        <f t="shared" si="1"/>
        <v>186</v>
      </c>
      <c r="E23" s="19">
        <f>E$39*$D23/$D$39</f>
        <v>24.462652332608624</v>
      </c>
      <c r="F23" s="19">
        <f>F$39*$D23/$D$39</f>
        <v>53.825996768853294</v>
      </c>
      <c r="G23" s="50">
        <f>G$39*$D23/$D$39</f>
        <v>0</v>
      </c>
      <c r="H23" s="18" t="s">
        <v>31</v>
      </c>
    </row>
    <row r="24" spans="1:8" ht="15" customHeight="1" x14ac:dyDescent="0.2">
      <c r="A24" s="18" t="s">
        <v>4</v>
      </c>
      <c r="B24" s="32">
        <v>2937</v>
      </c>
      <c r="C24" s="19">
        <v>2870</v>
      </c>
      <c r="D24" s="52">
        <f t="shared" si="1"/>
        <v>67</v>
      </c>
      <c r="E24" s="19">
        <f>E$38*$D24/$D$38</f>
        <v>8.811815625186977</v>
      </c>
      <c r="F24" s="19">
        <f>F$38*$D24/$D$38</f>
        <v>19.388934319963276</v>
      </c>
      <c r="G24" s="50">
        <f>G$38*$D24/$D$38</f>
        <v>0</v>
      </c>
      <c r="H24" s="18" t="s">
        <v>32</v>
      </c>
    </row>
    <row r="25" spans="1:8" ht="15" customHeight="1" x14ac:dyDescent="0.2">
      <c r="A25" s="18" t="s">
        <v>1</v>
      </c>
      <c r="B25" s="32">
        <v>8497</v>
      </c>
      <c r="C25" s="19">
        <v>8410</v>
      </c>
      <c r="D25" s="52">
        <f t="shared" si="1"/>
        <v>87</v>
      </c>
      <c r="E25" s="19">
        <f>E$39*$D25/$D$39</f>
        <v>11.442208349123391</v>
      </c>
      <c r="F25" s="19">
        <f>F$39*$D25/$D$39</f>
        <v>25.176675908012022</v>
      </c>
      <c r="G25" s="50">
        <f>G$39*$D25/$D$39</f>
        <v>0</v>
      </c>
      <c r="H25" s="18" t="s">
        <v>31</v>
      </c>
    </row>
    <row r="26" spans="1:8" ht="15" customHeight="1" x14ac:dyDescent="0.2">
      <c r="A26" s="18" t="s">
        <v>12</v>
      </c>
      <c r="B26" s="32">
        <v>2779</v>
      </c>
      <c r="C26" s="19">
        <v>2766</v>
      </c>
      <c r="D26" s="52">
        <f t="shared" si="1"/>
        <v>13</v>
      </c>
      <c r="E26" s="19">
        <f>E$38*$D26/$D$38</f>
        <v>1.7097552705586672</v>
      </c>
      <c r="F26" s="19">
        <f>F$38*$D26/$D$38</f>
        <v>3.7620320322316809</v>
      </c>
      <c r="G26" s="50">
        <f>G$38*$D26/$D$38</f>
        <v>0</v>
      </c>
      <c r="H26" s="18" t="s">
        <v>32</v>
      </c>
    </row>
    <row r="27" spans="1:8" ht="15" customHeight="1" x14ac:dyDescent="0.2">
      <c r="A27" s="18" t="s">
        <v>5</v>
      </c>
      <c r="B27" s="32">
        <v>6387</v>
      </c>
      <c r="C27" s="19">
        <v>6199</v>
      </c>
      <c r="D27" s="52">
        <f t="shared" si="1"/>
        <v>188</v>
      </c>
      <c r="E27" s="19">
        <f>E$44*$D27/$D$44</f>
        <v>24.725691605002268</v>
      </c>
      <c r="F27" s="19">
        <f>F$44*$D27/$D$44</f>
        <v>54.404770927658163</v>
      </c>
      <c r="G27" s="50">
        <f>G$44*$D27/$D$44</f>
        <v>0</v>
      </c>
      <c r="H27" s="18" t="s">
        <v>5</v>
      </c>
    </row>
    <row r="28" spans="1:8" ht="15" customHeight="1" x14ac:dyDescent="0.2">
      <c r="A28" s="18" t="s">
        <v>13</v>
      </c>
      <c r="B28" s="32">
        <v>7266</v>
      </c>
      <c r="C28" s="19">
        <v>7046</v>
      </c>
      <c r="D28" s="52">
        <f t="shared" si="1"/>
        <v>220</v>
      </c>
      <c r="E28" s="19">
        <f>E$49*$D28/$D$49</f>
        <v>28.934319963300528</v>
      </c>
      <c r="F28" s="19">
        <f>F$49*$D28/$D$49</f>
        <v>63.665157468536144</v>
      </c>
      <c r="G28" s="50">
        <f>G$49*$D28/$D$49</f>
        <v>0</v>
      </c>
      <c r="H28" s="18" t="s">
        <v>13</v>
      </c>
    </row>
    <row r="29" spans="1:8" ht="15" customHeight="1" x14ac:dyDescent="0.2">
      <c r="A29" s="18" t="s">
        <v>28</v>
      </c>
      <c r="B29" s="32">
        <f>9868-B30</f>
        <v>4946.8</v>
      </c>
      <c r="C29" s="19">
        <f>9540-C30</f>
        <v>4588.7</v>
      </c>
      <c r="D29" s="52">
        <f t="shared" si="1"/>
        <v>358.10000000000036</v>
      </c>
      <c r="E29" s="19">
        <f>E$41*$D29/$D$41</f>
        <v>47.097181722081494</v>
      </c>
      <c r="F29" s="19">
        <f>F$41*$D29/$D$41</f>
        <v>103.62951313401281</v>
      </c>
      <c r="G29" s="50">
        <f>G$41*$D29/$D$41</f>
        <v>0</v>
      </c>
      <c r="H29" s="18" t="s">
        <v>28</v>
      </c>
    </row>
    <row r="30" spans="1:8" ht="15" customHeight="1" x14ac:dyDescent="0.2">
      <c r="A30" s="18" t="s">
        <v>23</v>
      </c>
      <c r="B30" s="32">
        <v>4921.2</v>
      </c>
      <c r="C30" s="19">
        <v>4951.3</v>
      </c>
      <c r="D30" s="52">
        <f t="shared" si="1"/>
        <v>-30.100000000000364</v>
      </c>
      <c r="E30" s="62">
        <f>E$42*$D30/$D$42</f>
        <v>-3.9587410495243467</v>
      </c>
      <c r="F30" s="62">
        <f>F$42*$D30/$D$42</f>
        <v>-8.7105510900134586</v>
      </c>
      <c r="G30" s="50">
        <f>G$42*$D30/$D$42</f>
        <v>0</v>
      </c>
      <c r="H30" s="18" t="s">
        <v>23</v>
      </c>
    </row>
    <row r="31" spans="1:8" ht="15" customHeight="1" x14ac:dyDescent="0.2">
      <c r="A31" s="18" t="s">
        <v>6</v>
      </c>
      <c r="B31" s="32">
        <v>393</v>
      </c>
      <c r="C31" s="19">
        <v>386</v>
      </c>
      <c r="D31" s="52">
        <f t="shared" si="1"/>
        <v>7</v>
      </c>
      <c r="E31" s="19">
        <f>E$39*$D31/$D$39</f>
        <v>0.92063745337774394</v>
      </c>
      <c r="F31" s="19">
        <f>F$39*$D31/$D$39</f>
        <v>2.0257095558170595</v>
      </c>
      <c r="G31" s="50">
        <f>G$39*$D31/$D$39</f>
        <v>0</v>
      </c>
      <c r="H31" s="18" t="s">
        <v>31</v>
      </c>
    </row>
    <row r="32" spans="1:8" ht="15" customHeight="1" x14ac:dyDescent="0.2">
      <c r="A32" s="13"/>
      <c r="B32" s="20">
        <f>SUM(B9:B31)</f>
        <v>144373.1</v>
      </c>
      <c r="C32" s="20">
        <f>SUM(C9:C31)</f>
        <v>139359.4</v>
      </c>
      <c r="D32" s="20">
        <f>SUM(D9:D31)</f>
        <v>5013.7000000000007</v>
      </c>
      <c r="E32" s="20">
        <f>SUM(E9:E31)</f>
        <v>659.39999999999918</v>
      </c>
      <c r="F32" s="20">
        <f>SUM(F9:F31)</f>
        <v>1450.8999999999983</v>
      </c>
      <c r="G32" s="51">
        <f t="shared" ref="G32" si="3">SUM(G9:G31)</f>
        <v>0</v>
      </c>
    </row>
    <row r="33" spans="1:8" x14ac:dyDescent="0.2">
      <c r="B33" s="5"/>
      <c r="C33" s="3" t="s">
        <v>8</v>
      </c>
      <c r="D33" s="4" t="s">
        <v>8</v>
      </c>
      <c r="E33" s="2"/>
    </row>
    <row r="34" spans="1:8" ht="15.75" x14ac:dyDescent="0.25">
      <c r="A34" s="12" t="s">
        <v>35</v>
      </c>
      <c r="G34" s="10"/>
    </row>
    <row r="35" spans="1:8" ht="20.100000000000001" customHeight="1" x14ac:dyDescent="0.25">
      <c r="A35" s="12"/>
      <c r="E35" s="69" t="s">
        <v>33</v>
      </c>
      <c r="F35" s="69"/>
      <c r="G35" s="69"/>
      <c r="H35" s="69"/>
    </row>
    <row r="36" spans="1:8" ht="60" customHeight="1" x14ac:dyDescent="0.2">
      <c r="A36" s="21" t="s">
        <v>24</v>
      </c>
      <c r="B36" s="17" t="s">
        <v>47</v>
      </c>
      <c r="C36" s="17" t="s">
        <v>48</v>
      </c>
      <c r="D36" s="17" t="s">
        <v>15</v>
      </c>
      <c r="E36" s="17" t="s">
        <v>51</v>
      </c>
      <c r="F36" s="17" t="s">
        <v>52</v>
      </c>
      <c r="G36" s="17" t="s">
        <v>53</v>
      </c>
      <c r="H36" s="31" t="s">
        <v>54</v>
      </c>
    </row>
    <row r="37" spans="1:8" ht="15" customHeight="1" x14ac:dyDescent="0.2">
      <c r="A37" s="22" t="s">
        <v>30</v>
      </c>
      <c r="B37" s="53">
        <f>B10+B11+B16+B17+B18+B19+B22</f>
        <v>52764.1</v>
      </c>
      <c r="C37" s="53">
        <f>C10+C11+C16+C17+C18+C19+C22</f>
        <v>50396.399999999994</v>
      </c>
      <c r="D37" s="53">
        <f>B37-C37</f>
        <v>2367.7000000000044</v>
      </c>
      <c r="E37" s="54">
        <f>$E$5*D37/$D$50</f>
        <v>311.39904262321267</v>
      </c>
      <c r="F37" s="54">
        <f>$F$5*D37/$D$50</f>
        <v>685.18178790115144</v>
      </c>
      <c r="G37" s="54">
        <f>$G$5*D37/$D$50</f>
        <v>0</v>
      </c>
      <c r="H37" s="32">
        <f>E37+F37+G37</f>
        <v>996.58083052436405</v>
      </c>
    </row>
    <row r="38" spans="1:8" ht="15" customHeight="1" x14ac:dyDescent="0.2">
      <c r="A38" s="22" t="s">
        <v>32</v>
      </c>
      <c r="B38" s="53">
        <f>B24+B26</f>
        <v>5716</v>
      </c>
      <c r="C38" s="53">
        <f>C24+C26</f>
        <v>5636</v>
      </c>
      <c r="D38" s="53">
        <f>B38-C38</f>
        <v>80</v>
      </c>
      <c r="E38" s="54">
        <f>$E$5*D38/$D$50</f>
        <v>10.521570895745645</v>
      </c>
      <c r="F38" s="54">
        <f>$F$5*D38/$D$50</f>
        <v>23.15096635219496</v>
      </c>
      <c r="G38" s="54">
        <f t="shared" ref="G38:G49" si="4">$G$5*D38/$D$50</f>
        <v>0</v>
      </c>
      <c r="H38" s="32">
        <f>E38+F38+G38</f>
        <v>33.672537247940603</v>
      </c>
    </row>
    <row r="39" spans="1:8" ht="15" customHeight="1" x14ac:dyDescent="0.2">
      <c r="A39" s="22" t="s">
        <v>31</v>
      </c>
      <c r="B39" s="53">
        <f>B9+B20+B23+B25+B31</f>
        <v>18862.5</v>
      </c>
      <c r="C39" s="53">
        <f>C9+C20+C23+C25+C31</f>
        <v>18413.3</v>
      </c>
      <c r="D39" s="53">
        <f t="shared" ref="D39:D44" si="5">B39-C39</f>
        <v>449.20000000000073</v>
      </c>
      <c r="E39" s="54">
        <f t="shared" ref="E39:E49" si="6">$E$5*D39/$D$50</f>
        <v>59.078620579611894</v>
      </c>
      <c r="F39" s="54">
        <f>$F$5*D39/$D$50</f>
        <v>129.99267606757493</v>
      </c>
      <c r="G39" s="54">
        <f t="shared" si="4"/>
        <v>0</v>
      </c>
      <c r="H39" s="32">
        <f>E39+F39+G39</f>
        <v>189.07129664718684</v>
      </c>
    </row>
    <row r="40" spans="1:8" ht="15" customHeight="1" x14ac:dyDescent="0.2">
      <c r="A40" s="22" t="s">
        <v>40</v>
      </c>
      <c r="B40" s="53">
        <v>0</v>
      </c>
      <c r="C40" s="53">
        <v>0</v>
      </c>
      <c r="D40" s="53">
        <f t="shared" si="5"/>
        <v>0</v>
      </c>
      <c r="E40" s="54">
        <f t="shared" si="6"/>
        <v>0</v>
      </c>
      <c r="F40" s="54">
        <f t="shared" ref="F40:F49" si="7">$F$5*D40/$D$50</f>
        <v>0</v>
      </c>
      <c r="G40" s="54">
        <f t="shared" si="4"/>
        <v>0</v>
      </c>
      <c r="H40" s="32">
        <f t="shared" ref="H40:H49" si="8">E40+F40+G40</f>
        <v>0</v>
      </c>
    </row>
    <row r="41" spans="1:8" ht="15" customHeight="1" x14ac:dyDescent="0.2">
      <c r="A41" s="22" t="s">
        <v>28</v>
      </c>
      <c r="B41" s="53">
        <f>B29</f>
        <v>4946.8</v>
      </c>
      <c r="C41" s="53">
        <f>C29</f>
        <v>4588.7</v>
      </c>
      <c r="D41" s="53">
        <f t="shared" si="5"/>
        <v>358.10000000000036</v>
      </c>
      <c r="E41" s="54">
        <f t="shared" si="6"/>
        <v>47.097181722081494</v>
      </c>
      <c r="F41" s="54">
        <f t="shared" si="7"/>
        <v>103.62951313401281</v>
      </c>
      <c r="G41" s="54">
        <f t="shared" si="4"/>
        <v>0</v>
      </c>
      <c r="H41" s="32">
        <f t="shared" si="8"/>
        <v>150.7266948560943</v>
      </c>
    </row>
    <row r="42" spans="1:8" ht="15" customHeight="1" x14ac:dyDescent="0.2">
      <c r="A42" s="22" t="s">
        <v>23</v>
      </c>
      <c r="B42" s="53">
        <f>B30</f>
        <v>4921.2</v>
      </c>
      <c r="C42" s="53">
        <f>C30</f>
        <v>4951.3</v>
      </c>
      <c r="D42" s="63">
        <f t="shared" si="5"/>
        <v>-30.100000000000364</v>
      </c>
      <c r="E42" s="63">
        <f t="shared" si="6"/>
        <v>-3.9587410495243467</v>
      </c>
      <c r="F42" s="63">
        <f t="shared" si="7"/>
        <v>-8.7105510900134586</v>
      </c>
      <c r="G42" s="54">
        <f t="shared" si="4"/>
        <v>0</v>
      </c>
      <c r="H42" s="32">
        <f t="shared" si="8"/>
        <v>-12.669292139537806</v>
      </c>
    </row>
    <row r="43" spans="1:8" ht="15" customHeight="1" x14ac:dyDescent="0.2">
      <c r="A43" s="23" t="s">
        <v>26</v>
      </c>
      <c r="B43" s="55">
        <f>B21</f>
        <v>2279.5</v>
      </c>
      <c r="C43" s="55">
        <f>C21</f>
        <v>2233.6999999999998</v>
      </c>
      <c r="D43" s="53">
        <f t="shared" si="5"/>
        <v>45.800000000000182</v>
      </c>
      <c r="E43" s="54">
        <f t="shared" si="6"/>
        <v>6.0235993378144066</v>
      </c>
      <c r="F43" s="54">
        <f t="shared" si="7"/>
        <v>13.253928236631667</v>
      </c>
      <c r="G43" s="54">
        <f t="shared" si="4"/>
        <v>0</v>
      </c>
      <c r="H43" s="32">
        <f t="shared" si="8"/>
        <v>19.277527574446076</v>
      </c>
    </row>
    <row r="44" spans="1:8" ht="15" customHeight="1" x14ac:dyDescent="0.2">
      <c r="A44" s="23" t="s">
        <v>5</v>
      </c>
      <c r="B44" s="55">
        <f>B27</f>
        <v>6387</v>
      </c>
      <c r="C44" s="55">
        <f>C27</f>
        <v>6199</v>
      </c>
      <c r="D44" s="53">
        <f t="shared" si="5"/>
        <v>188</v>
      </c>
      <c r="E44" s="54">
        <f t="shared" si="6"/>
        <v>24.725691605002268</v>
      </c>
      <c r="F44" s="54">
        <f t="shared" si="7"/>
        <v>54.404770927658163</v>
      </c>
      <c r="G44" s="54">
        <f t="shared" si="4"/>
        <v>0</v>
      </c>
      <c r="H44" s="32">
        <f t="shared" si="8"/>
        <v>79.130462532660431</v>
      </c>
    </row>
    <row r="45" spans="1:8" ht="15" customHeight="1" x14ac:dyDescent="0.2">
      <c r="A45" s="23" t="s">
        <v>45</v>
      </c>
      <c r="B45" s="55">
        <f>B12</f>
        <v>8395.4</v>
      </c>
      <c r="C45" s="55">
        <f>C12</f>
        <v>8245.1</v>
      </c>
      <c r="D45" s="53">
        <f>B45-C45</f>
        <v>150.29999999999927</v>
      </c>
      <c r="E45" s="54">
        <f t="shared" si="6"/>
        <v>19.767401320382035</v>
      </c>
      <c r="F45" s="54">
        <f t="shared" si="7"/>
        <v>43.49487803418608</v>
      </c>
      <c r="G45" s="54">
        <f t="shared" si="4"/>
        <v>0</v>
      </c>
      <c r="H45" s="32">
        <f t="shared" si="8"/>
        <v>63.262279354568115</v>
      </c>
    </row>
    <row r="46" spans="1:8" ht="15" customHeight="1" x14ac:dyDescent="0.2">
      <c r="A46" s="23" t="s">
        <v>49</v>
      </c>
      <c r="B46" s="55">
        <f>B13</f>
        <v>4221.6000000000004</v>
      </c>
      <c r="C46" s="55">
        <f>C13</f>
        <v>4097.8999999999996</v>
      </c>
      <c r="D46" s="53">
        <f>B46-C46</f>
        <v>123.70000000000073</v>
      </c>
      <c r="E46" s="54">
        <f t="shared" si="6"/>
        <v>16.2689789975468</v>
      </c>
      <c r="F46" s="54">
        <f t="shared" si="7"/>
        <v>35.797181722081675</v>
      </c>
      <c r="G46" s="54">
        <f t="shared" si="4"/>
        <v>0</v>
      </c>
      <c r="H46" s="32">
        <f t="shared" si="8"/>
        <v>52.066160719628471</v>
      </c>
    </row>
    <row r="47" spans="1:8" ht="15" customHeight="1" x14ac:dyDescent="0.2">
      <c r="A47" s="23" t="s">
        <v>11</v>
      </c>
      <c r="B47" s="55">
        <f>B15</f>
        <v>21855</v>
      </c>
      <c r="C47" s="55">
        <f>C15</f>
        <v>21129</v>
      </c>
      <c r="D47" s="53">
        <f t="shared" ref="D47:D49" si="9">B47-C47</f>
        <v>726</v>
      </c>
      <c r="E47" s="54">
        <f t="shared" si="6"/>
        <v>95.483255878891725</v>
      </c>
      <c r="F47" s="54">
        <f t="shared" si="7"/>
        <v>210.09501964616931</v>
      </c>
      <c r="G47" s="54">
        <f t="shared" si="4"/>
        <v>0</v>
      </c>
      <c r="H47" s="32">
        <f t="shared" si="8"/>
        <v>305.57827552506103</v>
      </c>
    </row>
    <row r="48" spans="1:8" ht="15" customHeight="1" x14ac:dyDescent="0.2">
      <c r="A48" s="23" t="s">
        <v>2</v>
      </c>
      <c r="B48" s="55">
        <f>B14</f>
        <v>6758</v>
      </c>
      <c r="C48" s="55">
        <f>C14</f>
        <v>6423</v>
      </c>
      <c r="D48" s="53">
        <f t="shared" si="9"/>
        <v>335</v>
      </c>
      <c r="E48" s="54">
        <f t="shared" si="6"/>
        <v>44.059078125934889</v>
      </c>
      <c r="F48" s="54">
        <f t="shared" si="7"/>
        <v>96.944671599816417</v>
      </c>
      <c r="G48" s="54">
        <f t="shared" si="4"/>
        <v>0</v>
      </c>
      <c r="H48" s="32">
        <f t="shared" si="8"/>
        <v>141.00374972575131</v>
      </c>
    </row>
    <row r="49" spans="1:14" ht="15" customHeight="1" x14ac:dyDescent="0.2">
      <c r="A49" s="23" t="s">
        <v>13</v>
      </c>
      <c r="B49" s="55">
        <f>B28</f>
        <v>7266</v>
      </c>
      <c r="C49" s="55">
        <f>C28</f>
        <v>7046</v>
      </c>
      <c r="D49" s="53">
        <f t="shared" si="9"/>
        <v>220</v>
      </c>
      <c r="E49" s="54">
        <f t="shared" si="6"/>
        <v>28.934319963300528</v>
      </c>
      <c r="F49" s="54">
        <f t="shared" si="7"/>
        <v>63.665157468536144</v>
      </c>
      <c r="G49" s="54">
        <f t="shared" si="4"/>
        <v>0</v>
      </c>
      <c r="H49" s="32">
        <f t="shared" si="8"/>
        <v>92.599477431836675</v>
      </c>
    </row>
    <row r="50" spans="1:14" ht="15" customHeight="1" x14ac:dyDescent="0.2">
      <c r="A50" s="23" t="s">
        <v>25</v>
      </c>
      <c r="B50" s="56">
        <f>SUM(B37:B49)</f>
        <v>144373.1</v>
      </c>
      <c r="C50" s="56">
        <f>SUM(C37:C49)</f>
        <v>139359.4</v>
      </c>
      <c r="D50" s="56">
        <f>SUM(D37:D49)</f>
        <v>5013.7000000000053</v>
      </c>
      <c r="E50" s="56">
        <f>SUM(E37:E49)</f>
        <v>659.39999999999986</v>
      </c>
      <c r="F50" s="56">
        <f>SUM(F37:F49)</f>
        <v>1450.9</v>
      </c>
      <c r="G50" s="56">
        <f t="shared" ref="G50" si="10">SUM(G37:G49)</f>
        <v>0</v>
      </c>
      <c r="H50" s="33">
        <f>SUM(H37:H49)</f>
        <v>2110.2999999999997</v>
      </c>
    </row>
    <row r="52" spans="1:14" ht="15.75" x14ac:dyDescent="0.25">
      <c r="A52" s="12" t="s">
        <v>34</v>
      </c>
      <c r="G52" s="10"/>
      <c r="H52" s="35"/>
    </row>
    <row r="53" spans="1:14" ht="60" customHeight="1" x14ac:dyDescent="0.2">
      <c r="A53" s="21" t="s">
        <v>24</v>
      </c>
      <c r="B53" s="17" t="s">
        <v>65</v>
      </c>
      <c r="C53" s="17" t="s">
        <v>41</v>
      </c>
      <c r="D53" s="17" t="s">
        <v>18</v>
      </c>
      <c r="E53" s="17" t="s">
        <v>17</v>
      </c>
      <c r="H53" s="36"/>
    </row>
    <row r="54" spans="1:14" ht="15" customHeight="1" x14ac:dyDescent="0.2">
      <c r="A54" s="22" t="s">
        <v>19</v>
      </c>
      <c r="B54" s="54">
        <f>H50</f>
        <v>2110.2999999999997</v>
      </c>
      <c r="C54" s="41">
        <v>157092.4</v>
      </c>
      <c r="D54" s="41">
        <v>151832</v>
      </c>
      <c r="E54" s="57">
        <f t="shared" ref="E54:E65" si="11">C54-D54</f>
        <v>5260.3999999999942</v>
      </c>
      <c r="F54" s="1" t="s">
        <v>8</v>
      </c>
      <c r="H54" s="37"/>
      <c r="I54" s="1" t="s">
        <v>8</v>
      </c>
      <c r="J54" s="1" t="s">
        <v>8</v>
      </c>
      <c r="K54" s="1" t="s">
        <v>8</v>
      </c>
      <c r="L54" s="1" t="s">
        <v>8</v>
      </c>
      <c r="M54" s="1" t="s">
        <v>8</v>
      </c>
      <c r="N54" s="1" t="s">
        <v>8</v>
      </c>
    </row>
    <row r="55" spans="1:14" ht="15" customHeight="1" x14ac:dyDescent="0.2">
      <c r="A55" s="22" t="s">
        <v>20</v>
      </c>
      <c r="B55" s="54">
        <f>H38+H39+H40+H41+H42+H43+H44+H48+H49</f>
        <v>692.81245387637853</v>
      </c>
      <c r="C55" s="41">
        <v>67662</v>
      </c>
      <c r="D55" s="41">
        <v>65197</v>
      </c>
      <c r="E55" s="57">
        <f t="shared" si="11"/>
        <v>2465</v>
      </c>
      <c r="F55" s="1" t="s">
        <v>8</v>
      </c>
      <c r="H55" s="34"/>
      <c r="I55" s="1" t="s">
        <v>8</v>
      </c>
      <c r="J55" s="1" t="s">
        <v>8</v>
      </c>
      <c r="K55" s="1" t="s">
        <v>8</v>
      </c>
      <c r="L55" s="1" t="s">
        <v>8</v>
      </c>
      <c r="M55" s="1" t="s">
        <v>8</v>
      </c>
      <c r="N55" s="1" t="s">
        <v>8</v>
      </c>
    </row>
    <row r="56" spans="1:14" ht="15" customHeight="1" x14ac:dyDescent="0.2">
      <c r="A56" s="22" t="s">
        <v>21</v>
      </c>
      <c r="B56" s="54">
        <f>H39+H41+H42+H43</f>
        <v>346.40622693818943</v>
      </c>
      <c r="C56" s="41">
        <v>37633</v>
      </c>
      <c r="D56" s="41">
        <v>36432</v>
      </c>
      <c r="E56" s="57">
        <f t="shared" si="11"/>
        <v>1201</v>
      </c>
      <c r="F56" s="1" t="s">
        <v>8</v>
      </c>
      <c r="H56" s="34"/>
    </row>
    <row r="57" spans="1:14" ht="15" customHeight="1" x14ac:dyDescent="0.2">
      <c r="A57" s="22" t="s">
        <v>22</v>
      </c>
      <c r="B57" s="54">
        <f>H40+H44+H48</f>
        <v>220.13421225841174</v>
      </c>
      <c r="C57" s="41">
        <v>15883</v>
      </c>
      <c r="D57" s="41">
        <v>15431</v>
      </c>
      <c r="E57" s="57">
        <f t="shared" si="11"/>
        <v>452</v>
      </c>
      <c r="F57" s="1" t="s">
        <v>8</v>
      </c>
      <c r="H57" s="34"/>
    </row>
    <row r="58" spans="1:14" ht="15" customHeight="1" x14ac:dyDescent="0.2">
      <c r="A58" s="22" t="s">
        <v>14</v>
      </c>
      <c r="B58" s="54">
        <f>H41+H42</f>
        <v>138.05740271655648</v>
      </c>
      <c r="C58" s="41">
        <v>12174</v>
      </c>
      <c r="D58" s="41">
        <v>11667</v>
      </c>
      <c r="E58" s="57">
        <f t="shared" si="11"/>
        <v>507</v>
      </c>
      <c r="F58" s="1" t="s">
        <v>8</v>
      </c>
      <c r="H58" s="34"/>
    </row>
    <row r="59" spans="1:14" ht="15" customHeight="1" x14ac:dyDescent="0.2">
      <c r="A59" s="22" t="s">
        <v>23</v>
      </c>
      <c r="B59" s="54">
        <f>H42</f>
        <v>-12.669292139537806</v>
      </c>
      <c r="C59" s="41">
        <v>6375</v>
      </c>
      <c r="D59" s="41">
        <v>6188</v>
      </c>
      <c r="E59" s="57">
        <f t="shared" si="11"/>
        <v>187</v>
      </c>
      <c r="F59" s="1" t="s">
        <v>8</v>
      </c>
      <c r="H59" s="34"/>
    </row>
    <row r="60" spans="1:14" ht="15" customHeight="1" x14ac:dyDescent="0.2">
      <c r="A60" s="23" t="s">
        <v>26</v>
      </c>
      <c r="B60" s="54">
        <f>H43</f>
        <v>19.277527574446076</v>
      </c>
      <c r="C60" s="41">
        <v>3060</v>
      </c>
      <c r="D60" s="41">
        <v>2940</v>
      </c>
      <c r="E60" s="57">
        <f t="shared" si="11"/>
        <v>120</v>
      </c>
      <c r="F60" s="1" t="s">
        <v>8</v>
      </c>
      <c r="H60" s="34"/>
    </row>
    <row r="61" spans="1:14" ht="15" customHeight="1" x14ac:dyDescent="0.2">
      <c r="A61" s="23" t="s">
        <v>5</v>
      </c>
      <c r="B61" s="54">
        <f>H44</f>
        <v>79.130462532660431</v>
      </c>
      <c r="C61" s="41">
        <v>8074</v>
      </c>
      <c r="D61" s="41">
        <v>8201</v>
      </c>
      <c r="E61" s="58">
        <f t="shared" si="11"/>
        <v>-127</v>
      </c>
      <c r="F61" s="1" t="s">
        <v>8</v>
      </c>
      <c r="H61" s="34"/>
    </row>
    <row r="62" spans="1:14" ht="15" customHeight="1" x14ac:dyDescent="0.2">
      <c r="A62" s="23" t="s">
        <v>37</v>
      </c>
      <c r="B62" s="54">
        <f>H45+H46</f>
        <v>115.32844007419658</v>
      </c>
      <c r="C62" s="41">
        <v>15742</v>
      </c>
      <c r="D62" s="41">
        <v>15635</v>
      </c>
      <c r="E62" s="57">
        <f t="shared" si="11"/>
        <v>107</v>
      </c>
      <c r="F62" s="1" t="s">
        <v>8</v>
      </c>
      <c r="H62" s="34"/>
    </row>
    <row r="63" spans="1:14" ht="15" customHeight="1" x14ac:dyDescent="0.2">
      <c r="A63" s="23" t="s">
        <v>49</v>
      </c>
      <c r="B63" s="54">
        <f>H46</f>
        <v>52.066160719628471</v>
      </c>
      <c r="C63" s="41">
        <v>5979</v>
      </c>
      <c r="D63" s="41">
        <v>5714</v>
      </c>
      <c r="E63" s="57">
        <f t="shared" si="11"/>
        <v>265</v>
      </c>
      <c r="F63" s="1" t="s">
        <v>8</v>
      </c>
      <c r="H63" s="34"/>
    </row>
    <row r="64" spans="1:14" ht="15" customHeight="1" x14ac:dyDescent="0.2">
      <c r="A64" s="23" t="s">
        <v>11</v>
      </c>
      <c r="B64" s="54">
        <f>H47</f>
        <v>305.57827552506103</v>
      </c>
      <c r="C64" s="41">
        <v>26509</v>
      </c>
      <c r="D64" s="41">
        <v>25676</v>
      </c>
      <c r="E64" s="57">
        <f t="shared" si="11"/>
        <v>833</v>
      </c>
      <c r="F64" s="1" t="s">
        <v>8</v>
      </c>
      <c r="H64" s="34"/>
    </row>
    <row r="65" spans="1:8" ht="15" customHeight="1" x14ac:dyDescent="0.2">
      <c r="A65" s="23" t="s">
        <v>2</v>
      </c>
      <c r="B65" s="54">
        <f>H48</f>
        <v>141.00374972575131</v>
      </c>
      <c r="C65" s="41">
        <v>8401</v>
      </c>
      <c r="D65" s="41">
        <v>7905</v>
      </c>
      <c r="E65" s="57">
        <f t="shared" si="11"/>
        <v>496</v>
      </c>
      <c r="F65" s="1" t="s">
        <v>8</v>
      </c>
      <c r="H65" s="34"/>
    </row>
    <row r="66" spans="1:8" ht="15" customHeight="1" x14ac:dyDescent="0.2">
      <c r="A66" s="23" t="s">
        <v>57</v>
      </c>
      <c r="B66" s="54">
        <f>H49</f>
        <v>92.599477431836675</v>
      </c>
      <c r="C66" s="41">
        <v>10565</v>
      </c>
      <c r="D66" s="41">
        <v>10109</v>
      </c>
      <c r="E66" s="57">
        <f t="shared" ref="E66" si="12">C66-D66</f>
        <v>456</v>
      </c>
      <c r="F66" s="38" t="s">
        <v>8</v>
      </c>
      <c r="H66" s="34"/>
    </row>
    <row r="67" spans="1:8" ht="37.15" customHeight="1" x14ac:dyDescent="0.2">
      <c r="A67" s="66" t="s">
        <v>80</v>
      </c>
      <c r="B67" s="67"/>
      <c r="C67" s="67"/>
      <c r="D67" s="67"/>
      <c r="E67" s="67"/>
      <c r="F67" s="67"/>
      <c r="G67" s="67"/>
      <c r="H67" s="67"/>
    </row>
  </sheetData>
  <mergeCells count="3">
    <mergeCell ref="A67:H67"/>
    <mergeCell ref="E1:H1"/>
    <mergeCell ref="E35:H35"/>
  </mergeCells>
  <pageMargins left="0.45" right="0.45" top="0.5" bottom="0.5" header="0" footer="0.05"/>
  <pageSetup scale="50" orientation="portrait" r:id="rId1"/>
  <headerFooter>
    <oddHeader>&amp;L&amp;"Arial,Bold"&amp;14Calculation of 2019/2020 Delivery Year Excess Commitment Credits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2019-20 Excess Commit MW</vt:lpstr>
      <vt:lpstr>Calculation of Excess Commit MW</vt:lpstr>
      <vt:lpstr>'2019-20 Excess Commit MW'!Print_Area</vt:lpstr>
      <vt:lpstr>'Calculation of Excess Commit MW'!Print_Area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dolanj1</cp:lastModifiedBy>
  <cp:lastPrinted>2019-04-15T13:21:12Z</cp:lastPrinted>
  <dcterms:created xsi:type="dcterms:W3CDTF">2007-03-21T19:37:11Z</dcterms:created>
  <dcterms:modified xsi:type="dcterms:W3CDTF">2019-04-26T15:42:51Z</dcterms:modified>
</cp:coreProperties>
</file>