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codeName="ThisWorkbook"/>
  <mc:AlternateContent xmlns:mc="http://schemas.openxmlformats.org/markup-compatibility/2006">
    <mc:Choice Requires="x15">
      <x15ac:absPath xmlns:x15ac="http://schemas.microsoft.com/office/spreadsheetml/2010/11/ac" url="C:\Users\loper\Desktop\FIRSTENERGY\MAIT\MAIT 2019 Annual Update\"/>
    </mc:Choice>
  </mc:AlternateContent>
  <xr:revisionPtr revIDLastSave="0" documentId="8_{E1EC0EAB-35EB-4FF6-90AB-EA1B8576ACC4}" xr6:coauthVersionLast="44" xr6:coauthVersionMax="44" xr10:uidLastSave="{00000000-0000-0000-0000-000000000000}"/>
  <bookViews>
    <workbookView xWindow="-113" yWindow="-113" windowWidth="24267" windowHeight="13148" tabRatio="768" xr2:uid="{00000000-000D-0000-FFFF-FFFF00000000}"/>
  </bookViews>
  <sheets>
    <sheet name="Attachment H-28A MAIT " sheetId="1" r:id="rId1"/>
    <sheet name="Attachment 1 - Sched 1A" sheetId="2" r:id="rId2"/>
    <sheet name="Attachment 2 - Incentive ROE" sheetId="31" r:id="rId3"/>
    <sheet name="Attachment 3 - Gross Plant" sheetId="13" r:id="rId4"/>
    <sheet name="Attachment 4 - Accum Depr" sheetId="14" r:id="rId5"/>
    <sheet name="Attachment 5 - ADIT" sheetId="15" r:id="rId6"/>
    <sheet name="Attch 5a - ADIT Normalization" sheetId="48" r:id="rId7"/>
    <sheet name="Attachment 5b - ADIT Detail" sheetId="51" r:id="rId8"/>
    <sheet name="WP03-A ADIT Summary" sheetId="40" state="hidden" r:id="rId9"/>
    <sheet name="WP03-B ADIT Detail" sheetId="38" state="hidden" r:id="rId10"/>
    <sheet name="Attach 5a - ADIT Norm JC-T" sheetId="47" state="hidden" r:id="rId11"/>
    <sheet name="Attachment 6 - PBOP" sheetId="33" r:id="rId12"/>
    <sheet name="Attachment 7 - Taxes Other " sheetId="19" r:id="rId13"/>
    <sheet name="Attachment 8 - Cap Structure" sheetId="22" r:id="rId14"/>
    <sheet name="Attach 9 - Stated-value Inputs" sheetId="26" r:id="rId15"/>
    <sheet name="Attachment 10 - Debt Cost" sheetId="42" r:id="rId16"/>
    <sheet name="Attachment 11 - TEC" sheetId="5" r:id="rId17"/>
    <sheet name="Attach 11a - TEC Cost Support" sheetId="39" r:id="rId18"/>
    <sheet name="Attachment 12 - TEC True-up" sheetId="6" r:id="rId19"/>
    <sheet name="Attachment 13 - Rev Req True-up" sheetId="25" r:id="rId20"/>
    <sheet name="Attach 13a-TEC Rev Req True up" sheetId="49" r:id="rId21"/>
    <sheet name="Attachment 14 - Other Rate Base" sheetId="52" r:id="rId22"/>
    <sheet name="Attachment 15 - Income Tax Adj" sheetId="35" r:id="rId23"/>
    <sheet name="Attach 16a Reg Asset-Storms" sheetId="41" r:id="rId24"/>
    <sheet name="Attach 16b Reg Asset-Veg Mgmt" sheetId="43" r:id="rId25"/>
    <sheet name="Attach 16c Reg Asset-start Cost" sheetId="44" r:id="rId26"/>
    <sheet name="Attachment 17 - Abandoned Plant" sheetId="36" r:id="rId27"/>
    <sheet name="Attachment 18 - CWIP" sheetId="32" r:id="rId28"/>
    <sheet name="Attachment 19 - Tax Rates" sheetId="27" r:id="rId29"/>
    <sheet name="Attachment 20 - O&amp;M and A&amp;G" sheetId="50" r:id="rId30"/>
    <sheet name="Attachment 21 - Revenue Credits" sheetId="53" r:id="rId31"/>
  </sheets>
  <externalReferences>
    <externalReference r:id="rId32"/>
    <externalReference r:id="rId33"/>
    <externalReference r:id="rId34"/>
    <externalReference r:id="rId35"/>
    <externalReference r:id="rId36"/>
    <externalReference r:id="rId37"/>
    <externalReference r:id="rId38"/>
  </externalReferences>
  <definedNames>
    <definedName name="___OFF2" localSheetId="29">'[1]DPLG-APRIL2001-TRANSCHECKOUT'!$AC$2:$AC$10</definedName>
    <definedName name="___OFF2" localSheetId="30">'[1]DPLG-APRIL2001-TRANSCHECKOUT'!$AC$2:$AC$10</definedName>
    <definedName name="___OFF2">'[2]DPLG-APRIL2001-TRANSCHECKOUT'!$AC$2:$AC$10</definedName>
    <definedName name="___PPP1" localSheetId="29">'[1]DPLG-APRIL2001-TRANSCHECKOUT'!$A$1:$D$27</definedName>
    <definedName name="___PPP1" localSheetId="30">'[1]DPLG-APRIL2001-TRANSCHECKOUT'!$A$1:$D$27</definedName>
    <definedName name="___PPP1">'[2]DPLG-APRIL2001-TRANSCHECKOUT'!$A$1:$D$27</definedName>
    <definedName name="__123Graph_A" localSheetId="20" hidden="1">'[3]AL2 151'!#REF!</definedName>
    <definedName name="__123Graph_A" localSheetId="29" hidden="1">'[3]AL2 151'!#REF!</definedName>
    <definedName name="__123Graph_A" localSheetId="30" hidden="1">'[3]AL2 151'!#REF!</definedName>
    <definedName name="__123Graph_A" localSheetId="6" hidden="1">'[3]AL2 151'!#REF!</definedName>
    <definedName name="__123Graph_A" hidden="1">'[3]AL2 151'!#REF!</definedName>
    <definedName name="__123Graph_B" localSheetId="20" hidden="1">'[3]AL2 151'!#REF!</definedName>
    <definedName name="__123Graph_B" localSheetId="29" hidden="1">'[3]AL2 151'!#REF!</definedName>
    <definedName name="__123Graph_B" localSheetId="6" hidden="1">'[3]AL2 151'!#REF!</definedName>
    <definedName name="__123Graph_B" hidden="1">'[3]AL2 151'!#REF!</definedName>
    <definedName name="__123Graph_C" localSheetId="20" hidden="1">'[3]AL2 151'!#REF!</definedName>
    <definedName name="__123Graph_C" localSheetId="29" hidden="1">'[3]AL2 151'!#REF!</definedName>
    <definedName name="__123Graph_C" localSheetId="6" hidden="1">'[3]AL2 151'!#REF!</definedName>
    <definedName name="__123Graph_C" hidden="1">'[3]AL2 151'!#REF!</definedName>
    <definedName name="__123Graph_D" localSheetId="20" hidden="1">'[3]AL2 151'!#REF!</definedName>
    <definedName name="__123Graph_D" localSheetId="29" hidden="1">'[3]AL2 151'!#REF!</definedName>
    <definedName name="__123Graph_D" localSheetId="6" hidden="1">'[3]AL2 151'!#REF!</definedName>
    <definedName name="__123Graph_D" hidden="1">'[3]AL2 151'!#REF!</definedName>
    <definedName name="__123Graph_E" localSheetId="20" hidden="1">'[3]AL2 151'!#REF!</definedName>
    <definedName name="__123Graph_E" localSheetId="6" hidden="1">'[3]AL2 151'!#REF!</definedName>
    <definedName name="__123Graph_E" hidden="1">'[3]AL2 151'!#REF!</definedName>
    <definedName name="__123Graph_F" localSheetId="20" hidden="1">'[3]AL2 151'!#REF!</definedName>
    <definedName name="__123Graph_F" localSheetId="6" hidden="1">'[3]AL2 151'!#REF!</definedName>
    <definedName name="__123Graph_F" hidden="1">'[3]AL2 151'!#REF!</definedName>
    <definedName name="__123Graph_X" localSheetId="20" hidden="1">'[3]AL2 151'!#REF!</definedName>
    <definedName name="__123Graph_X" localSheetId="6" hidden="1">'[3]AL2 151'!#REF!</definedName>
    <definedName name="__123Graph_X" hidden="1">'[3]AL2 151'!#REF!</definedName>
    <definedName name="_Key1" localSheetId="20" hidden="1">#REF!</definedName>
    <definedName name="_Key1" localSheetId="29" hidden="1">#REF!</definedName>
    <definedName name="_Key1" localSheetId="30" hidden="1">#REF!</definedName>
    <definedName name="_Key1" localSheetId="6" hidden="1">#REF!</definedName>
    <definedName name="_Key1" hidden="1">#REF!</definedName>
    <definedName name="_OFF2" localSheetId="29">'[1]DPLG-APRIL2001-TRANSCHECKOUT'!$AC$2:$AC$10</definedName>
    <definedName name="_OFF2" localSheetId="30">'[1]DPLG-APRIL2001-TRANSCHECKOUT'!$AC$2:$AC$10</definedName>
    <definedName name="_OFF2">'[2]DPLG-APRIL2001-TRANSCHECKOUT'!$AC$2:$AC$10</definedName>
    <definedName name="_Order1" hidden="1">255</definedName>
    <definedName name="_p.choice" localSheetId="20">#REF!</definedName>
    <definedName name="_p.choice" localSheetId="24">#REF!</definedName>
    <definedName name="_p.choice" localSheetId="25">#REF!</definedName>
    <definedName name="_p.choice" localSheetId="14">#REF!</definedName>
    <definedName name="_p.choice" localSheetId="15">#REF!</definedName>
    <definedName name="_p.choice" localSheetId="19">#REF!</definedName>
    <definedName name="_p.choice" localSheetId="28">#REF!</definedName>
    <definedName name="_p.choice" localSheetId="2">#REF!</definedName>
    <definedName name="_p.choice" localSheetId="29">#REF!</definedName>
    <definedName name="_p.choice" localSheetId="30">#REF!</definedName>
    <definedName name="_p.choice" localSheetId="6">#REF!</definedName>
    <definedName name="_p.choice" localSheetId="8">#REF!</definedName>
    <definedName name="_p.choice" localSheetId="9">#REF!</definedName>
    <definedName name="_p.choice">#REF!</definedName>
    <definedName name="_PPP1" localSheetId="29">'[1]DPLG-APRIL2001-TRANSCHECKOUT'!$A$1:$D$27</definedName>
    <definedName name="_PPP1" localSheetId="30">'[1]DPLG-APRIL2001-TRANSCHECKOUT'!$A$1:$D$27</definedName>
    <definedName name="_PPP1">'[2]DPLG-APRIL2001-TRANSCHECKOUT'!$A$1:$D$27</definedName>
    <definedName name="_Sort" localSheetId="20" hidden="1">#REF!</definedName>
    <definedName name="_Sort" localSheetId="29" hidden="1">#REF!</definedName>
    <definedName name="_Sort" localSheetId="30" hidden="1">#REF!</definedName>
    <definedName name="_Sort" localSheetId="6" hidden="1">#REF!</definedName>
    <definedName name="_Sort" hidden="1">#REF!</definedName>
    <definedName name="AA.print" localSheetId="20">#REF!</definedName>
    <definedName name="AA.print" localSheetId="24">#REF!</definedName>
    <definedName name="AA.print" localSheetId="25">#REF!</definedName>
    <definedName name="AA.print" localSheetId="14">#REF!</definedName>
    <definedName name="AA.print" localSheetId="15">#REF!</definedName>
    <definedName name="AA.print" localSheetId="19">#REF!</definedName>
    <definedName name="AA.print" localSheetId="28">#REF!</definedName>
    <definedName name="AA.print" localSheetId="2">#REF!</definedName>
    <definedName name="AA.print" localSheetId="30">#REF!</definedName>
    <definedName name="AA.print" localSheetId="6">#REF!</definedName>
    <definedName name="AA.print" localSheetId="8">#REF!</definedName>
    <definedName name="AA.print" localSheetId="9">#REF!</definedName>
    <definedName name="AA.print">#REF!</definedName>
    <definedName name="AB.print" localSheetId="20">#REF!</definedName>
    <definedName name="AB.print" localSheetId="24">#REF!</definedName>
    <definedName name="AB.print" localSheetId="25">#REF!</definedName>
    <definedName name="AB.print" localSheetId="15">#REF!</definedName>
    <definedName name="AB.print" localSheetId="19">#REF!</definedName>
    <definedName name="AB.print" localSheetId="28">#REF!</definedName>
    <definedName name="AB.print" localSheetId="2">#REF!</definedName>
    <definedName name="AB.print" localSheetId="30">#REF!</definedName>
    <definedName name="AB.print" localSheetId="6">#REF!</definedName>
    <definedName name="AB.print" localSheetId="8">#REF!</definedName>
    <definedName name="AB.print" localSheetId="9">#REF!</definedName>
    <definedName name="AB.print">#REF!</definedName>
    <definedName name="above">OFFSET(!A1,-1,0)</definedName>
    <definedName name="Allocator.gross.plant">'[4]Appendix A'!$H$29</definedName>
    <definedName name="Allocator.net.plant">'[4]Appendix A'!$H$32</definedName>
    <definedName name="Allocator.wages.salary">'[4]Appendix A'!$H$17</definedName>
    <definedName name="AMHERST" localSheetId="20">#REF!</definedName>
    <definedName name="AMHERST" localSheetId="24">#REF!</definedName>
    <definedName name="AMHERST" localSheetId="25">#REF!</definedName>
    <definedName name="AMHERST" localSheetId="19">#REF!</definedName>
    <definedName name="AMHERST" localSheetId="28">#REF!</definedName>
    <definedName name="AMHERST" localSheetId="2">#REF!</definedName>
    <definedName name="AMHERST" localSheetId="29">#REF!</definedName>
    <definedName name="AMHERST" localSheetId="30">#REF!</definedName>
    <definedName name="AMHERST" localSheetId="6">#REF!</definedName>
    <definedName name="AMHERST" localSheetId="8">#REF!</definedName>
    <definedName name="AMHERST">#REF!</definedName>
    <definedName name="AO.print" localSheetId="20">#REF!</definedName>
    <definedName name="AO.print" localSheetId="24">#REF!</definedName>
    <definedName name="AO.print" localSheetId="25">#REF!</definedName>
    <definedName name="AO.print" localSheetId="15">#REF!</definedName>
    <definedName name="AO.print" localSheetId="19">#REF!</definedName>
    <definedName name="AO.print" localSheetId="28">#REF!</definedName>
    <definedName name="AO.print" localSheetId="2">#REF!</definedName>
    <definedName name="AO.print" localSheetId="30">#REF!</definedName>
    <definedName name="AO.print" localSheetId="6">#REF!</definedName>
    <definedName name="AO.print" localSheetId="8">#REF!</definedName>
    <definedName name="AO.print" localSheetId="9">#REF!</definedName>
    <definedName name="AO.print">#REF!</definedName>
    <definedName name="AV.FM.1..adjusted..print" localSheetId="20">#REF!</definedName>
    <definedName name="AV.FM.1..adjusted..print" localSheetId="24">#REF!</definedName>
    <definedName name="AV.FM.1..adjusted..print" localSheetId="25">#REF!</definedName>
    <definedName name="AV.FM.1..adjusted..print" localSheetId="15">#REF!</definedName>
    <definedName name="AV.FM.1..adjusted..print" localSheetId="19">#REF!</definedName>
    <definedName name="AV.FM.1..adjusted..print" localSheetId="28">#REF!</definedName>
    <definedName name="AV.FM.1..adjusted..print" localSheetId="2">#REF!</definedName>
    <definedName name="AV.FM.1..adjusted..print" localSheetId="30">#REF!</definedName>
    <definedName name="AV.FM.1..adjusted..print" localSheetId="6">#REF!</definedName>
    <definedName name="AV.FM.1..adjusted..print" localSheetId="8">#REF!</definedName>
    <definedName name="AV.FM.1..adjusted..print" localSheetId="9">#REF!</definedName>
    <definedName name="AV.FM.1..adjusted..print">#REF!</definedName>
    <definedName name="AV.FM.1.print" localSheetId="20">#REF!</definedName>
    <definedName name="AV.FM.1.print" localSheetId="24">#REF!</definedName>
    <definedName name="AV.FM.1.print" localSheetId="25">#REF!</definedName>
    <definedName name="AV.FM.1.print" localSheetId="15">#REF!</definedName>
    <definedName name="AV.FM.1.print" localSheetId="19">#REF!</definedName>
    <definedName name="AV.FM.1.print" localSheetId="28">#REF!</definedName>
    <definedName name="AV.FM.1.print" localSheetId="2">#REF!</definedName>
    <definedName name="AV.FM.1.print" localSheetId="30">#REF!</definedName>
    <definedName name="AV.FM.1.print" localSheetId="6">#REF!</definedName>
    <definedName name="AV.FM.1.print" localSheetId="8">#REF!</definedName>
    <definedName name="AV.FM.1.print" localSheetId="9">#REF!</definedName>
    <definedName name="AV.FM.1.print">#REF!</definedName>
    <definedName name="BA.print" localSheetId="20">#REF!</definedName>
    <definedName name="BA.print" localSheetId="24">#REF!</definedName>
    <definedName name="BA.print" localSheetId="25">#REF!</definedName>
    <definedName name="BA.print" localSheetId="15">#REF!</definedName>
    <definedName name="BA.print" localSheetId="19">#REF!</definedName>
    <definedName name="BA.print" localSheetId="28">#REF!</definedName>
    <definedName name="BA.print" localSheetId="2">#REF!</definedName>
    <definedName name="BA.print" localSheetId="30">#REF!</definedName>
    <definedName name="BA.print" localSheetId="6">#REF!</definedName>
    <definedName name="BA.print" localSheetId="8">#REF!</definedName>
    <definedName name="BA.print" localSheetId="9">#REF!</definedName>
    <definedName name="BA.print">#REF!</definedName>
    <definedName name="BB.print" localSheetId="20">#REF!</definedName>
    <definedName name="BB.print" localSheetId="24">#REF!</definedName>
    <definedName name="BB.print" localSheetId="25">#REF!</definedName>
    <definedName name="BB.print" localSheetId="15">#REF!</definedName>
    <definedName name="BB.print" localSheetId="19">#REF!</definedName>
    <definedName name="BB.print" localSheetId="28">#REF!</definedName>
    <definedName name="BB.print" localSheetId="2">#REF!</definedName>
    <definedName name="BB.print" localSheetId="30">#REF!</definedName>
    <definedName name="BB.print" localSheetId="6">#REF!</definedName>
    <definedName name="BB.print" localSheetId="8">#REF!</definedName>
    <definedName name="BB.print" localSheetId="9">#REF!</definedName>
    <definedName name="BB.print">#REF!</definedName>
    <definedName name="BEACH_CITY" localSheetId="20">#REF!</definedName>
    <definedName name="BEACH_CITY" localSheetId="24">#REF!</definedName>
    <definedName name="BEACH_CITY" localSheetId="25">#REF!</definedName>
    <definedName name="BEACH_CITY" localSheetId="19">#REF!</definedName>
    <definedName name="BEACH_CITY" localSheetId="28">#REF!</definedName>
    <definedName name="BEACH_CITY" localSheetId="2">#REF!</definedName>
    <definedName name="BEACH_CITY" localSheetId="30">#REF!</definedName>
    <definedName name="BEACH_CITY" localSheetId="6">#REF!</definedName>
    <definedName name="BEACH_CITY" localSheetId="8">#REF!</definedName>
    <definedName name="BEACH_CITY">#REF!</definedName>
    <definedName name="below">OFFSET(!A1,1,0)</definedName>
    <definedName name="BG.print" localSheetId="20">#REF!</definedName>
    <definedName name="BG.print" localSheetId="24">#REF!</definedName>
    <definedName name="BG.print" localSheetId="25">#REF!</definedName>
    <definedName name="BG.print" localSheetId="15">#REF!</definedName>
    <definedName name="BG.print" localSheetId="19">#REF!</definedName>
    <definedName name="BG.print" localSheetId="28">#REF!</definedName>
    <definedName name="BG.print" localSheetId="2">#REF!</definedName>
    <definedName name="BG.print" localSheetId="29">#REF!</definedName>
    <definedName name="BG.print" localSheetId="30">#REF!</definedName>
    <definedName name="BG.print" localSheetId="6">#REF!</definedName>
    <definedName name="BG.print" localSheetId="8">#REF!</definedName>
    <definedName name="BG.print" localSheetId="9">#REF!</definedName>
    <definedName name="BG.print">#REF!</definedName>
    <definedName name="BILLCO" localSheetId="14">'[2]DPLG-APRIL2001-TRANSCHECKOUT'!$M:$P</definedName>
    <definedName name="BILLCO" localSheetId="28">'[2]DPLG-APRIL2001-TRANSCHECKOUT'!$M:$P</definedName>
    <definedName name="BILLCO" localSheetId="29">'[1]DPLG-APRIL2001-TRANSCHECKOUT'!$M$1:$P$65536</definedName>
    <definedName name="BILLCO" localSheetId="30">'[1]DPLG-APRIL2001-TRANSCHECKOUT'!$M$1:$P$65536</definedName>
    <definedName name="BILLCO">'[2]DPLG-APRIL2001-TRANSCHECKOUT'!$M$1:$P$65536</definedName>
    <definedName name="BK..FM1.Adjusted..print" localSheetId="20">#REF!</definedName>
    <definedName name="BK..FM1.Adjusted..print" localSheetId="24">#REF!</definedName>
    <definedName name="BK..FM1.Adjusted..print" localSheetId="25">#REF!</definedName>
    <definedName name="BK..FM1.Adjusted..print" localSheetId="14">#REF!</definedName>
    <definedName name="BK..FM1.Adjusted..print" localSheetId="15">#REF!</definedName>
    <definedName name="BK..FM1.Adjusted..print" localSheetId="19">#REF!</definedName>
    <definedName name="BK..FM1.Adjusted..print" localSheetId="28">#REF!</definedName>
    <definedName name="BK..FM1.Adjusted..print" localSheetId="2">#REF!</definedName>
    <definedName name="BK..FM1.Adjusted..print" localSheetId="29">#REF!</definedName>
    <definedName name="BK..FM1.Adjusted..print" localSheetId="30">#REF!</definedName>
    <definedName name="BK..FM1.Adjusted..print" localSheetId="6">#REF!</definedName>
    <definedName name="BK..FM1.Adjusted..print" localSheetId="8">#REF!</definedName>
    <definedName name="BK..FM1.Adjusted..print" localSheetId="9">#REF!</definedName>
    <definedName name="BK..FM1.Adjusted..print">#REF!</definedName>
    <definedName name="BK..FM1.ROR..print" localSheetId="20">#REF!</definedName>
    <definedName name="BK..FM1.ROR..print" localSheetId="24">#REF!</definedName>
    <definedName name="BK..FM1.ROR..print" localSheetId="25">#REF!</definedName>
    <definedName name="BK..FM1.ROR..print" localSheetId="15">#REF!</definedName>
    <definedName name="BK..FM1.ROR..print" localSheetId="19">#REF!</definedName>
    <definedName name="BK..FM1.ROR..print" localSheetId="28">#REF!</definedName>
    <definedName name="BK..FM1.ROR..print" localSheetId="2">#REF!</definedName>
    <definedName name="BK..FM1.ROR..print" localSheetId="30">#REF!</definedName>
    <definedName name="BK..FM1.ROR..print" localSheetId="6">#REF!</definedName>
    <definedName name="BK..FM1.ROR..print" localSheetId="8">#REF!</definedName>
    <definedName name="BK..FM1.ROR..print" localSheetId="9">#REF!</definedName>
    <definedName name="BK..FM1.ROR..print">#REF!</definedName>
    <definedName name="BowlingGreen" localSheetId="20">#REF!</definedName>
    <definedName name="BowlingGreen" localSheetId="24">#REF!</definedName>
    <definedName name="BowlingGreen" localSheetId="25">#REF!</definedName>
    <definedName name="BowlingGreen" localSheetId="19">#REF!</definedName>
    <definedName name="BowlingGreen" localSheetId="28">#REF!</definedName>
    <definedName name="BowlingGreen" localSheetId="2">#REF!</definedName>
    <definedName name="BowlingGreen" localSheetId="30">#REF!</definedName>
    <definedName name="BowlingGreen" localSheetId="6">#REF!</definedName>
    <definedName name="BowlingGreen" localSheetId="8">#REF!</definedName>
    <definedName name="BowlingGreen">#REF!</definedName>
    <definedName name="BowlingGreenWater" localSheetId="20">#REF!</definedName>
    <definedName name="BowlingGreenWater" localSheetId="24">#REF!</definedName>
    <definedName name="BowlingGreenWater" localSheetId="25">#REF!</definedName>
    <definedName name="BowlingGreenWater" localSheetId="19">#REF!</definedName>
    <definedName name="BowlingGreenWater" localSheetId="28">#REF!</definedName>
    <definedName name="BowlingGreenWater" localSheetId="2">#REF!</definedName>
    <definedName name="BowlingGreenWater" localSheetId="30">#REF!</definedName>
    <definedName name="BowlingGreenWater" localSheetId="6">#REF!</definedName>
    <definedName name="BowlingGreenWater" localSheetId="8">#REF!</definedName>
    <definedName name="BowlingGreenWater">#REF!</definedName>
    <definedName name="Bradner" localSheetId="20">#REF!</definedName>
    <definedName name="Bradner" localSheetId="24">#REF!</definedName>
    <definedName name="Bradner" localSheetId="25">#REF!</definedName>
    <definedName name="Bradner" localSheetId="19">#REF!</definedName>
    <definedName name="Bradner" localSheetId="28">#REF!</definedName>
    <definedName name="Bradner" localSheetId="2">#REF!</definedName>
    <definedName name="Bradner" localSheetId="30">#REF!</definedName>
    <definedName name="Bradner" localSheetId="6">#REF!</definedName>
    <definedName name="Bradner" localSheetId="8">#REF!</definedName>
    <definedName name="Bradner">#REF!</definedName>
    <definedName name="BREWSTER" localSheetId="20">#REF!</definedName>
    <definedName name="BREWSTER" localSheetId="24">#REF!</definedName>
    <definedName name="BREWSTER" localSheetId="25">#REF!</definedName>
    <definedName name="BREWSTER" localSheetId="19">#REF!</definedName>
    <definedName name="BREWSTER" localSheetId="28">#REF!</definedName>
    <definedName name="BREWSTER" localSheetId="2">#REF!</definedName>
    <definedName name="BREWSTER" localSheetId="30">#REF!</definedName>
    <definedName name="BREWSTER" localSheetId="6">#REF!</definedName>
    <definedName name="BREWSTER" localSheetId="8">#REF!</definedName>
    <definedName name="BREWSTER">#REF!</definedName>
    <definedName name="cell.above">!A1048576</definedName>
    <definedName name="cell.below">!A2</definedName>
    <definedName name="cell.left">!XFD1</definedName>
    <definedName name="cell.right">!B1</definedName>
    <definedName name="CH_COS" localSheetId="20">#REF!</definedName>
    <definedName name="CH_COS" localSheetId="24">#REF!</definedName>
    <definedName name="CH_COS" localSheetId="25">#REF!</definedName>
    <definedName name="CH_COS" localSheetId="19">#REF!</definedName>
    <definedName name="CH_COS" localSheetId="28">#REF!</definedName>
    <definedName name="CH_COS" localSheetId="2">#REF!</definedName>
    <definedName name="CH_COS" localSheetId="29">#REF!</definedName>
    <definedName name="CH_COS" localSheetId="30">#REF!</definedName>
    <definedName name="CH_COS" localSheetId="6">#REF!</definedName>
    <definedName name="CH_COS" localSheetId="8">#REF!</definedName>
    <definedName name="CH_COS">#REF!</definedName>
    <definedName name="CUSTAR" localSheetId="20">#REF!</definedName>
    <definedName name="CUSTAR" localSheetId="24">#REF!</definedName>
    <definedName name="CUSTAR" localSheetId="25">#REF!</definedName>
    <definedName name="CUSTAR" localSheetId="19">#REF!</definedName>
    <definedName name="CUSTAR" localSheetId="28">#REF!</definedName>
    <definedName name="CUSTAR" localSheetId="2">#REF!</definedName>
    <definedName name="CUSTAR" localSheetId="30">#REF!</definedName>
    <definedName name="CUSTAR" localSheetId="6">#REF!</definedName>
    <definedName name="CUSTAR" localSheetId="8">#REF!</definedName>
    <definedName name="CUSTAR">#REF!</definedName>
    <definedName name="CUYAHOGA_FALLS" localSheetId="20">#REF!</definedName>
    <definedName name="CUYAHOGA_FALLS" localSheetId="24">#REF!</definedName>
    <definedName name="CUYAHOGA_FALLS" localSheetId="25">#REF!</definedName>
    <definedName name="CUYAHOGA_FALLS" localSheetId="19">#REF!</definedName>
    <definedName name="CUYAHOGA_FALLS" localSheetId="28">#REF!</definedName>
    <definedName name="CUYAHOGA_FALLS" localSheetId="2">#REF!</definedName>
    <definedName name="CUYAHOGA_FALLS" localSheetId="30">#REF!</definedName>
    <definedName name="CUYAHOGA_FALLS" localSheetId="6">#REF!</definedName>
    <definedName name="CUYAHOGA_FALLS" localSheetId="8">#REF!</definedName>
    <definedName name="CUYAHOGA_FALLS">#REF!</definedName>
    <definedName name="data_year">'[4]Appendix A'!$H$5</definedName>
    <definedName name="DATA1" localSheetId="20">#REF!</definedName>
    <definedName name="DATA1" localSheetId="29">#REF!</definedName>
    <definedName name="DATA1" localSheetId="30">#REF!</definedName>
    <definedName name="DATA1" localSheetId="6">#REF!</definedName>
    <definedName name="DATA1">#REF!</definedName>
    <definedName name="DATA10" localSheetId="20">#REF!</definedName>
    <definedName name="DATA10" localSheetId="29">#REF!</definedName>
    <definedName name="DATA10" localSheetId="30">#REF!</definedName>
    <definedName name="DATA10" localSheetId="6">#REF!</definedName>
    <definedName name="DATA10">#REF!</definedName>
    <definedName name="DATA11" localSheetId="20">#REF!</definedName>
    <definedName name="DATA11" localSheetId="29">#REF!</definedName>
    <definedName name="DATA11" localSheetId="30">#REF!</definedName>
    <definedName name="DATA11" localSheetId="6">#REF!</definedName>
    <definedName name="DATA11">#REF!</definedName>
    <definedName name="DATA12" localSheetId="20">#REF!</definedName>
    <definedName name="DATA12" localSheetId="30">#REF!</definedName>
    <definedName name="DATA12" localSheetId="6">#REF!</definedName>
    <definedName name="DATA12">#REF!</definedName>
    <definedName name="DATA13" localSheetId="20">#REF!</definedName>
    <definedName name="DATA13" localSheetId="30">#REF!</definedName>
    <definedName name="DATA13" localSheetId="6">#REF!</definedName>
    <definedName name="DATA13">#REF!</definedName>
    <definedName name="DATA14" localSheetId="20">#REF!</definedName>
    <definedName name="DATA14" localSheetId="30">#REF!</definedName>
    <definedName name="DATA14" localSheetId="6">#REF!</definedName>
    <definedName name="DATA14">#REF!</definedName>
    <definedName name="DATA15" localSheetId="20">#REF!</definedName>
    <definedName name="DATA15" localSheetId="30">#REF!</definedName>
    <definedName name="DATA15" localSheetId="6">#REF!</definedName>
    <definedName name="DATA15">#REF!</definedName>
    <definedName name="DATA16" localSheetId="20">#REF!</definedName>
    <definedName name="DATA16" localSheetId="30">#REF!</definedName>
    <definedName name="DATA16" localSheetId="6">#REF!</definedName>
    <definedName name="DATA16">#REF!</definedName>
    <definedName name="DATA17" localSheetId="20">#REF!</definedName>
    <definedName name="DATA17" localSheetId="30">#REF!</definedName>
    <definedName name="DATA17" localSheetId="6">#REF!</definedName>
    <definedName name="DATA17">#REF!</definedName>
    <definedName name="DATA18" localSheetId="20">#REF!</definedName>
    <definedName name="DATA18" localSheetId="30">#REF!</definedName>
    <definedName name="DATA18" localSheetId="6">#REF!</definedName>
    <definedName name="DATA18">#REF!</definedName>
    <definedName name="DATA19" localSheetId="20">#REF!</definedName>
    <definedName name="DATA19" localSheetId="30">#REF!</definedName>
    <definedName name="DATA19" localSheetId="6">#REF!</definedName>
    <definedName name="DATA19">#REF!</definedName>
    <definedName name="DATA2" localSheetId="20">#REF!</definedName>
    <definedName name="DATA2" localSheetId="30">#REF!</definedName>
    <definedName name="DATA2" localSheetId="6">#REF!</definedName>
    <definedName name="DATA2">#REF!</definedName>
    <definedName name="DATA20" localSheetId="20">#REF!</definedName>
    <definedName name="DATA20" localSheetId="30">#REF!</definedName>
    <definedName name="DATA20" localSheetId="6">#REF!</definedName>
    <definedName name="DATA20">#REF!</definedName>
    <definedName name="DATA21" localSheetId="20">#REF!</definedName>
    <definedName name="DATA21" localSheetId="30">#REF!</definedName>
    <definedName name="DATA21" localSheetId="6">#REF!</definedName>
    <definedName name="DATA21">#REF!</definedName>
    <definedName name="DATA22" localSheetId="20">#REF!</definedName>
    <definedName name="DATA22" localSheetId="30">#REF!</definedName>
    <definedName name="DATA22" localSheetId="6">#REF!</definedName>
    <definedName name="DATA22">#REF!</definedName>
    <definedName name="DATA3" localSheetId="20">#REF!</definedName>
    <definedName name="DATA3" localSheetId="30">#REF!</definedName>
    <definedName name="DATA3" localSheetId="6">#REF!</definedName>
    <definedName name="DATA3">#REF!</definedName>
    <definedName name="DATA4" localSheetId="20">#REF!</definedName>
    <definedName name="DATA4" localSheetId="30">#REF!</definedName>
    <definedName name="DATA4" localSheetId="6">#REF!</definedName>
    <definedName name="DATA4">#REF!</definedName>
    <definedName name="DATA5" localSheetId="20">#REF!</definedName>
    <definedName name="DATA5" localSheetId="30">#REF!</definedName>
    <definedName name="DATA5" localSheetId="6">#REF!</definedName>
    <definedName name="DATA5">#REF!</definedName>
    <definedName name="DATA6" localSheetId="20">#REF!</definedName>
    <definedName name="DATA6" localSheetId="30">#REF!</definedName>
    <definedName name="DATA6" localSheetId="6">#REF!</definedName>
    <definedName name="DATA6">#REF!</definedName>
    <definedName name="DATA7" localSheetId="20">#REF!</definedName>
    <definedName name="DATA7" localSheetId="30">#REF!</definedName>
    <definedName name="DATA7" localSheetId="6">#REF!</definedName>
    <definedName name="DATA7">#REF!</definedName>
    <definedName name="DATA8" localSheetId="20">#REF!</definedName>
    <definedName name="DATA8" localSheetId="30">#REF!</definedName>
    <definedName name="DATA8" localSheetId="6">#REF!</definedName>
    <definedName name="DATA8">#REF!</definedName>
    <definedName name="DATA9" localSheetId="20">#REF!</definedName>
    <definedName name="DATA9" localSheetId="30">#REF!</definedName>
    <definedName name="DATA9" localSheetId="6">#REF!</definedName>
    <definedName name="DATA9">#REF!</definedName>
    <definedName name="DUEDATE" localSheetId="14">'[2]DPLG-APRIL2001-TRANSCHECKOUT'!$Q:$R</definedName>
    <definedName name="DUEDATE" localSheetId="28">'[2]DPLG-APRIL2001-TRANSCHECKOUT'!$Q:$R</definedName>
    <definedName name="DUEDATE" localSheetId="29">'[1]DPLG-APRIL2001-TRANSCHECKOUT'!$Q$1:$R$65536</definedName>
    <definedName name="DUEDATE" localSheetId="30">'[1]DPLG-APRIL2001-TRANSCHECKOUT'!$Q$1:$R$65536</definedName>
    <definedName name="DUEDATE">'[2]DPLG-APRIL2001-TRANSCHECKOUT'!$Q$1:$R$65536</definedName>
    <definedName name="EDGERTON" localSheetId="20">#REF!</definedName>
    <definedName name="EDGERTON" localSheetId="24">#REF!</definedName>
    <definedName name="EDGERTON" localSheetId="25">#REF!</definedName>
    <definedName name="EDGERTON" localSheetId="19">#REF!</definedName>
    <definedName name="EDGERTON" localSheetId="28">#REF!</definedName>
    <definedName name="EDGERTON" localSheetId="2">#REF!</definedName>
    <definedName name="EDGERTON" localSheetId="29">#REF!</definedName>
    <definedName name="EDGERTON" localSheetId="30">#REF!</definedName>
    <definedName name="EDGERTON" localSheetId="6">#REF!</definedName>
    <definedName name="EDGERTON" localSheetId="8">#REF!</definedName>
    <definedName name="EDGERTON">#REF!</definedName>
    <definedName name="Ellwood_City" localSheetId="20">#REF!</definedName>
    <definedName name="Ellwood_City" localSheetId="24">#REF!</definedName>
    <definedName name="Ellwood_City" localSheetId="25">#REF!</definedName>
    <definedName name="Ellwood_City" localSheetId="19">#REF!</definedName>
    <definedName name="Ellwood_City" localSheetId="28">#REF!</definedName>
    <definedName name="Ellwood_City" localSheetId="2">#REF!</definedName>
    <definedName name="Ellwood_City" localSheetId="30">#REF!</definedName>
    <definedName name="Ellwood_City" localSheetId="6">#REF!</definedName>
    <definedName name="Ellwood_City" localSheetId="8">#REF!</definedName>
    <definedName name="Ellwood_City">#REF!</definedName>
    <definedName name="ELMORE" localSheetId="20">#REF!</definedName>
    <definedName name="ELMORE" localSheetId="24">#REF!</definedName>
    <definedName name="ELMORE" localSheetId="25">#REF!</definedName>
    <definedName name="ELMORE" localSheetId="19">#REF!</definedName>
    <definedName name="ELMORE" localSheetId="28">#REF!</definedName>
    <definedName name="ELMORE" localSheetId="2">#REF!</definedName>
    <definedName name="ELMORE" localSheetId="30">#REF!</definedName>
    <definedName name="ELMORE" localSheetId="6">#REF!</definedName>
    <definedName name="ELMORE" localSheetId="8">#REF!</definedName>
    <definedName name="ELMORE">#REF!</definedName>
    <definedName name="FF1_INPUT">'[4]FERC Form 1 data'!$B$7:$L$87</definedName>
    <definedName name="FF1_INPUT_columns">'[4]FERC Form 1 data'!$B$6:$L$6</definedName>
    <definedName name="GALION" localSheetId="20">#REF!</definedName>
    <definedName name="GALION" localSheetId="24">#REF!</definedName>
    <definedName name="GALION" localSheetId="25">#REF!</definedName>
    <definedName name="GALION" localSheetId="19">#REF!</definedName>
    <definedName name="GALION" localSheetId="28">#REF!</definedName>
    <definedName name="GALION" localSheetId="2">#REF!</definedName>
    <definedName name="GALION" localSheetId="29">#REF!</definedName>
    <definedName name="GALION" localSheetId="30">#REF!</definedName>
    <definedName name="GALION" localSheetId="6">#REF!</definedName>
    <definedName name="GALION" localSheetId="8">#REF!</definedName>
    <definedName name="GALION">#REF!</definedName>
    <definedName name="GENOA" localSheetId="20">#REF!</definedName>
    <definedName name="GENOA" localSheetId="24">#REF!</definedName>
    <definedName name="GENOA" localSheetId="25">#REF!</definedName>
    <definedName name="GENOA" localSheetId="19">#REF!</definedName>
    <definedName name="GENOA" localSheetId="28">#REF!</definedName>
    <definedName name="GENOA" localSheetId="2">#REF!</definedName>
    <definedName name="GENOA" localSheetId="30">#REF!</definedName>
    <definedName name="GENOA" localSheetId="6">#REF!</definedName>
    <definedName name="GENOA" localSheetId="8">#REF!</definedName>
    <definedName name="GENOA">#REF!</definedName>
    <definedName name="GENOA_NORTH" localSheetId="20">#REF!</definedName>
    <definedName name="GENOA_NORTH" localSheetId="24">#REF!</definedName>
    <definedName name="GENOA_NORTH" localSheetId="25">#REF!</definedName>
    <definedName name="GENOA_NORTH" localSheetId="19">#REF!</definedName>
    <definedName name="GENOA_NORTH" localSheetId="28">#REF!</definedName>
    <definedName name="GENOA_NORTH" localSheetId="2">#REF!</definedName>
    <definedName name="GENOA_NORTH" localSheetId="30">#REF!</definedName>
    <definedName name="GENOA_NORTH" localSheetId="6">#REF!</definedName>
    <definedName name="GENOA_NORTH" localSheetId="8">#REF!</definedName>
    <definedName name="GENOA_NORTH">#REF!</definedName>
    <definedName name="GENOA_SOUTH" localSheetId="20">#REF!</definedName>
    <definedName name="GENOA_SOUTH" localSheetId="24">#REF!</definedName>
    <definedName name="GENOA_SOUTH" localSheetId="25">#REF!</definedName>
    <definedName name="GENOA_SOUTH" localSheetId="19">#REF!</definedName>
    <definedName name="GENOA_SOUTH" localSheetId="28">#REF!</definedName>
    <definedName name="GENOA_SOUTH" localSheetId="2">#REF!</definedName>
    <definedName name="GENOA_SOUTH" localSheetId="30">#REF!</definedName>
    <definedName name="GENOA_SOUTH" localSheetId="6">#REF!</definedName>
    <definedName name="GENOA_SOUTH" localSheetId="8">#REF!</definedName>
    <definedName name="GENOA_SOUTH">#REF!</definedName>
    <definedName name="GRAFTON" localSheetId="20">#REF!</definedName>
    <definedName name="GRAFTON" localSheetId="24">#REF!</definedName>
    <definedName name="GRAFTON" localSheetId="25">#REF!</definedName>
    <definedName name="GRAFTON" localSheetId="19">#REF!</definedName>
    <definedName name="GRAFTON" localSheetId="28">#REF!</definedName>
    <definedName name="GRAFTON" localSheetId="2">#REF!</definedName>
    <definedName name="GRAFTON" localSheetId="30">#REF!</definedName>
    <definedName name="GRAFTON" localSheetId="6">#REF!</definedName>
    <definedName name="GRAFTON" localSheetId="8">#REF!</definedName>
    <definedName name="GRAFTON">#REF!</definedName>
    <definedName name="Grove_City" localSheetId="20">#REF!</definedName>
    <definedName name="Grove_City" localSheetId="24">#REF!</definedName>
    <definedName name="Grove_City" localSheetId="25">#REF!</definedName>
    <definedName name="Grove_City" localSheetId="19">#REF!</definedName>
    <definedName name="Grove_City" localSheetId="28">#REF!</definedName>
    <definedName name="Grove_City" localSheetId="2">#REF!</definedName>
    <definedName name="Grove_City" localSheetId="30">#REF!</definedName>
    <definedName name="Grove_City" localSheetId="6">#REF!</definedName>
    <definedName name="Grove_City" localSheetId="8">#REF!</definedName>
    <definedName name="Grove_City">#REF!</definedName>
    <definedName name="HASKINS" localSheetId="20">#REF!</definedName>
    <definedName name="HASKINS" localSheetId="24">#REF!</definedName>
    <definedName name="HASKINS" localSheetId="25">#REF!</definedName>
    <definedName name="HASKINS" localSheetId="19">#REF!</definedName>
    <definedName name="HASKINS" localSheetId="28">#REF!</definedName>
    <definedName name="HASKINS" localSheetId="2">#REF!</definedName>
    <definedName name="HASKINS" localSheetId="30">#REF!</definedName>
    <definedName name="HASKINS" localSheetId="6">#REF!</definedName>
    <definedName name="HASKINS" localSheetId="8">#REF!</definedName>
    <definedName name="HASKINS">#REF!</definedName>
    <definedName name="hourending" localSheetId="20">#REF!</definedName>
    <definedName name="hourending" localSheetId="24">#REF!</definedName>
    <definedName name="hourending" localSheetId="25">#REF!</definedName>
    <definedName name="hourending" localSheetId="19">#REF!</definedName>
    <definedName name="hourending" localSheetId="28">#REF!</definedName>
    <definedName name="hourending" localSheetId="2">#REF!</definedName>
    <definedName name="hourending" localSheetId="30">#REF!</definedName>
    <definedName name="hourending" localSheetId="6">#REF!</definedName>
    <definedName name="hourending" localSheetId="8">#REF!</definedName>
    <definedName name="hourending">#REF!</definedName>
    <definedName name="HUBBARD" localSheetId="20">#REF!</definedName>
    <definedName name="HUBBARD" localSheetId="24">#REF!</definedName>
    <definedName name="HUBBARD" localSheetId="25">#REF!</definedName>
    <definedName name="HUBBARD" localSheetId="19">#REF!</definedName>
    <definedName name="HUBBARD" localSheetId="28">#REF!</definedName>
    <definedName name="HUBBARD" localSheetId="2">#REF!</definedName>
    <definedName name="HUBBARD" localSheetId="30">#REF!</definedName>
    <definedName name="HUBBARD" localSheetId="6">#REF!</definedName>
    <definedName name="HUBBARD" localSheetId="8">#REF!</definedName>
    <definedName name="HUBBARD">#REF!</definedName>
    <definedName name="Inputs_EndYrBal">[4]Inputs!$E$15:$E$72</definedName>
    <definedName name="Inputs_EndYrBal_prior">[4]Inputs!$D$15:$D$72</definedName>
    <definedName name="Inputs_FF1_Map">[4]Inputs!$F$15:$F$72</definedName>
    <definedName name="Keep" localSheetId="29" hidden="1">{"PRINT",#N/A,TRUE,"APPA";"PRINT",#N/A,TRUE,"APS";"PRINT",#N/A,TRUE,"BHPL";"PRINT",#N/A,TRUE,"BHPL2";"PRINT",#N/A,TRUE,"CDWR";"PRINT",#N/A,TRUE,"EWEB";"PRINT",#N/A,TRUE,"LADWP";"PRINT",#N/A,TRUE,"NEVBASE"}</definedName>
    <definedName name="Keep" localSheetId="30" hidden="1">{"PRINT",#N/A,TRUE,"APPA";"PRINT",#N/A,TRUE,"APS";"PRINT",#N/A,TRUE,"BHPL";"PRINT",#N/A,TRUE,"BHPL2";"PRINT",#N/A,TRUE,"CDWR";"PRINT",#N/A,TRUE,"EWEB";"PRINT",#N/A,TRUE,"LADWP";"PRINT",#N/A,TRUE,"NEVBASE"}</definedName>
    <definedName name="Keep" hidden="1">{"PRINT",#N/A,TRUE,"APPA";"PRINT",#N/A,TRUE,"APS";"PRINT",#N/A,TRUE,"BHPL";"PRINT",#N/A,TRUE,"BHPL2";"PRINT",#N/A,TRUE,"CDWR";"PRINT",#N/A,TRUE,"EWEB";"PRINT",#N/A,TRUE,"LADWP";"PRINT",#N/A,TRUE,"NEVBASE"}</definedName>
    <definedName name="keep2" localSheetId="29" hidden="1">{"PRINT",#N/A,TRUE,"APPA";"PRINT",#N/A,TRUE,"APS";"PRINT",#N/A,TRUE,"BHPL";"PRINT",#N/A,TRUE,"BHPL2";"PRINT",#N/A,TRUE,"CDWR";"PRINT",#N/A,TRUE,"EWEB";"PRINT",#N/A,TRUE,"LADWP";"PRINT",#N/A,TRUE,"NEVBASE"}</definedName>
    <definedName name="keep2" localSheetId="30" hidden="1">{"PRINT",#N/A,TRUE,"APPA";"PRINT",#N/A,TRUE,"APS";"PRINT",#N/A,TRUE,"BHPL";"PRINT",#N/A,TRUE,"BHPL2";"PRINT",#N/A,TRUE,"CDWR";"PRINT",#N/A,TRUE,"EWEB";"PRINT",#N/A,TRUE,"LADWP";"PRINT",#N/A,TRUE,"NEVBASE"}</definedName>
    <definedName name="keep2" hidden="1">{"PRINT",#N/A,TRUE,"APPA";"PRINT",#N/A,TRUE,"APS";"PRINT",#N/A,TRUE,"BHPL";"PRINT",#N/A,TRUE,"BHPL2";"PRINT",#N/A,TRUE,"CDWR";"PRINT",#N/A,TRUE,"EWEB";"PRINT",#N/A,TRUE,"LADWP";"PRINT",#N/A,TRUE,"NEVBASE"}</definedName>
    <definedName name="left">OFFSET(!A1,0,-1)</definedName>
    <definedName name="Levelized..FM1.ROR..print" localSheetId="20">#REF!</definedName>
    <definedName name="Levelized..FM1.ROR..print" localSheetId="24">#REF!</definedName>
    <definedName name="Levelized..FM1.ROR..print" localSheetId="25">#REF!</definedName>
    <definedName name="Levelized..FM1.ROR..print" localSheetId="15">#REF!</definedName>
    <definedName name="Levelized..FM1.ROR..print" localSheetId="19">#REF!</definedName>
    <definedName name="Levelized..FM1.ROR..print" localSheetId="28">#REF!</definedName>
    <definedName name="Levelized..FM1.ROR..print" localSheetId="2">#REF!</definedName>
    <definedName name="Levelized..FM1.ROR..print" localSheetId="29">#REF!</definedName>
    <definedName name="Levelized..FM1.ROR..print" localSheetId="30">#REF!</definedName>
    <definedName name="Levelized..FM1.ROR..print" localSheetId="6">#REF!</definedName>
    <definedName name="Levelized..FM1.ROR..print" localSheetId="8">#REF!</definedName>
    <definedName name="Levelized..FM1.ROR..print" localSheetId="9">#REF!</definedName>
    <definedName name="Levelized..FM1.ROR..print">#REF!</definedName>
    <definedName name="LODI" localSheetId="20">#REF!</definedName>
    <definedName name="LODI" localSheetId="24">#REF!</definedName>
    <definedName name="LODI" localSheetId="25">#REF!</definedName>
    <definedName name="LODI" localSheetId="19">#REF!</definedName>
    <definedName name="LODI" localSheetId="28">#REF!</definedName>
    <definedName name="LODI" localSheetId="2">#REF!</definedName>
    <definedName name="LODI" localSheetId="30">#REF!</definedName>
    <definedName name="LODI" localSheetId="6">#REF!</definedName>
    <definedName name="LODI" localSheetId="8">#REF!</definedName>
    <definedName name="LODI">#REF!</definedName>
    <definedName name="LUCAS" localSheetId="20">#REF!</definedName>
    <definedName name="LUCAS" localSheetId="24">#REF!</definedName>
    <definedName name="LUCAS" localSheetId="25">#REF!</definedName>
    <definedName name="LUCAS" localSheetId="19">#REF!</definedName>
    <definedName name="LUCAS" localSheetId="28">#REF!</definedName>
    <definedName name="LUCAS" localSheetId="2">#REF!</definedName>
    <definedName name="LUCAS" localSheetId="30">#REF!</definedName>
    <definedName name="LUCAS" localSheetId="6">#REF!</definedName>
    <definedName name="LUCAS" localSheetId="8">#REF!</definedName>
    <definedName name="LUCAS">#REF!</definedName>
    <definedName name="M21Laurie" localSheetId="14">'Attach 9 - Stated-value Inputs'!M21Laurie</definedName>
    <definedName name="M21Laurie" localSheetId="28">'Attachment 19 - Tax Rates'!M21Laurie</definedName>
    <definedName name="M21Laurie" localSheetId="2">#N/A</definedName>
    <definedName name="M21Laurie" localSheetId="29">'Attachment 20 - O&amp;M and A&amp;G'!M21Laurie</definedName>
    <definedName name="M21Laurie" localSheetId="30">'Attachment 21 - Revenue Credits'!M21Laurie</definedName>
    <definedName name="M21Laurie">'Attach 9 - Stated-value Inputs'!M21Laurie</definedName>
    <definedName name="MILAN" localSheetId="20">#REF!</definedName>
    <definedName name="MILAN" localSheetId="24">#REF!</definedName>
    <definedName name="MILAN" localSheetId="25">#REF!</definedName>
    <definedName name="MILAN" localSheetId="19">#REF!</definedName>
    <definedName name="MILAN" localSheetId="28">#REF!</definedName>
    <definedName name="MILAN" localSheetId="2">#REF!</definedName>
    <definedName name="MILAN" localSheetId="29">#REF!</definedName>
    <definedName name="MILAN" localSheetId="30">#REF!</definedName>
    <definedName name="MILAN" localSheetId="6">#REF!</definedName>
    <definedName name="MILAN" localSheetId="8">#REF!</definedName>
    <definedName name="MILAN">#REF!</definedName>
    <definedName name="MONROEVILLE" localSheetId="20">#REF!</definedName>
    <definedName name="MONROEVILLE" localSheetId="24">#REF!</definedName>
    <definedName name="MONROEVILLE" localSheetId="25">#REF!</definedName>
    <definedName name="MONROEVILLE" localSheetId="19">#REF!</definedName>
    <definedName name="MONROEVILLE" localSheetId="28">#REF!</definedName>
    <definedName name="MONROEVILLE" localSheetId="2">#REF!</definedName>
    <definedName name="MONROEVILLE" localSheetId="30">#REF!</definedName>
    <definedName name="MONROEVILLE" localSheetId="6">#REF!</definedName>
    <definedName name="MONROEVILLE" localSheetId="8">#REF!</definedName>
    <definedName name="MONROEVILLE">#REF!</definedName>
    <definedName name="NAPOLEON" localSheetId="20">#REF!</definedName>
    <definedName name="NAPOLEON" localSheetId="24">#REF!</definedName>
    <definedName name="NAPOLEON" localSheetId="25">#REF!</definedName>
    <definedName name="NAPOLEON" localSheetId="19">#REF!</definedName>
    <definedName name="NAPOLEON" localSheetId="28">#REF!</definedName>
    <definedName name="NAPOLEON" localSheetId="2">#REF!</definedName>
    <definedName name="NAPOLEON" localSheetId="30">#REF!</definedName>
    <definedName name="NAPOLEON" localSheetId="6">#REF!</definedName>
    <definedName name="NAPOLEON" localSheetId="8">#REF!</definedName>
    <definedName name="NAPOLEON">#REF!</definedName>
    <definedName name="NEASG" localSheetId="20">#REF!</definedName>
    <definedName name="NEASG" localSheetId="24">#REF!</definedName>
    <definedName name="NEASG" localSheetId="25">#REF!</definedName>
    <definedName name="NEASG" localSheetId="19">#REF!</definedName>
    <definedName name="NEASG" localSheetId="28">#REF!</definedName>
    <definedName name="NEASG" localSheetId="2">#REF!</definedName>
    <definedName name="NEASG" localSheetId="30">#REF!</definedName>
    <definedName name="NEASG" localSheetId="6">#REF!</definedName>
    <definedName name="NEASG" localSheetId="8">#REF!</definedName>
    <definedName name="NEASG">#REF!</definedName>
    <definedName name="New_Wilmington" localSheetId="20">#REF!</definedName>
    <definedName name="New_Wilmington" localSheetId="24">#REF!</definedName>
    <definedName name="New_Wilmington" localSheetId="25">#REF!</definedName>
    <definedName name="New_Wilmington" localSheetId="19">#REF!</definedName>
    <definedName name="New_Wilmington" localSheetId="28">#REF!</definedName>
    <definedName name="New_Wilmington" localSheetId="2">#REF!</definedName>
    <definedName name="New_Wilmington" localSheetId="30">#REF!</definedName>
    <definedName name="New_Wilmington" localSheetId="6">#REF!</definedName>
    <definedName name="New_Wilmington" localSheetId="8">#REF!</definedName>
    <definedName name="New_Wilmington">#REF!</definedName>
    <definedName name="NEWTON_FALLS" localSheetId="20">#REF!</definedName>
    <definedName name="NEWTON_FALLS" localSheetId="24">#REF!</definedName>
    <definedName name="NEWTON_FALLS" localSheetId="25">#REF!</definedName>
    <definedName name="NEWTON_FALLS" localSheetId="19">#REF!</definedName>
    <definedName name="NEWTON_FALLS" localSheetId="28">#REF!</definedName>
    <definedName name="NEWTON_FALLS" localSheetId="2">#REF!</definedName>
    <definedName name="NEWTON_FALLS" localSheetId="30">#REF!</definedName>
    <definedName name="NEWTON_FALLS" localSheetId="6">#REF!</definedName>
    <definedName name="NEWTON_FALLS" localSheetId="8">#REF!</definedName>
    <definedName name="NEWTON_FALLS">#REF!</definedName>
    <definedName name="NILES" localSheetId="20">#REF!</definedName>
    <definedName name="NILES" localSheetId="24">#REF!</definedName>
    <definedName name="NILES" localSheetId="25">#REF!</definedName>
    <definedName name="NILES" localSheetId="19">#REF!</definedName>
    <definedName name="NILES" localSheetId="28">#REF!</definedName>
    <definedName name="NILES" localSheetId="2">#REF!</definedName>
    <definedName name="NILES" localSheetId="30">#REF!</definedName>
    <definedName name="NILES" localSheetId="6">#REF!</definedName>
    <definedName name="NILES" localSheetId="8">#REF!</definedName>
    <definedName name="NILES">#REF!</definedName>
    <definedName name="NSP_COS" localSheetId="20">#REF!</definedName>
    <definedName name="NSP_COS" localSheetId="24">#REF!</definedName>
    <definedName name="NSP_COS" localSheetId="25">#REF!</definedName>
    <definedName name="NSP_COS" localSheetId="19">#REF!</definedName>
    <definedName name="NSP_COS" localSheetId="28">#REF!</definedName>
    <definedName name="NSP_COS" localSheetId="2">#REF!</definedName>
    <definedName name="NSP_COS" localSheetId="30">#REF!</definedName>
    <definedName name="NSP_COS" localSheetId="6">#REF!</definedName>
    <definedName name="NSP_COS" localSheetId="8">#REF!</definedName>
    <definedName name="NSP_COS">#REF!</definedName>
    <definedName name="NWASG" localSheetId="20">#REF!</definedName>
    <definedName name="NWASG" localSheetId="24">#REF!</definedName>
    <definedName name="NWASG" localSheetId="25">#REF!</definedName>
    <definedName name="NWASG" localSheetId="19">#REF!</definedName>
    <definedName name="NWASG" localSheetId="28">#REF!</definedName>
    <definedName name="NWASG" localSheetId="2">#REF!</definedName>
    <definedName name="NWASG" localSheetId="30">#REF!</definedName>
    <definedName name="NWASG" localSheetId="6">#REF!</definedName>
    <definedName name="NWASG" localSheetId="8">#REF!</definedName>
    <definedName name="NWASG">#REF!</definedName>
    <definedName name="OAK_HARBOR" localSheetId="20">#REF!</definedName>
    <definedName name="OAK_HARBOR" localSheetId="24">#REF!</definedName>
    <definedName name="OAK_HARBOR" localSheetId="25">#REF!</definedName>
    <definedName name="OAK_HARBOR" localSheetId="19">#REF!</definedName>
    <definedName name="OAK_HARBOR" localSheetId="28">#REF!</definedName>
    <definedName name="OAK_HARBOR" localSheetId="2">#REF!</definedName>
    <definedName name="OAK_HARBOR" localSheetId="30">#REF!</definedName>
    <definedName name="OAK_HARBOR" localSheetId="6">#REF!</definedName>
    <definedName name="OAK_HARBOR" localSheetId="8">#REF!</definedName>
    <definedName name="OAK_HARBOR">#REF!</definedName>
    <definedName name="OBERLIN" localSheetId="20">#REF!</definedName>
    <definedName name="OBERLIN" localSheetId="24">#REF!</definedName>
    <definedName name="OBERLIN" localSheetId="25">#REF!</definedName>
    <definedName name="OBERLIN" localSheetId="19">#REF!</definedName>
    <definedName name="OBERLIN" localSheetId="28">#REF!</definedName>
    <definedName name="OBERLIN" localSheetId="2">#REF!</definedName>
    <definedName name="OBERLIN" localSheetId="30">#REF!</definedName>
    <definedName name="OBERLIN" localSheetId="6">#REF!</definedName>
    <definedName name="OBERLIN" localSheetId="8">#REF!</definedName>
    <definedName name="OBERLIN">#REF!</definedName>
    <definedName name="OFF" localSheetId="29">'[1]DPLG-APRIL2001-TRANSCHECKOUT'!$F$2:$L$10</definedName>
    <definedName name="OFF" localSheetId="30">'[1]DPLG-APRIL2001-TRANSCHECKOUT'!$F$2:$L$10</definedName>
    <definedName name="OFF">'[2]DPLG-APRIL2001-TRANSCHECKOUT'!$F$2:$L$10</definedName>
    <definedName name="ON" localSheetId="29">'[1]DPLG-APRIL2001-TRANSCHECKOUT'!$M$2:$AC$10</definedName>
    <definedName name="ON" localSheetId="30">'[1]DPLG-APRIL2001-TRANSCHECKOUT'!$M$2:$AC$10</definedName>
    <definedName name="ON">'[2]DPLG-APRIL2001-TRANSCHECKOUT'!$M$2:$AC$10</definedName>
    <definedName name="PEMBERVILLE" localSheetId="20">#REF!</definedName>
    <definedName name="PEMBERVILLE" localSheetId="24">#REF!</definedName>
    <definedName name="PEMBERVILLE" localSheetId="25">#REF!</definedName>
    <definedName name="PEMBERVILLE" localSheetId="19">#REF!</definedName>
    <definedName name="PEMBERVILLE" localSheetId="28">#REF!</definedName>
    <definedName name="PEMBERVILLE" localSheetId="2">#REF!</definedName>
    <definedName name="PEMBERVILLE" localSheetId="29">#REF!</definedName>
    <definedName name="PEMBERVILLE" localSheetId="30">#REF!</definedName>
    <definedName name="PEMBERVILLE" localSheetId="6">#REF!</definedName>
    <definedName name="PEMBERVILLE" localSheetId="8">#REF!</definedName>
    <definedName name="PEMBERVILLE">#REF!</definedName>
    <definedName name="PIONEER" localSheetId="20">#REF!</definedName>
    <definedName name="PIONEER" localSheetId="24">#REF!</definedName>
    <definedName name="PIONEER" localSheetId="25">#REF!</definedName>
    <definedName name="PIONEER" localSheetId="19">#REF!</definedName>
    <definedName name="PIONEER" localSheetId="28">#REF!</definedName>
    <definedName name="PIONEER" localSheetId="2">#REF!</definedName>
    <definedName name="PIONEER" localSheetId="30">#REF!</definedName>
    <definedName name="PIONEER" localSheetId="6">#REF!</definedName>
    <definedName name="PIONEER" localSheetId="8">#REF!</definedName>
    <definedName name="PIONEER">#REF!</definedName>
    <definedName name="pPRINT" localSheetId="29">'[1]DPLG-APRIL2001-TRANSCHECKOUT'!$A$1:$I$49</definedName>
    <definedName name="pPRINT" localSheetId="30">'[1]DPLG-APRIL2001-TRANSCHECKOUT'!$A$1:$I$49</definedName>
    <definedName name="pPRINT">'[2]DPLG-APRIL2001-TRANSCHECKOUT'!$A$1:$I$49</definedName>
    <definedName name="PRINT" localSheetId="29">'[1]DPLG-APRIL2001-TRANSCHECKOUT'!$A$2:$K$55</definedName>
    <definedName name="PRINT" localSheetId="30">'[1]DPLG-APRIL2001-TRANSCHECKOUT'!$A$2:$K$55</definedName>
    <definedName name="PRINT">'[2]DPLG-APRIL2001-TRANSCHECKOUT'!$A$2:$K$55</definedName>
    <definedName name="Print.selection.print" localSheetId="20">#REF!</definedName>
    <definedName name="Print.selection.print" localSheetId="24">#REF!</definedName>
    <definedName name="Print.selection.print" localSheetId="25">#REF!</definedName>
    <definedName name="Print.selection.print" localSheetId="14">#REF!</definedName>
    <definedName name="Print.selection.print" localSheetId="15">#REF!</definedName>
    <definedName name="Print.selection.print" localSheetId="19">#REF!</definedName>
    <definedName name="Print.selection.print" localSheetId="28">#REF!</definedName>
    <definedName name="Print.selection.print" localSheetId="2">#REF!</definedName>
    <definedName name="Print.selection.print" localSheetId="29">#REF!</definedName>
    <definedName name="Print.selection.print" localSheetId="30">#REF!</definedName>
    <definedName name="Print.selection.print" localSheetId="6">#REF!</definedName>
    <definedName name="Print.selection.print" localSheetId="8">#REF!</definedName>
    <definedName name="Print.selection.print" localSheetId="9">#REF!</definedName>
    <definedName name="Print.selection.print">#REF!</definedName>
    <definedName name="_xlnm.Print_Area" localSheetId="17">'Attach 11a - TEC Cost Support'!$A$1:$AI$33</definedName>
    <definedName name="_xlnm.Print_Area" localSheetId="20">'Attach 13a-TEC Rev Req True up'!$A$1:$J$55</definedName>
    <definedName name="_xlnm.Print_Area" localSheetId="23">'Attach 16a Reg Asset-Storms'!$A$1:$I$24</definedName>
    <definedName name="_xlnm.Print_Area" localSheetId="24">'Attach 16b Reg Asset-Veg Mgmt'!$A$1:$I$24</definedName>
    <definedName name="_xlnm.Print_Area" localSheetId="25">'Attach 16c Reg Asset-start Cost'!$A$1:$I$24</definedName>
    <definedName name="_xlnm.Print_Area" localSheetId="10">'Attach 5a - ADIT Norm JC-T'!$A$1:$S$29</definedName>
    <definedName name="_xlnm.Print_Area" localSheetId="14">'Attach 9 - Stated-value Inputs'!$A$1:$I$48</definedName>
    <definedName name="_xlnm.Print_Area" localSheetId="1">'Attachment 1 - Sched 1A'!$A$1:$J$18</definedName>
    <definedName name="_xlnm.Print_Area" localSheetId="15">'Attachment 10 - Debt Cost'!$A$1:$AA$56</definedName>
    <definedName name="_xlnm.Print_Area" localSheetId="16">'Attachment 11 - TEC'!$A$1:$S$96</definedName>
    <definedName name="_xlnm.Print_Area" localSheetId="18">'Attachment 12 - TEC True-up'!$A$1:$M$50</definedName>
    <definedName name="_xlnm.Print_Area" localSheetId="19">'Attachment 13 - Rev Req True-up'!$A$1:$J$55</definedName>
    <definedName name="_xlnm.Print_Area" localSheetId="21">'Attachment 14 - Other Rate Base'!$A$1:$H$72</definedName>
    <definedName name="_xlnm.Print_Area" localSheetId="22">'Attachment 15 - Income Tax Adj'!$A$1:$G$23</definedName>
    <definedName name="_xlnm.Print_Area" localSheetId="26">'Attachment 17 - Abandoned Plant'!$A$1:$I$24</definedName>
    <definedName name="_xlnm.Print_Area" localSheetId="28">'Attachment 19 - Tax Rates'!$A$1:$I$32</definedName>
    <definedName name="_xlnm.Print_Area" localSheetId="2">'Attachment 2 - Incentive ROE'!$A$1:$K$78</definedName>
    <definedName name="_xlnm.Print_Area" localSheetId="29">'Attachment 20 - O&amp;M and A&amp;G'!$A$1:$F$77</definedName>
    <definedName name="_xlnm.Print_Area" localSheetId="30">'Attachment 21 - Revenue Credits'!$A$1:$K$28</definedName>
    <definedName name="_xlnm.Print_Area" localSheetId="3">'Attachment 3 - Gross Plant'!$A$1:$L$69</definedName>
    <definedName name="_xlnm.Print_Area" localSheetId="4">'Attachment 4 - Accum Depr'!$A$1:$L$68</definedName>
    <definedName name="_xlnm.Print_Area" localSheetId="5">'Attachment 5 - ADIT'!$A$1:$L$49</definedName>
    <definedName name="_xlnm.Print_Area" localSheetId="7">'Attachment 5b - ADIT Detail'!$A$1:$E$174</definedName>
    <definedName name="_xlnm.Print_Area" localSheetId="0">'Attachment H-28A MAIT '!$A$1:$K$330</definedName>
    <definedName name="_xlnm.Print_Area" localSheetId="6">'Attch 5a - ADIT Normalization'!$A$1:$T$37</definedName>
    <definedName name="_xlnm.Print_Area" localSheetId="8">#REF!</definedName>
    <definedName name="_xlnm.Print_Area" localSheetId="9">'WP03-B ADIT Detail'!$A$1:$M$359</definedName>
    <definedName name="_xlnm.Print_Area">#REF!</definedName>
    <definedName name="_xlnm.Print_Titles" localSheetId="16">'Attachment 11 - TEC'!$C:$D</definedName>
    <definedName name="_xlnm.Print_Titles" localSheetId="18">'Attachment 12 - TEC True-up'!$C:$D</definedName>
    <definedName name="Print1" localSheetId="20">#REF!</definedName>
    <definedName name="Print1" localSheetId="24">#REF!</definedName>
    <definedName name="Print1" localSheetId="25">#REF!</definedName>
    <definedName name="Print1" localSheetId="19">#REF!</definedName>
    <definedName name="Print1" localSheetId="28">#REF!</definedName>
    <definedName name="Print1" localSheetId="2">#REF!</definedName>
    <definedName name="Print1" localSheetId="29">#REF!</definedName>
    <definedName name="Print1" localSheetId="30">#REF!</definedName>
    <definedName name="Print1" localSheetId="6">#REF!</definedName>
    <definedName name="Print1" localSheetId="8">#REF!</definedName>
    <definedName name="Print1">#REF!</definedName>
    <definedName name="Print3" localSheetId="20">#REF!</definedName>
    <definedName name="Print3" localSheetId="24">#REF!</definedName>
    <definedName name="Print3" localSheetId="25">#REF!</definedName>
    <definedName name="Print3" localSheetId="19">#REF!</definedName>
    <definedName name="Print3" localSheetId="28">#REF!</definedName>
    <definedName name="Print3" localSheetId="2">#REF!</definedName>
    <definedName name="Print3" localSheetId="30">#REF!</definedName>
    <definedName name="Print3" localSheetId="6">#REF!</definedName>
    <definedName name="Print3" localSheetId="8">#REF!</definedName>
    <definedName name="Print3">#REF!</definedName>
    <definedName name="Print4" localSheetId="20">#REF!</definedName>
    <definedName name="Print4" localSheetId="24">#REF!</definedName>
    <definedName name="Print4" localSheetId="25">#REF!</definedName>
    <definedName name="Print4" localSheetId="19">#REF!</definedName>
    <definedName name="Print4" localSheetId="28">#REF!</definedName>
    <definedName name="Print4" localSheetId="2">#REF!</definedName>
    <definedName name="Print4" localSheetId="30">#REF!</definedName>
    <definedName name="Print4" localSheetId="6">#REF!</definedName>
    <definedName name="Print4" localSheetId="8">#REF!</definedName>
    <definedName name="Print4">#REF!</definedName>
    <definedName name="Print5" localSheetId="20">#REF!</definedName>
    <definedName name="Print5" localSheetId="24">#REF!</definedName>
    <definedName name="Print5" localSheetId="25">#REF!</definedName>
    <definedName name="Print5" localSheetId="19">#REF!</definedName>
    <definedName name="Print5" localSheetId="28">#REF!</definedName>
    <definedName name="Print5" localSheetId="2">#REF!</definedName>
    <definedName name="Print5" localSheetId="30">#REF!</definedName>
    <definedName name="Print5" localSheetId="6">#REF!</definedName>
    <definedName name="Print5" localSheetId="8">#REF!</definedName>
    <definedName name="Print5">#REF!</definedName>
    <definedName name="Proj_PIS">'[5]Final Summary Sheet'!$AB$132:$AM$141</definedName>
    <definedName name="Projection">"Projection"</definedName>
    <definedName name="ProjIDList" localSheetId="20">#REF!</definedName>
    <definedName name="ProjIDList" localSheetId="24">#REF!</definedName>
    <definedName name="ProjIDList" localSheetId="25">#REF!</definedName>
    <definedName name="ProjIDList" localSheetId="19">#REF!</definedName>
    <definedName name="ProjIDList" localSheetId="28">#REF!</definedName>
    <definedName name="ProjIDList" localSheetId="2">#REF!</definedName>
    <definedName name="ProjIDList" localSheetId="29">#REF!</definedName>
    <definedName name="ProjIDList" localSheetId="30">#REF!</definedName>
    <definedName name="ProjIDList" localSheetId="6">#REF!</definedName>
    <definedName name="ProjIDList" localSheetId="8">#REF!</definedName>
    <definedName name="ProjIDList">#REF!</definedName>
    <definedName name="PROSPECT" localSheetId="20">#REF!</definedName>
    <definedName name="PROSPECT" localSheetId="24">#REF!</definedName>
    <definedName name="PROSPECT" localSheetId="25">#REF!</definedName>
    <definedName name="PROSPECT" localSheetId="19">#REF!</definedName>
    <definedName name="PROSPECT" localSheetId="28">#REF!</definedName>
    <definedName name="PROSPECT" localSheetId="2">#REF!</definedName>
    <definedName name="PROSPECT" localSheetId="30">#REF!</definedName>
    <definedName name="PROSPECT" localSheetId="6">#REF!</definedName>
    <definedName name="PROSPECT" localSheetId="8">#REF!</definedName>
    <definedName name="PROSPECT">#REF!</definedName>
    <definedName name="PSCo_COS" localSheetId="20">#REF!</definedName>
    <definedName name="PSCo_COS" localSheetId="24">#REF!</definedName>
    <definedName name="PSCo_COS" localSheetId="25">#REF!</definedName>
    <definedName name="PSCo_COS" localSheetId="19">#REF!</definedName>
    <definedName name="PSCo_COS" localSheetId="28">#REF!</definedName>
    <definedName name="PSCo_COS" localSheetId="2">#REF!</definedName>
    <definedName name="PSCo_COS" localSheetId="30">#REF!</definedName>
    <definedName name="PSCo_COS" localSheetId="6">#REF!</definedName>
    <definedName name="PSCo_COS" localSheetId="8">#REF!</definedName>
    <definedName name="PSCo_COS">#REF!</definedName>
    <definedName name="q_MTEP06_App_AB_Facility" localSheetId="20">#REF!</definedName>
    <definedName name="q_MTEP06_App_AB_Facility" localSheetId="24">#REF!</definedName>
    <definedName name="q_MTEP06_App_AB_Facility" localSheetId="25">#REF!</definedName>
    <definedName name="q_MTEP06_App_AB_Facility" localSheetId="19">#REF!</definedName>
    <definedName name="q_MTEP06_App_AB_Facility" localSheetId="28">#REF!</definedName>
    <definedName name="q_MTEP06_App_AB_Facility" localSheetId="2">#REF!</definedName>
    <definedName name="q_MTEP06_App_AB_Facility" localSheetId="30">#REF!</definedName>
    <definedName name="q_MTEP06_App_AB_Facility" localSheetId="6">#REF!</definedName>
    <definedName name="q_MTEP06_App_AB_Facility" localSheetId="8">#REF!</definedName>
    <definedName name="q_MTEP06_App_AB_Facility">#REF!</definedName>
    <definedName name="q_MTEP06_App_AB_Projects" localSheetId="20">#REF!</definedName>
    <definedName name="q_MTEP06_App_AB_Projects" localSheetId="24">#REF!</definedName>
    <definedName name="q_MTEP06_App_AB_Projects" localSheetId="25">#REF!</definedName>
    <definedName name="q_MTEP06_App_AB_Projects" localSheetId="19">#REF!</definedName>
    <definedName name="q_MTEP06_App_AB_Projects" localSheetId="28">#REF!</definedName>
    <definedName name="q_MTEP06_App_AB_Projects" localSheetId="2">#REF!</definedName>
    <definedName name="q_MTEP06_App_AB_Projects" localSheetId="30">#REF!</definedName>
    <definedName name="q_MTEP06_App_AB_Projects" localSheetId="6">#REF!</definedName>
    <definedName name="q_MTEP06_App_AB_Projects" localSheetId="8">#REF!</definedName>
    <definedName name="q_MTEP06_App_AB_Projects">#REF!</definedName>
    <definedName name="retail" localSheetId="29" hidden="1">{#N/A,#N/A,FALSE,"Loans";#N/A,#N/A,FALSE,"Program Costs";#N/A,#N/A,FALSE,"Measures";#N/A,#N/A,FALSE,"Net Lost Rev";#N/A,#N/A,FALSE,"Incentive"}</definedName>
    <definedName name="retail" localSheetId="30" hidden="1">{#N/A,#N/A,FALSE,"Loans";#N/A,#N/A,FALSE,"Program Costs";#N/A,#N/A,FALSE,"Measures";#N/A,#N/A,FALSE,"Net Lost Rev";#N/A,#N/A,FALSE,"Incentive"}</definedName>
    <definedName name="retail" hidden="1">{#N/A,#N/A,FALSE,"Loans";#N/A,#N/A,FALSE,"Program Costs";#N/A,#N/A,FALSE,"Measures";#N/A,#N/A,FALSE,"Net Lost Rev";#N/A,#N/A,FALSE,"Incentive"}</definedName>
    <definedName name="retail_CC" localSheetId="29" hidden="1">{#N/A,#N/A,FALSE,"Loans";#N/A,#N/A,FALSE,"Program Costs";#N/A,#N/A,FALSE,"Measures";#N/A,#N/A,FALSE,"Net Lost Rev";#N/A,#N/A,FALSE,"Incentive"}</definedName>
    <definedName name="retail_CC" localSheetId="30" hidden="1">{#N/A,#N/A,FALSE,"Loans";#N/A,#N/A,FALSE,"Program Costs";#N/A,#N/A,FALSE,"Measures";#N/A,#N/A,FALSE,"Net Lost Rev";#N/A,#N/A,FALSE,"Incentive"}</definedName>
    <definedName name="retail_CC" hidden="1">{#N/A,#N/A,FALSE,"Loans";#N/A,#N/A,FALSE,"Program Costs";#N/A,#N/A,FALSE,"Measures";#N/A,#N/A,FALSE,"Net Lost Rev";#N/A,#N/A,FALSE,"Incentive"}</definedName>
    <definedName name="retail_CC1" localSheetId="29" hidden="1">{#N/A,#N/A,FALSE,"Loans";#N/A,#N/A,FALSE,"Program Costs";#N/A,#N/A,FALSE,"Measures";#N/A,#N/A,FALSE,"Net Lost Rev";#N/A,#N/A,FALSE,"Incentive"}</definedName>
    <definedName name="retail_CC1" localSheetId="30" hidden="1">{#N/A,#N/A,FALSE,"Loans";#N/A,#N/A,FALSE,"Program Costs";#N/A,#N/A,FALSE,"Measures";#N/A,#N/A,FALSE,"Net Lost Rev";#N/A,#N/A,FALSE,"Incentive"}</definedName>
    <definedName name="retail_CC1" hidden="1">{#N/A,#N/A,FALSE,"Loans";#N/A,#N/A,FALSE,"Program Costs";#N/A,#N/A,FALSE,"Measures";#N/A,#N/A,FALSE,"Net Lost Rev";#N/A,#N/A,FALSE,"Incentive"}</definedName>
    <definedName name="revreq" localSheetId="20">#REF!</definedName>
    <definedName name="revreq" localSheetId="24">#REF!</definedName>
    <definedName name="revreq" localSheetId="25">#REF!</definedName>
    <definedName name="revreq" localSheetId="19">#REF!</definedName>
    <definedName name="revreq" localSheetId="28">#REF!</definedName>
    <definedName name="revreq" localSheetId="2">#REF!</definedName>
    <definedName name="revreq" localSheetId="29">#REF!</definedName>
    <definedName name="revreq" localSheetId="30">#REF!</definedName>
    <definedName name="revreq" localSheetId="6">#REF!</definedName>
    <definedName name="revreq" localSheetId="8">#REF!</definedName>
    <definedName name="revreq">#REF!</definedName>
    <definedName name="right">OFFSET(!A1,0,1)</definedName>
    <definedName name="SAPBEXrevision" hidden="1">1</definedName>
    <definedName name="SAPBEXsysID" hidden="1">"BWP"</definedName>
    <definedName name="SAPBEXwbID" hidden="1">"45EQYSCWE9WJMGB34OOD1BOQZ"</definedName>
    <definedName name="SEVILLE" localSheetId="20">#REF!</definedName>
    <definedName name="SEVILLE" localSheetId="24">#REF!</definedName>
    <definedName name="SEVILLE" localSheetId="25">#REF!</definedName>
    <definedName name="SEVILLE" localSheetId="19">#REF!</definedName>
    <definedName name="SEVILLE" localSheetId="28">#REF!</definedName>
    <definedName name="SEVILLE" localSheetId="2">#REF!</definedName>
    <definedName name="SEVILLE" localSheetId="29">#REF!</definedName>
    <definedName name="SEVILLE" localSheetId="30">#REF!</definedName>
    <definedName name="SEVILLE" localSheetId="6">#REF!</definedName>
    <definedName name="SEVILLE" localSheetId="8">#REF!</definedName>
    <definedName name="SEVILLE">#REF!</definedName>
    <definedName name="shit" localSheetId="29" hidden="1">{"PRINT",#N/A,TRUE,"APPA";"PRINT",#N/A,TRUE,"APS";"PRINT",#N/A,TRUE,"BHPL";"PRINT",#N/A,TRUE,"BHPL2";"PRINT",#N/A,TRUE,"CDWR";"PRINT",#N/A,TRUE,"EWEB";"PRINT",#N/A,TRUE,"LADWP";"PRINT",#N/A,TRUE,"NEVBASE"}</definedName>
    <definedName name="shit" localSheetId="30" hidden="1">{"PRINT",#N/A,TRUE,"APPA";"PRINT",#N/A,TRUE,"APS";"PRINT",#N/A,TRUE,"BHPL";"PRINT",#N/A,TRUE,"BHPL2";"PRINT",#N/A,TRUE,"CDWR";"PRINT",#N/A,TRUE,"EWEB";"PRINT",#N/A,TRUE,"LADWP";"PRINT",#N/A,TRUE,"NEVBASE"}</definedName>
    <definedName name="shit" hidden="1">{"PRINT",#N/A,TRUE,"APPA";"PRINT",#N/A,TRUE,"APS";"PRINT",#N/A,TRUE,"BHPL";"PRINT",#N/A,TRUE,"BHPL2";"PRINT",#N/A,TRUE,"CDWR";"PRINT",#N/A,TRUE,"EWEB";"PRINT",#N/A,TRUE,"LADWP";"PRINT",#N/A,TRUE,"NEVBASE"}</definedName>
    <definedName name="SOUTH_VIENNA" localSheetId="20">#REF!</definedName>
    <definedName name="SOUTH_VIENNA" localSheetId="24">#REF!</definedName>
    <definedName name="SOUTH_VIENNA" localSheetId="25">#REF!</definedName>
    <definedName name="SOUTH_VIENNA" localSheetId="19">#REF!</definedName>
    <definedName name="SOUTH_VIENNA" localSheetId="28">#REF!</definedName>
    <definedName name="SOUTH_VIENNA" localSheetId="2">#REF!</definedName>
    <definedName name="SOUTH_VIENNA" localSheetId="29">#REF!</definedName>
    <definedName name="SOUTH_VIENNA" localSheetId="30">#REF!</definedName>
    <definedName name="SOUTH_VIENNA" localSheetId="6">#REF!</definedName>
    <definedName name="SOUTH_VIENNA" localSheetId="8">#REF!</definedName>
    <definedName name="SOUTH_VIENNA">#REF!</definedName>
    <definedName name="SPS_COS" localSheetId="20">#REF!</definedName>
    <definedName name="SPS_COS" localSheetId="24">#REF!</definedName>
    <definedName name="SPS_COS" localSheetId="25">#REF!</definedName>
    <definedName name="SPS_COS" localSheetId="19">#REF!</definedName>
    <definedName name="SPS_COS" localSheetId="28">#REF!</definedName>
    <definedName name="SPS_COS" localSheetId="2">#REF!</definedName>
    <definedName name="SPS_COS" localSheetId="30">#REF!</definedName>
    <definedName name="SPS_COS" localSheetId="6">#REF!</definedName>
    <definedName name="SPS_COS" localSheetId="8">#REF!</definedName>
    <definedName name="SPS_COS">#REF!</definedName>
    <definedName name="TEST0" localSheetId="20">#REF!</definedName>
    <definedName name="TEST0" localSheetId="30">#REF!</definedName>
    <definedName name="TEST0" localSheetId="6">#REF!</definedName>
    <definedName name="TEST0">#REF!</definedName>
    <definedName name="TESTHKEY" localSheetId="20">#REF!</definedName>
    <definedName name="TESTHKEY" localSheetId="30">#REF!</definedName>
    <definedName name="TESTHKEY" localSheetId="6">#REF!</definedName>
    <definedName name="TESTHKEY">#REF!</definedName>
    <definedName name="TESTKEYS" localSheetId="20">#REF!</definedName>
    <definedName name="TESTKEYS" localSheetId="30">#REF!</definedName>
    <definedName name="TESTKEYS" localSheetId="6">#REF!</definedName>
    <definedName name="TESTKEYS">#REF!</definedName>
    <definedName name="TESTVKEY" localSheetId="20">#REF!</definedName>
    <definedName name="TESTVKEY" localSheetId="30">#REF!</definedName>
    <definedName name="TESTVKEY" localSheetId="6">#REF!</definedName>
    <definedName name="TESTVKEY">#REF!</definedName>
    <definedName name="Toggle" localSheetId="29">Projection</definedName>
    <definedName name="Toggle" localSheetId="30">Projection</definedName>
    <definedName name="Toggle">Projection</definedName>
    <definedName name="Toggle.list">'[4]Appendix A'!$P$5:$P$6</definedName>
    <definedName name="TOTAL_COLUMBIANA" localSheetId="20">#REF!</definedName>
    <definedName name="TOTAL_COLUMBIANA" localSheetId="24">#REF!</definedName>
    <definedName name="TOTAL_COLUMBIANA" localSheetId="25">#REF!</definedName>
    <definedName name="TOTAL_COLUMBIANA" localSheetId="19">#REF!</definedName>
    <definedName name="TOTAL_COLUMBIANA" localSheetId="28">#REF!</definedName>
    <definedName name="TOTAL_COLUMBIANA" localSheetId="2">#REF!</definedName>
    <definedName name="TOTAL_COLUMBIANA" localSheetId="29">#REF!</definedName>
    <definedName name="TOTAL_COLUMBIANA" localSheetId="30">#REF!</definedName>
    <definedName name="TOTAL_COLUMBIANA" localSheetId="6">#REF!</definedName>
    <definedName name="TOTAL_COLUMBIANA" localSheetId="8">#REF!</definedName>
    <definedName name="TOTAL_COLUMBIANA">#REF!</definedName>
    <definedName name="Total_Grove_City" localSheetId="20">#REF!</definedName>
    <definedName name="Total_Grove_City" localSheetId="24">#REF!</definedName>
    <definedName name="Total_Grove_City" localSheetId="25">#REF!</definedName>
    <definedName name="Total_Grove_City" localSheetId="19">#REF!</definedName>
    <definedName name="Total_Grove_City" localSheetId="28">#REF!</definedName>
    <definedName name="Total_Grove_City" localSheetId="2">#REF!</definedName>
    <definedName name="Total_Grove_City" localSheetId="30">#REF!</definedName>
    <definedName name="Total_Grove_City" localSheetId="6">#REF!</definedName>
    <definedName name="Total_Grove_City" localSheetId="8">#REF!</definedName>
    <definedName name="Total_Grove_City">#REF!</definedName>
    <definedName name="TOTAL_HUDSON" localSheetId="20">#REF!</definedName>
    <definedName name="TOTAL_HUDSON" localSheetId="24">#REF!</definedName>
    <definedName name="TOTAL_HUDSON" localSheetId="25">#REF!</definedName>
    <definedName name="TOTAL_HUDSON" localSheetId="19">#REF!</definedName>
    <definedName name="TOTAL_HUDSON" localSheetId="28">#REF!</definedName>
    <definedName name="TOTAL_HUDSON" localSheetId="2">#REF!</definedName>
    <definedName name="TOTAL_HUDSON" localSheetId="30">#REF!</definedName>
    <definedName name="TOTAL_HUDSON" localSheetId="6">#REF!</definedName>
    <definedName name="TOTAL_HUDSON" localSheetId="8">#REF!</definedName>
    <definedName name="TOTAL_HUDSON">#REF!</definedName>
    <definedName name="TOTAL_MONTPELIER" localSheetId="20">#REF!</definedName>
    <definedName name="TOTAL_MONTPELIER" localSheetId="24">#REF!</definedName>
    <definedName name="TOTAL_MONTPELIER" localSheetId="25">#REF!</definedName>
    <definedName name="TOTAL_MONTPELIER" localSheetId="19">#REF!</definedName>
    <definedName name="TOTAL_MONTPELIER" localSheetId="28">#REF!</definedName>
    <definedName name="TOTAL_MONTPELIER" localSheetId="2">#REF!</definedName>
    <definedName name="TOTAL_MONTPELIER" localSheetId="30">#REF!</definedName>
    <definedName name="TOTAL_MONTPELIER" localSheetId="6">#REF!</definedName>
    <definedName name="TOTAL_MONTPELIER" localSheetId="8">#REF!</definedName>
    <definedName name="TOTAL_MONTPELIER">#REF!</definedName>
    <definedName name="TOTAL_WOODVILLE" localSheetId="20">#REF!</definedName>
    <definedName name="TOTAL_WOODVILLE" localSheetId="24">#REF!</definedName>
    <definedName name="TOTAL_WOODVILLE" localSheetId="25">#REF!</definedName>
    <definedName name="TOTAL_WOODVILLE" localSheetId="19">#REF!</definedName>
    <definedName name="TOTAL_WOODVILLE" localSheetId="28">#REF!</definedName>
    <definedName name="TOTAL_WOODVILLE" localSheetId="2">#REF!</definedName>
    <definedName name="TOTAL_WOODVILLE" localSheetId="30">#REF!</definedName>
    <definedName name="TOTAL_WOODVILLE" localSheetId="6">#REF!</definedName>
    <definedName name="TOTAL_WOODVILLE" localSheetId="8">#REF!</definedName>
    <definedName name="TOTAL_WOODVILLE">#REF!</definedName>
    <definedName name="transmission.fixed.charge.rate">0.1525</definedName>
    <definedName name="True_up">'[4]Appendix A'!$P$6</definedName>
    <definedName name="WADSWORTH" localSheetId="20">#REF!</definedName>
    <definedName name="WADSWORTH" localSheetId="24">#REF!</definedName>
    <definedName name="WADSWORTH" localSheetId="25">#REF!</definedName>
    <definedName name="WADSWORTH" localSheetId="19">#REF!</definedName>
    <definedName name="WADSWORTH" localSheetId="28">#REF!</definedName>
    <definedName name="WADSWORTH" localSheetId="2">#REF!</definedName>
    <definedName name="WADSWORTH" localSheetId="29">#REF!</definedName>
    <definedName name="WADSWORTH" localSheetId="30">#REF!</definedName>
    <definedName name="WADSWORTH" localSheetId="6">#REF!</definedName>
    <definedName name="WADSWORTH" localSheetId="8">#REF!</definedName>
    <definedName name="WADSWORTH">#REF!</definedName>
    <definedName name="WELLINGTON" localSheetId="20">#REF!</definedName>
    <definedName name="WELLINGTON" localSheetId="24">#REF!</definedName>
    <definedName name="WELLINGTON" localSheetId="25">#REF!</definedName>
    <definedName name="WELLINGTON" localSheetId="19">#REF!</definedName>
    <definedName name="WELLINGTON" localSheetId="28">#REF!</definedName>
    <definedName name="WELLINGTON" localSheetId="2">#REF!</definedName>
    <definedName name="WELLINGTON" localSheetId="30">#REF!</definedName>
    <definedName name="WELLINGTON" localSheetId="6">#REF!</definedName>
    <definedName name="WELLINGTON" localSheetId="8">#REF!</definedName>
    <definedName name="WELLINGTON">#REF!</definedName>
    <definedName name="wrn.All._.Pages." localSheetId="29" hidden="1">{#N/A,#N/A,FALSE,"Cover";#N/A,#N/A,FALSE,"Lead Sheet";#N/A,#N/A,FALSE,"T-Accounts";#N/A,#N/A,FALSE,"Ins &amp; Prem ActualEstimates"}</definedName>
    <definedName name="wrn.All._.Pages." localSheetId="30" hidden="1">{#N/A,#N/A,FALSE,"Cover";#N/A,#N/A,FALSE,"Lead Sheet";#N/A,#N/A,FALSE,"T-Accounts";#N/A,#N/A,FALSE,"Ins &amp; Prem ActualEstimates"}</definedName>
    <definedName name="wrn.All._.Pages." hidden="1">{#N/A,#N/A,FALSE,"Cover";#N/A,#N/A,FALSE,"Lead Sheet";#N/A,#N/A,FALSE,"T-Accounts";#N/A,#N/A,FALSE,"Ins &amp; Prem ActualEstimates"}</definedName>
    <definedName name="wrn.Factors._.Tab._.10." localSheetId="29" hidden="1">{"Factors Pages 1-2",#N/A,FALSE,"Factors";"Factors Page 3",#N/A,FALSE,"Factors";"Factors Page 4",#N/A,FALSE,"Factors";"Factors Page 5",#N/A,FALSE,"Factors";"Factors Pages 8-27",#N/A,FALSE,"Factors"}</definedName>
    <definedName name="wrn.Factors._.Tab._.10." localSheetId="30" hidden="1">{"Factors Pages 1-2",#N/A,FALSE,"Factors";"Factors Page 3",#N/A,FALSE,"Factors";"Factors Page 4",#N/A,FALSE,"Factors";"Factors Page 5",#N/A,FALSE,"Factors";"Factors Pages 8-27",#N/A,FALSE,"Factors"}</definedName>
    <definedName name="wrn.Factors._.Tab._.10." hidden="1">{"Factors Pages 1-2",#N/A,FALSE,"Factors";"Factors Page 3",#N/A,FALSE,"Factors";"Factors Page 4",#N/A,FALSE,"Factors";"Factors Page 5",#N/A,FALSE,"Factors";"Factors Pages 8-27",#N/A,FALSE,"Factors"}</definedName>
    <definedName name="wrn.OR._.Carrying._.Charge._.JV." localSheetId="29" hidden="1">{#N/A,#N/A,FALSE,"Loans";#N/A,#N/A,FALSE,"Program Costs";#N/A,#N/A,FALSE,"Measures";#N/A,#N/A,FALSE,"Net Lost Rev";#N/A,#N/A,FALSE,"Incentive"}</definedName>
    <definedName name="wrn.OR._.Carrying._.Charge._.JV." localSheetId="30" hidden="1">{#N/A,#N/A,FALSE,"Loans";#N/A,#N/A,FALSE,"Program Costs";#N/A,#N/A,FALSE,"Measures";#N/A,#N/A,FALSE,"Net Lost Rev";#N/A,#N/A,FALSE,"Incentive"}</definedName>
    <definedName name="wrn.OR._.Carrying._.Charge._.JV." hidden="1">{#N/A,#N/A,FALSE,"Loans";#N/A,#N/A,FALSE,"Program Costs";#N/A,#N/A,FALSE,"Measures";#N/A,#N/A,FALSE,"Net Lost Rev";#N/A,#N/A,FALSE,"Incentive"}</definedName>
    <definedName name="wrn.OR._.Carrying._.Charge._.JV.1" localSheetId="29" hidden="1">{#N/A,#N/A,FALSE,"Loans";#N/A,#N/A,FALSE,"Program Costs";#N/A,#N/A,FALSE,"Measures";#N/A,#N/A,FALSE,"Net Lost Rev";#N/A,#N/A,FALSE,"Incentive"}</definedName>
    <definedName name="wrn.OR._.Carrying._.Charge._.JV.1" localSheetId="30" hidden="1">{#N/A,#N/A,FALSE,"Loans";#N/A,#N/A,FALSE,"Program Costs";#N/A,#N/A,FALSE,"Measures";#N/A,#N/A,FALSE,"Net Lost Rev";#N/A,#N/A,FALSE,"Incentive"}</definedName>
    <definedName name="wrn.OR._.Carrying._.Charge._.JV.1" hidden="1">{#N/A,#N/A,FALSE,"Loans";#N/A,#N/A,FALSE,"Program Costs";#N/A,#N/A,FALSE,"Measures";#N/A,#N/A,FALSE,"Net Lost Rev";#N/A,#N/A,FALSE,"Incentive"}</definedName>
    <definedName name="wrn.SALES._.VAR._.95._.BUDGET." localSheetId="29" hidden="1">{"PRINT",#N/A,TRUE,"APPA";"PRINT",#N/A,TRUE,"APS";"PRINT",#N/A,TRUE,"BHPL";"PRINT",#N/A,TRUE,"BHPL2";"PRINT",#N/A,TRUE,"CDWR";"PRINT",#N/A,TRUE,"EWEB";"PRINT",#N/A,TRUE,"LADWP";"PRINT",#N/A,TRUE,"NEVBASE"}</definedName>
    <definedName name="wrn.SALES._.VAR._.95._.BUDGET." localSheetId="30" hidden="1">{"PRINT",#N/A,TRUE,"APPA";"PRINT",#N/A,TRUE,"APS";"PRINT",#N/A,TRUE,"BHPL";"PRINT",#N/A,TRUE,"BHPL2";"PRINT",#N/A,TRUE,"CDWR";"PRINT",#N/A,TRUE,"EWEB";"PRINT",#N/A,TRUE,"LADWP";"PRINT",#N/A,TRUE,"NEVBASE"}</definedName>
    <definedName name="wrn.SALES._.VAR._.95._.BUDGET." hidden="1">{"PRINT",#N/A,TRUE,"APPA";"PRINT",#N/A,TRUE,"APS";"PRINT",#N/A,TRUE,"BHPL";"PRINT",#N/A,TRUE,"BHPL2";"PRINT",#N/A,TRUE,"CDWR";"PRINT",#N/A,TRUE,"EWEB";"PRINT",#N/A,TRUE,"LADWP";"PRINT",#N/A,TRUE,"NEVBASE"}</definedName>
    <definedName name="wrn.YearEnd." localSheetId="29" hidden="1">{"Factors Pages 1-2",#N/A,FALSE,"Variables";"Factors Page 3",#N/A,FALSE,"Variables";"Factors Page 4",#N/A,FALSE,"Variables";"Factors Page 5",#N/A,FALSE,"Variables";"YE Pages 7-26",#N/A,FALSE,"Variables"}</definedName>
    <definedName name="wrn.YearEnd." localSheetId="30" hidden="1">{"Factors Pages 1-2",#N/A,FALSE,"Variables";"Factors Page 3",#N/A,FALSE,"Variables";"Factors Page 4",#N/A,FALSE,"Variables";"Factors Page 5",#N/A,FALSE,"Variables";"YE Pages 7-26",#N/A,FALSE,"Variables"}</definedName>
    <definedName name="wrn.YearEnd." hidden="1">{"Factors Pages 1-2",#N/A,FALSE,"Variables";"Factors Page 3",#N/A,FALSE,"Variables";"Factors Page 4",#N/A,FALSE,"Variables";"Factors Page 5",#N/A,FALSE,"Variables";"YE Pages 7-26",#N/A,FALSE,"Variables"}</definedName>
    <definedName name="Xcel" localSheetId="20">'[6]Data Entry and Forecaster'!#REF!</definedName>
    <definedName name="Xcel" localSheetId="24">'[6]Data Entry and Forecaster'!#REF!</definedName>
    <definedName name="Xcel" localSheetId="25">'[6]Data Entry and Forecaster'!#REF!</definedName>
    <definedName name="Xcel" localSheetId="14">'[6]Data Entry and Forecaster'!#REF!</definedName>
    <definedName name="Xcel" localSheetId="18">'[6]Data Entry and Forecaster'!#REF!</definedName>
    <definedName name="Xcel" localSheetId="19">'[6]Data Entry and Forecaster'!#REF!</definedName>
    <definedName name="Xcel" localSheetId="28">'[6]Data Entry and Forecaster'!#REF!</definedName>
    <definedName name="Xcel" localSheetId="29">'[7]Data Entry and Forecaster'!#REF!</definedName>
    <definedName name="Xcel" localSheetId="30">'[7]Data Entry and Forecaster'!#REF!</definedName>
    <definedName name="Xcel" localSheetId="4">'[6]Data Entry and Forecaster'!#REF!</definedName>
    <definedName name="Xcel" localSheetId="5">'[6]Data Entry and Forecaster'!#REF!</definedName>
    <definedName name="Xcel" localSheetId="12">'[6]Data Entry and Forecaster'!#REF!</definedName>
    <definedName name="Xcel" localSheetId="13">'[6]Data Entry and Forecaster'!#REF!</definedName>
    <definedName name="Xcel" localSheetId="6">'[6]Data Entry and Forecaster'!#REF!</definedName>
    <definedName name="Xcel" localSheetId="8">'[6]Data Entry and Forecaster'!#REF!</definedName>
    <definedName name="Xcel">'[6]Data Entry and Forecaster'!#REF!</definedName>
    <definedName name="Xcel_COS" localSheetId="20">#REF!</definedName>
    <definedName name="Xcel_COS" localSheetId="24">#REF!</definedName>
    <definedName name="Xcel_COS" localSheetId="25">#REF!</definedName>
    <definedName name="Xcel_COS" localSheetId="19">#REF!</definedName>
    <definedName name="Xcel_COS" localSheetId="28">#REF!</definedName>
    <definedName name="Xcel_COS" localSheetId="2">#REF!</definedName>
    <definedName name="Xcel_COS" localSheetId="29">#REF!</definedName>
    <definedName name="Xcel_COS" localSheetId="30">#REF!</definedName>
    <definedName name="Xcel_COS" localSheetId="6">#REF!</definedName>
    <definedName name="Xcel_COS" localSheetId="8">#REF!</definedName>
    <definedName name="Xcel_COS">#REF!</definedName>
    <definedName name="Z_28948E05_8F34_4F1E_96FB_A80A6A844600_.wvu.Cols" localSheetId="16" hidden="1">'Attachment 11 - TEC'!#REF!</definedName>
    <definedName name="Z_28948E05_8F34_4F1E_96FB_A80A6A844600_.wvu.Cols" localSheetId="18" hidden="1">'Attachment 12 - TEC True-up'!#REF!</definedName>
    <definedName name="Z_28948E05_8F34_4F1E_96FB_A80A6A844600_.wvu.Cols" localSheetId="9" hidden="1">'WP03-B ADIT Detail'!$G:$G</definedName>
    <definedName name="Z_28948E05_8F34_4F1E_96FB_A80A6A844600_.wvu.PrintArea" localSheetId="9" hidden="1">'WP03-B ADIT Detail'!$B$1:$K$135</definedName>
    <definedName name="Z_28948E05_8F34_4F1E_96FB_A80A6A844600_.wvu.PrintTitles" localSheetId="16" hidden="1">'Attachment 11 - TEC'!$C:$D</definedName>
    <definedName name="Z_28948E05_8F34_4F1E_96FB_A80A6A844600_.wvu.PrintTitles" localSheetId="18" hidden="1">'Attachment 12 - TEC True-up'!$C:$D</definedName>
    <definedName name="Z_28948E05_8F34_4F1E_96FB_A80A6A844600_.wvu.Rows" localSheetId="2" hidden="1">'Attachment 2 - Incentive ROE'!#REF!,'Attachment 2 - Incentive ROE'!#REF!</definedName>
    <definedName name="Z_3A38DF7A_C35E_4DD3_9893_26310A3EF836_.wvu.Cols" localSheetId="16" hidden="1">'Attachment 11 - TEC'!#REF!</definedName>
    <definedName name="Z_3A38DF7A_C35E_4DD3_9893_26310A3EF836_.wvu.Cols" localSheetId="18" hidden="1">'Attachment 12 - TEC True-up'!#REF!</definedName>
    <definedName name="Z_3A38DF7A_C35E_4DD3_9893_26310A3EF836_.wvu.PrintTitles" localSheetId="16" hidden="1">'Attachment 11 - TEC'!$C:$D</definedName>
    <definedName name="Z_3A38DF7A_C35E_4DD3_9893_26310A3EF836_.wvu.PrintTitles" localSheetId="18" hidden="1">'Attachment 12 - TEC True-up'!$C:$D</definedName>
    <definedName name="Z_3A38DF7A_C35E_4DD3_9893_26310A3EF836_.wvu.Rows" localSheetId="2" hidden="1">'Attachment 2 - Incentive ROE'!#REF!</definedName>
    <definedName name="Z_4C7C2344_134C_465A_ADEB_A5E96AAE2308_.wvu.Cols" localSheetId="16" hidden="1">'Attachment 11 - TEC'!#REF!</definedName>
    <definedName name="Z_4C7C2344_134C_465A_ADEB_A5E96AAE2308_.wvu.Cols" localSheetId="18" hidden="1">'Attachment 12 - TEC True-up'!#REF!</definedName>
    <definedName name="Z_4C7C2344_134C_465A_ADEB_A5E96AAE2308_.wvu.PrintTitles" localSheetId="16" hidden="1">'Attachment 11 - TEC'!$C:$D</definedName>
    <definedName name="Z_4C7C2344_134C_465A_ADEB_A5E96AAE2308_.wvu.PrintTitles" localSheetId="18" hidden="1">'Attachment 12 - TEC True-up'!$C:$D</definedName>
    <definedName name="Z_4C7C2344_134C_465A_ADEB_A5E96AAE2308_.wvu.Rows" localSheetId="2" hidden="1">'Attachment 2 - Incentive ROE'!#REF!</definedName>
    <definedName name="Z_63011E91_4609_4523_98FE_FD252E915668_.wvu.Cols" localSheetId="9" hidden="1">'WP03-B ADIT Detail'!$G:$G</definedName>
    <definedName name="Z_63011E91_4609_4523_98FE_FD252E915668_.wvu.PrintArea" localSheetId="9" hidden="1">'WP03-B ADIT Detail'!$B$1:$K$135</definedName>
    <definedName name="Z_6928E596_79BD_4CEC_9F0D_07E62D69B2A5_.wvu.Cols" localSheetId="9" hidden="1">'WP03-B ADIT Detail'!$G:$G</definedName>
    <definedName name="Z_6928E596_79BD_4CEC_9F0D_07E62D69B2A5_.wvu.PrintArea" localSheetId="9" hidden="1">'WP03-B ADIT Detail'!$B$1:$K$135</definedName>
    <definedName name="Z_71B42B22_A376_44B5_B0C1_23FC1AA3DBA2_.wvu.Cols" localSheetId="16" hidden="1">'Attachment 11 - TEC'!#REF!</definedName>
    <definedName name="Z_71B42B22_A376_44B5_B0C1_23FC1AA3DBA2_.wvu.Cols" localSheetId="18" hidden="1">'Attachment 12 - TEC True-up'!#REF!</definedName>
    <definedName name="Z_71B42B22_A376_44B5_B0C1_23FC1AA3DBA2_.wvu.Cols" localSheetId="9" hidden="1">'WP03-B ADIT Detail'!$G:$G</definedName>
    <definedName name="Z_71B42B22_A376_44B5_B0C1_23FC1AA3DBA2_.wvu.PrintArea" localSheetId="9" hidden="1">'WP03-B ADIT Detail'!$B$1:$K$135</definedName>
    <definedName name="Z_71B42B22_A376_44B5_B0C1_23FC1AA3DBA2_.wvu.PrintTitles" localSheetId="16" hidden="1">'Attachment 11 - TEC'!$C:$D</definedName>
    <definedName name="Z_71B42B22_A376_44B5_B0C1_23FC1AA3DBA2_.wvu.PrintTitles" localSheetId="18" hidden="1">'Attachment 12 - TEC True-up'!$C:$D</definedName>
    <definedName name="Z_71B42B22_A376_44B5_B0C1_23FC1AA3DBA2_.wvu.Rows" localSheetId="2" hidden="1">'Attachment 2 - Incentive ROE'!#REF!,'Attachment 2 - Incentive ROE'!#REF!</definedName>
    <definedName name="Z_8FBB4DC9_2D51_4AB9_80D8_F8474B404C29_.wvu.Cols" localSheetId="9" hidden="1">'WP03-B ADIT Detail'!$G:$G</definedName>
    <definedName name="Z_8FBB4DC9_2D51_4AB9_80D8_F8474B404C29_.wvu.PrintArea" localSheetId="9" hidden="1">'WP03-B ADIT Detail'!$B$1:$K$135</definedName>
    <definedName name="Z_B647CB7F_C846_4278_B6B1_1EF7F3C004F5_.wvu.Cols" localSheetId="9" hidden="1">'WP03-B ADIT Detail'!$G:$G</definedName>
    <definedName name="Z_B647CB7F_C846_4278_B6B1_1EF7F3C004F5_.wvu.PrintArea" localSheetId="9" hidden="1">'WP03-B ADIT Detail'!$B$1:$K$135</definedName>
    <definedName name="Z_DA967730_B71F_4038_B1B7_9D4790729C5D_.wvu.Cols" localSheetId="16" hidden="1">'Attachment 11 - TEC'!#REF!</definedName>
    <definedName name="Z_DA967730_B71F_4038_B1B7_9D4790729C5D_.wvu.Cols" localSheetId="18" hidden="1">'Attachment 12 - TEC True-up'!#REF!</definedName>
    <definedName name="Z_DA967730_B71F_4038_B1B7_9D4790729C5D_.wvu.PrintTitles" localSheetId="16" hidden="1">'Attachment 11 - TEC'!$C:$D</definedName>
    <definedName name="Z_DA967730_B71F_4038_B1B7_9D4790729C5D_.wvu.PrintTitles" localSheetId="18" hidden="1">'Attachment 12 - TEC True-up'!$C:$D</definedName>
    <definedName name="Z_DA967730_B71F_4038_B1B7_9D4790729C5D_.wvu.Rows" localSheetId="2" hidden="1">'Attachment 2 - Incentive ROE'!#REF!</definedName>
    <definedName name="Z_DC91DEF3_837B_4BB9_A81E_3B78C5914E6C_.wvu.Cols" localSheetId="16" hidden="1">'Attachment 11 - TEC'!#REF!</definedName>
    <definedName name="Z_DC91DEF3_837B_4BB9_A81E_3B78C5914E6C_.wvu.Cols" localSheetId="18" hidden="1">'Attachment 12 - TEC True-up'!#REF!</definedName>
    <definedName name="Z_DC91DEF3_837B_4BB9_A81E_3B78C5914E6C_.wvu.Cols" localSheetId="9" hidden="1">'WP03-B ADIT Detail'!$G:$G</definedName>
    <definedName name="Z_DC91DEF3_837B_4BB9_A81E_3B78C5914E6C_.wvu.PrintArea" localSheetId="9" hidden="1">'WP03-B ADIT Detail'!$B$1:$K$135</definedName>
    <definedName name="Z_DC91DEF3_837B_4BB9_A81E_3B78C5914E6C_.wvu.PrintTitles" localSheetId="16" hidden="1">'Attachment 11 - TEC'!$C:$D</definedName>
    <definedName name="Z_DC91DEF3_837B_4BB9_A81E_3B78C5914E6C_.wvu.PrintTitles" localSheetId="18" hidden="1">'Attachment 12 - TEC True-up'!$C:$D</definedName>
    <definedName name="Z_DC91DEF3_837B_4BB9_A81E_3B78C5914E6C_.wvu.Rows" localSheetId="2" hidden="1">'Attachment 2 - Incentive ROE'!#REF!</definedName>
    <definedName name="Z_E1861F40_EBD5_44AE_868B_FDE0ED504D72_.wvu.PrintArea" localSheetId="1" hidden="1">'Attachment 1 - Sched 1A'!$B$1:$I$18</definedName>
    <definedName name="Z_E1861F40_EBD5_44AE_868B_FDE0ED504D72_.wvu.PrintArea" localSheetId="16" hidden="1">'Attachment 11 - TEC'!$A$1:$N$93</definedName>
    <definedName name="Z_E1861F40_EBD5_44AE_868B_FDE0ED504D72_.wvu.PrintArea" localSheetId="18" hidden="1">'Attachment 12 - TEC True-up'!$A$1:$L$50</definedName>
    <definedName name="Z_E1861F40_EBD5_44AE_868B_FDE0ED504D72_.wvu.PrintArea" localSheetId="0" hidden="1">'Attachment H-28A MAIT '!$A$1:$K$330</definedName>
    <definedName name="Z_E1861F40_EBD5_44AE_868B_FDE0ED504D72_.wvu.PrintTitles" localSheetId="16" hidden="1">'Attachment 11 - TEC'!$C:$D</definedName>
    <definedName name="Z_E1861F40_EBD5_44AE_868B_FDE0ED504D72_.wvu.PrintTitles" localSheetId="18" hidden="1">'Attachment 12 - TEC True-up'!$C:$D</definedName>
    <definedName name="Z_F96D6087_3330_4A81_95EC_26BA83722A49_.wvu.Cols" localSheetId="16" hidden="1">'Attachment 11 - TEC'!#REF!</definedName>
    <definedName name="Z_F96D6087_3330_4A81_95EC_26BA83722A49_.wvu.Cols" localSheetId="18" hidden="1">'Attachment 12 - TEC True-up'!#REF!</definedName>
    <definedName name="Z_F96D6087_3330_4A81_95EC_26BA83722A49_.wvu.PrintTitles" localSheetId="16" hidden="1">'Attachment 11 - TEC'!$C:$D</definedName>
    <definedName name="Z_F96D6087_3330_4A81_95EC_26BA83722A49_.wvu.PrintTitles" localSheetId="18" hidden="1">'Attachment 12 - TEC True-up'!$C:$D</definedName>
    <definedName name="Z_F96D6087_3330_4A81_95EC_26BA83722A49_.wvu.Rows" localSheetId="2" hidden="1">'Attachment 2 - Incentive ROE'!#REF!</definedName>
    <definedName name="Z_FAAD9AAC_1337_43AB_BF1F_CCF9DFCF5B78_.wvu.Cols" localSheetId="16" hidden="1">'Attachment 11 - TEC'!#REF!</definedName>
    <definedName name="Z_FAAD9AAC_1337_43AB_BF1F_CCF9DFCF5B78_.wvu.Cols" localSheetId="18" hidden="1">'Attachment 12 - TEC True-up'!#REF!</definedName>
    <definedName name="Z_FAAD9AAC_1337_43AB_BF1F_CCF9DFCF5B78_.wvu.Cols" localSheetId="9" hidden="1">'WP03-B ADIT Detail'!$G:$G</definedName>
    <definedName name="Z_FAAD9AAC_1337_43AB_BF1F_CCF9DFCF5B78_.wvu.PrintArea" localSheetId="9" hidden="1">'WP03-B ADIT Detail'!$B$1:$K$135</definedName>
    <definedName name="Z_FAAD9AAC_1337_43AB_BF1F_CCF9DFCF5B78_.wvu.PrintTitles" localSheetId="16" hidden="1">'Attachment 11 - TEC'!$C:$D</definedName>
    <definedName name="Z_FAAD9AAC_1337_43AB_BF1F_CCF9DFCF5B78_.wvu.PrintTitles" localSheetId="18" hidden="1">'Attachment 12 - TEC True-up'!$C:$D</definedName>
    <definedName name="Z_FAAD9AAC_1337_43AB_BF1F_CCF9DFCF5B78_.wvu.Rows" localSheetId="2" hidden="1">'Attachment 2 - Incentive ROE'!#REF!</definedName>
  </definedNames>
  <calcPr calcId="191029"/>
  <customWorkbookViews>
    <customWorkbookView name="Schock, Michael C - Personal View" guid="{E1861F40-EBD5-44AE-868B-FDE0ED504D72}" mergeInterval="0" personalView="1" maximized="1" xWindow="-8" yWindow="-8" windowWidth="1696" windowHeight="1026" tabRatio="928" activeSheetId="1"/>
  </customWorkbookViews>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16" i="48" l="1"/>
  <c r="C72" i="51" l="1"/>
  <c r="E147" i="51" l="1"/>
  <c r="D124" i="51"/>
  <c r="E108" i="51"/>
  <c r="E98" i="51"/>
  <c r="D17" i="27" l="1"/>
  <c r="E17" i="27" s="1"/>
  <c r="F26" i="50" l="1"/>
  <c r="F39" i="6" l="1"/>
  <c r="C17" i="42" l="1"/>
  <c r="A18" i="39" l="1"/>
  <c r="A19" i="39"/>
  <c r="A20" i="39"/>
  <c r="A21" i="39"/>
  <c r="T18" i="39" l="1"/>
  <c r="T19" i="39"/>
  <c r="T20" i="39"/>
  <c r="T21" i="39"/>
  <c r="E19" i="39"/>
  <c r="E71" i="5" s="1"/>
  <c r="E20" i="39"/>
  <c r="E72" i="5" s="1"/>
  <c r="E21" i="39"/>
  <c r="E73" i="5" s="1"/>
  <c r="E18" i="39"/>
  <c r="AI18" i="39" l="1"/>
  <c r="H70" i="5" s="1"/>
  <c r="E70" i="5"/>
  <c r="AI21" i="39"/>
  <c r="H73" i="5" s="1"/>
  <c r="AI20" i="39"/>
  <c r="H72" i="5" s="1"/>
  <c r="AI19" i="39"/>
  <c r="H71" i="5" s="1"/>
  <c r="S47" i="42" l="1"/>
  <c r="R12" i="48" l="1"/>
  <c r="C63" i="52" l="1"/>
  <c r="D63" i="52"/>
  <c r="Q19" i="42" l="1"/>
  <c r="K19" i="42"/>
  <c r="K23" i="22" l="1"/>
  <c r="F23" i="22"/>
  <c r="G23" i="22"/>
  <c r="H23" i="22"/>
  <c r="I23" i="22"/>
  <c r="E23" i="22"/>
  <c r="E121" i="51" l="1"/>
  <c r="E12" i="51" l="1"/>
  <c r="E167" i="51"/>
  <c r="G22" i="15"/>
  <c r="E159" i="51"/>
  <c r="C124" i="51"/>
  <c r="D72" i="51"/>
  <c r="A23" i="48" l="1"/>
  <c r="D23" i="48" s="1"/>
  <c r="A9" i="48"/>
  <c r="A12" i="48" s="1"/>
  <c r="D142" i="1" l="1"/>
  <c r="D143" i="1" s="1"/>
  <c r="I12" i="48" l="1"/>
  <c r="D174" i="51" l="1"/>
  <c r="E63" i="51" l="1"/>
  <c r="E61" i="51"/>
  <c r="E60" i="51"/>
  <c r="L31" i="14" l="1"/>
  <c r="J41" i="13" l="1"/>
  <c r="I41" i="13"/>
  <c r="H41" i="13"/>
  <c r="F41" i="13"/>
  <c r="I251" i="1"/>
  <c r="I19" i="42" l="1"/>
  <c r="G19" i="42"/>
  <c r="D19" i="42"/>
  <c r="B19" i="42"/>
  <c r="I220" i="1" l="1"/>
  <c r="I222" i="1" s="1"/>
  <c r="E152" i="51" l="1"/>
  <c r="E115" i="51"/>
  <c r="E113" i="51"/>
  <c r="J62" i="14" l="1"/>
  <c r="I62" i="14"/>
  <c r="H62" i="14"/>
  <c r="G62" i="14"/>
  <c r="F62" i="14"/>
  <c r="I41" i="14"/>
  <c r="J41" i="14"/>
  <c r="H41" i="14"/>
  <c r="G41" i="14"/>
  <c r="F41" i="14"/>
  <c r="E41" i="14"/>
  <c r="E41" i="13"/>
  <c r="J62" i="13"/>
  <c r="I62" i="13"/>
  <c r="H62" i="13"/>
  <c r="G62" i="13"/>
  <c r="G41" i="13"/>
  <c r="F62" i="13"/>
  <c r="E8" i="43" l="1"/>
  <c r="D10" i="35" l="1"/>
  <c r="D9" i="35"/>
  <c r="T26" i="39" l="1"/>
  <c r="E17" i="39"/>
  <c r="T25" i="39"/>
  <c r="T24" i="39"/>
  <c r="T11" i="39"/>
  <c r="T12" i="39"/>
  <c r="T13" i="39"/>
  <c r="T14" i="39"/>
  <c r="T15" i="39"/>
  <c r="T16" i="39"/>
  <c r="T17" i="39"/>
  <c r="T22" i="39"/>
  <c r="T23" i="39"/>
  <c r="T10" i="39"/>
  <c r="E10" i="39"/>
  <c r="E11" i="39"/>
  <c r="E12" i="39"/>
  <c r="E22" i="39"/>
  <c r="E25" i="39"/>
  <c r="E13" i="39"/>
  <c r="E14" i="39"/>
  <c r="E15" i="39"/>
  <c r="E16" i="39"/>
  <c r="E23" i="39"/>
  <c r="E24" i="39"/>
  <c r="E26" i="39"/>
  <c r="AI17" i="39" l="1"/>
  <c r="E74" i="5"/>
  <c r="AI22" i="39"/>
  <c r="H74" i="5" s="1"/>
  <c r="AI26" i="39"/>
  <c r="AI11" i="39"/>
  <c r="U6" i="39"/>
  <c r="AI16" i="39"/>
  <c r="D22" i="39"/>
  <c r="C22" i="39"/>
  <c r="A22" i="39"/>
  <c r="A17" i="39" l="1"/>
  <c r="A23" i="39"/>
  <c r="A24" i="39"/>
  <c r="A25" i="39"/>
  <c r="A26" i="39"/>
  <c r="C26" i="39" l="1"/>
  <c r="C25" i="39"/>
  <c r="C24" i="39"/>
  <c r="C23" i="39"/>
  <c r="C17" i="39"/>
  <c r="C16" i="39"/>
  <c r="C15" i="39"/>
  <c r="C14" i="39"/>
  <c r="C13" i="39"/>
  <c r="C12" i="39"/>
  <c r="C11" i="39"/>
  <c r="C10" i="39"/>
  <c r="G10" i="15" l="1"/>
  <c r="C174" i="51" l="1"/>
  <c r="E28" i="51"/>
  <c r="E29" i="51"/>
  <c r="E31" i="51"/>
  <c r="E32" i="51"/>
  <c r="E34" i="51"/>
  <c r="E35" i="51"/>
  <c r="E37" i="51"/>
  <c r="E38" i="51"/>
  <c r="E39" i="51"/>
  <c r="E40" i="51"/>
  <c r="E45" i="51"/>
  <c r="E47" i="51"/>
  <c r="E49" i="51"/>
  <c r="E51" i="51"/>
  <c r="E53" i="51"/>
  <c r="E55" i="51"/>
  <c r="E62" i="51"/>
  <c r="E65" i="51"/>
  <c r="E66" i="51"/>
  <c r="E64" i="51"/>
  <c r="E59" i="51"/>
  <c r="E58" i="51"/>
  <c r="E57" i="51"/>
  <c r="E56" i="51"/>
  <c r="E54" i="51"/>
  <c r="E52" i="51"/>
  <c r="E50" i="51"/>
  <c r="E48" i="51"/>
  <c r="E46" i="51"/>
  <c r="E44" i="51"/>
  <c r="E43" i="51"/>
  <c r="E42" i="51"/>
  <c r="E41" i="51"/>
  <c r="E36" i="51"/>
  <c r="E33" i="51"/>
  <c r="E30" i="51"/>
  <c r="E27" i="51"/>
  <c r="E26" i="51"/>
  <c r="E25" i="51"/>
  <c r="E24" i="51"/>
  <c r="E23" i="51"/>
  <c r="E22" i="51"/>
  <c r="E21" i="51"/>
  <c r="E20" i="51"/>
  <c r="E19" i="51"/>
  <c r="I23" i="53" l="1"/>
  <c r="E137" i="51" l="1"/>
  <c r="E138" i="51"/>
  <c r="E139" i="51"/>
  <c r="E140" i="51"/>
  <c r="E141" i="51"/>
  <c r="E142" i="51"/>
  <c r="E143" i="51"/>
  <c r="E144" i="51"/>
  <c r="E145" i="51"/>
  <c r="E146" i="51"/>
  <c r="E148" i="51"/>
  <c r="E149" i="51"/>
  <c r="E150" i="51"/>
  <c r="E151" i="51"/>
  <c r="E153" i="51"/>
  <c r="E154" i="51"/>
  <c r="E155" i="51"/>
  <c r="E156" i="51"/>
  <c r="E157" i="51"/>
  <c r="E158" i="51"/>
  <c r="E160" i="51"/>
  <c r="E161" i="51"/>
  <c r="E162" i="51"/>
  <c r="E163" i="51"/>
  <c r="E164" i="51"/>
  <c r="E165" i="51"/>
  <c r="E166" i="51"/>
  <c r="E168" i="51"/>
  <c r="E169" i="51"/>
  <c r="E170" i="51"/>
  <c r="E171" i="51"/>
  <c r="E172" i="51"/>
  <c r="E136" i="51"/>
  <c r="E86" i="51"/>
  <c r="E87" i="51"/>
  <c r="E88" i="51"/>
  <c r="E89" i="51"/>
  <c r="E90" i="51"/>
  <c r="E91" i="51"/>
  <c r="E92" i="51"/>
  <c r="E93" i="51"/>
  <c r="E94" i="51"/>
  <c r="E95" i="51"/>
  <c r="E96" i="51"/>
  <c r="E97" i="51"/>
  <c r="E99" i="51"/>
  <c r="E100" i="51"/>
  <c r="E101" i="51"/>
  <c r="E102" i="51"/>
  <c r="E103" i="51"/>
  <c r="E104" i="51"/>
  <c r="E105" i="51"/>
  <c r="E106" i="51"/>
  <c r="E107" i="51"/>
  <c r="E109" i="51"/>
  <c r="E110" i="51"/>
  <c r="E111" i="51"/>
  <c r="E112" i="51"/>
  <c r="E114" i="51"/>
  <c r="E116" i="51"/>
  <c r="E117" i="51"/>
  <c r="E118" i="51"/>
  <c r="E119" i="51"/>
  <c r="E120" i="51"/>
  <c r="E122" i="51"/>
  <c r="E85" i="51"/>
  <c r="E174" i="51" l="1"/>
  <c r="AI23" i="39"/>
  <c r="H75" i="5" s="1"/>
  <c r="AI24" i="39"/>
  <c r="H76" i="5" s="1"/>
  <c r="AI25" i="39"/>
  <c r="H77" i="5" s="1"/>
  <c r="H78" i="5"/>
  <c r="D23" i="39"/>
  <c r="E75" i="5"/>
  <c r="D24" i="39"/>
  <c r="D25" i="39"/>
  <c r="D26" i="39"/>
  <c r="E78" i="5"/>
  <c r="E76" i="5"/>
  <c r="E77" i="5"/>
  <c r="I11" i="15" l="1"/>
  <c r="I10" i="15"/>
  <c r="D17" i="39" l="1"/>
  <c r="H69" i="5" l="1"/>
  <c r="E69" i="5"/>
  <c r="H10" i="15"/>
  <c r="R26" i="48"/>
  <c r="R19" i="48"/>
  <c r="A11" i="39" l="1"/>
  <c r="D11" i="39"/>
  <c r="E63" i="5"/>
  <c r="A12" i="39"/>
  <c r="D12" i="39"/>
  <c r="E64" i="5"/>
  <c r="A13" i="39"/>
  <c r="D13" i="39"/>
  <c r="AI13" i="39"/>
  <c r="H65" i="5" s="1"/>
  <c r="A14" i="39"/>
  <c r="D14" i="39"/>
  <c r="E66" i="5"/>
  <c r="A15" i="39"/>
  <c r="D15" i="39"/>
  <c r="E67" i="5"/>
  <c r="A16" i="39"/>
  <c r="D16" i="39"/>
  <c r="E68" i="5"/>
  <c r="H63" i="5" l="1"/>
  <c r="E65" i="5"/>
  <c r="AI15" i="39"/>
  <c r="H67" i="5" s="1"/>
  <c r="AI12" i="39"/>
  <c r="H64" i="5" s="1"/>
  <c r="H68" i="5"/>
  <c r="AI14" i="39"/>
  <c r="H66" i="5" s="1"/>
  <c r="I264" i="1"/>
  <c r="D16" i="1" s="1"/>
  <c r="I17" i="53"/>
  <c r="I262" i="1" s="1"/>
  <c r="D15" i="1" s="1"/>
  <c r="I11" i="53"/>
  <c r="I260" i="1" s="1"/>
  <c r="D14" i="1" s="1"/>
  <c r="D8" i="35"/>
  <c r="D171" i="1" s="1"/>
  <c r="I54" i="31" s="1"/>
  <c r="D66" i="52"/>
  <c r="C66" i="52"/>
  <c r="D65" i="52"/>
  <c r="C65" i="52"/>
  <c r="E65" i="52" s="1"/>
  <c r="E62" i="52"/>
  <c r="H62" i="52" s="1"/>
  <c r="E61" i="52"/>
  <c r="H61" i="52" s="1"/>
  <c r="E60" i="52"/>
  <c r="E59" i="52"/>
  <c r="E58" i="52"/>
  <c r="E57" i="52"/>
  <c r="E56" i="52"/>
  <c r="E55" i="52"/>
  <c r="A54" i="52"/>
  <c r="A53" i="52"/>
  <c r="D52" i="52"/>
  <c r="C52" i="52"/>
  <c r="E51" i="52"/>
  <c r="H51" i="52" s="1"/>
  <c r="E50" i="52"/>
  <c r="H50" i="52" s="1"/>
  <c r="E49" i="52"/>
  <c r="E48" i="52"/>
  <c r="E47" i="52"/>
  <c r="E46" i="52"/>
  <c r="E45" i="52"/>
  <c r="E44" i="52"/>
  <c r="A43" i="52"/>
  <c r="A42" i="52"/>
  <c r="D41" i="52"/>
  <c r="C41" i="52"/>
  <c r="E40" i="52"/>
  <c r="H40" i="52" s="1"/>
  <c r="E39" i="52"/>
  <c r="H39" i="52" s="1"/>
  <c r="E38" i="52"/>
  <c r="E37" i="52"/>
  <c r="E36" i="52"/>
  <c r="E35" i="52"/>
  <c r="E34" i="52"/>
  <c r="E33" i="52"/>
  <c r="A32" i="52"/>
  <c r="A31" i="52"/>
  <c r="D30" i="52"/>
  <c r="C30" i="52"/>
  <c r="E29" i="52"/>
  <c r="H29" i="52" s="1"/>
  <c r="E28" i="52"/>
  <c r="H28" i="52" s="1"/>
  <c r="E27" i="52"/>
  <c r="E26" i="52"/>
  <c r="E25" i="52"/>
  <c r="A24" i="52"/>
  <c r="A23" i="52"/>
  <c r="D22" i="52"/>
  <c r="C22" i="52"/>
  <c r="E21" i="52"/>
  <c r="H21" i="52" s="1"/>
  <c r="E20" i="52"/>
  <c r="H20" i="52" s="1"/>
  <c r="E19" i="52"/>
  <c r="D17" i="52"/>
  <c r="C17" i="52"/>
  <c r="E12" i="52"/>
  <c r="D97" i="1" s="1"/>
  <c r="E11" i="52"/>
  <c r="D96" i="1" s="1"/>
  <c r="A11" i="52"/>
  <c r="A12" i="52" s="1"/>
  <c r="E10" i="52"/>
  <c r="D92" i="1" s="1"/>
  <c r="O26" i="48"/>
  <c r="Q26" i="48" s="1"/>
  <c r="O19" i="48"/>
  <c r="Q19" i="48" s="1"/>
  <c r="E70" i="51"/>
  <c r="E69" i="51"/>
  <c r="E68" i="51"/>
  <c r="E67" i="51"/>
  <c r="D14" i="51"/>
  <c r="C14" i="51"/>
  <c r="F68" i="50"/>
  <c r="F71" i="50" s="1"/>
  <c r="F38" i="50"/>
  <c r="F67" i="1"/>
  <c r="F148" i="1" s="1"/>
  <c r="A25" i="48"/>
  <c r="A18" i="48"/>
  <c r="A11" i="48"/>
  <c r="O12" i="48"/>
  <c r="I30" i="48"/>
  <c r="G30" i="48"/>
  <c r="E30" i="48"/>
  <c r="C30" i="48"/>
  <c r="A30" i="48"/>
  <c r="M33" i="48" s="1"/>
  <c r="I26" i="48"/>
  <c r="G26" i="48"/>
  <c r="E26" i="48"/>
  <c r="C26" i="48"/>
  <c r="I19" i="48"/>
  <c r="G19" i="48"/>
  <c r="E19" i="48"/>
  <c r="C19" i="48"/>
  <c r="G12" i="48"/>
  <c r="E12" i="48"/>
  <c r="C12" i="48"/>
  <c r="I36" i="1"/>
  <c r="D10" i="39"/>
  <c r="A10" i="39"/>
  <c r="D10" i="49"/>
  <c r="C38" i="49"/>
  <c r="C39" i="49" s="1"/>
  <c r="C40" i="49" s="1"/>
  <c r="C41" i="49" s="1"/>
  <c r="C42" i="49" s="1"/>
  <c r="C43" i="49" s="1"/>
  <c r="C44" i="49" s="1"/>
  <c r="C45" i="49" s="1"/>
  <c r="C46" i="49" s="1"/>
  <c r="C47" i="49" s="1"/>
  <c r="C48" i="49" s="1"/>
  <c r="A34" i="49"/>
  <c r="A37" i="49" s="1"/>
  <c r="A38" i="49" s="1"/>
  <c r="A39" i="49" s="1"/>
  <c r="A40" i="49" s="1"/>
  <c r="A41" i="49" s="1"/>
  <c r="A42" i="49" s="1"/>
  <c r="A43" i="49" s="1"/>
  <c r="A44" i="49" s="1"/>
  <c r="A45" i="49" s="1"/>
  <c r="A46" i="49" s="1"/>
  <c r="A47" i="49" s="1"/>
  <c r="A48" i="49" s="1"/>
  <c r="F20" i="49"/>
  <c r="F21" i="49" s="1"/>
  <c r="F22" i="49" s="1"/>
  <c r="F23" i="49" s="1"/>
  <c r="F24" i="49" s="1"/>
  <c r="F25" i="49" s="1"/>
  <c r="F26" i="49" s="1"/>
  <c r="F27" i="49" s="1"/>
  <c r="F28" i="49" s="1"/>
  <c r="F29" i="49" s="1"/>
  <c r="F30" i="49" s="1"/>
  <c r="C20" i="49"/>
  <c r="C21" i="49" s="1"/>
  <c r="C22" i="49" s="1"/>
  <c r="C23" i="49" s="1"/>
  <c r="C24" i="49" s="1"/>
  <c r="C25" i="49" s="1"/>
  <c r="C26" i="49" s="1"/>
  <c r="C27" i="49" s="1"/>
  <c r="C28" i="49" s="1"/>
  <c r="C29" i="49" s="1"/>
  <c r="C30" i="49" s="1"/>
  <c r="E19" i="49"/>
  <c r="E20" i="49" s="1"/>
  <c r="E10" i="49"/>
  <c r="C10" i="49"/>
  <c r="J3" i="49"/>
  <c r="H3" i="52" s="1"/>
  <c r="J20" i="13"/>
  <c r="J19" i="13"/>
  <c r="J18" i="13"/>
  <c r="J17" i="13"/>
  <c r="J16" i="13"/>
  <c r="J15" i="13"/>
  <c r="J14" i="13"/>
  <c r="J13" i="13"/>
  <c r="J12" i="13"/>
  <c r="J11" i="13"/>
  <c r="J10" i="13"/>
  <c r="J9" i="13"/>
  <c r="J8" i="13"/>
  <c r="I20" i="13"/>
  <c r="I19" i="13"/>
  <c r="I18" i="13"/>
  <c r="I17" i="13"/>
  <c r="I16" i="13"/>
  <c r="I15" i="13"/>
  <c r="I14" i="13"/>
  <c r="I13" i="13"/>
  <c r="I12" i="13"/>
  <c r="I11" i="13"/>
  <c r="I10" i="13"/>
  <c r="I9" i="13"/>
  <c r="I8" i="13"/>
  <c r="H20" i="13"/>
  <c r="H19" i="13"/>
  <c r="H18" i="13"/>
  <c r="H17" i="13"/>
  <c r="H16" i="13"/>
  <c r="H15" i="13"/>
  <c r="H14" i="13"/>
  <c r="H13" i="13"/>
  <c r="H12" i="13"/>
  <c r="H11" i="13"/>
  <c r="H10" i="13"/>
  <c r="H9" i="13"/>
  <c r="H8" i="13"/>
  <c r="G20" i="13"/>
  <c r="G19" i="13"/>
  <c r="G18" i="13"/>
  <c r="G17" i="13"/>
  <c r="G16" i="13"/>
  <c r="G15" i="13"/>
  <c r="G14" i="13"/>
  <c r="G13" i="13"/>
  <c r="G12" i="13"/>
  <c r="G11" i="13"/>
  <c r="G10" i="13"/>
  <c r="G9" i="13"/>
  <c r="G8" i="13"/>
  <c r="E20" i="13"/>
  <c r="E19" i="13"/>
  <c r="E18" i="13"/>
  <c r="E17" i="13"/>
  <c r="E16" i="13"/>
  <c r="E15" i="13"/>
  <c r="E14" i="13"/>
  <c r="E13" i="13"/>
  <c r="E12" i="13"/>
  <c r="E11" i="13"/>
  <c r="E10" i="13"/>
  <c r="E9" i="13"/>
  <c r="E8" i="13"/>
  <c r="F20" i="13"/>
  <c r="F19" i="13"/>
  <c r="F18" i="13"/>
  <c r="F17" i="13"/>
  <c r="F16" i="13"/>
  <c r="F15" i="13"/>
  <c r="F14" i="13"/>
  <c r="F13" i="13"/>
  <c r="F12" i="13"/>
  <c r="F11" i="13"/>
  <c r="F10" i="13"/>
  <c r="F9" i="13"/>
  <c r="F8" i="13"/>
  <c r="J20" i="14"/>
  <c r="J19" i="14"/>
  <c r="J18" i="14"/>
  <c r="J17" i="14"/>
  <c r="J16" i="14"/>
  <c r="J15" i="14"/>
  <c r="J14" i="14"/>
  <c r="J13" i="14"/>
  <c r="J12" i="14"/>
  <c r="J11" i="14"/>
  <c r="J10" i="14"/>
  <c r="J9" i="14"/>
  <c r="J8" i="14"/>
  <c r="I20" i="14"/>
  <c r="I19" i="14"/>
  <c r="I18" i="14"/>
  <c r="I17" i="14"/>
  <c r="I16" i="14"/>
  <c r="I15" i="14"/>
  <c r="I14" i="14"/>
  <c r="I13" i="14"/>
  <c r="I12" i="14"/>
  <c r="I11" i="14"/>
  <c r="I10" i="14"/>
  <c r="I9" i="14"/>
  <c r="I8" i="14"/>
  <c r="H20" i="14"/>
  <c r="H19" i="14"/>
  <c r="H18" i="14"/>
  <c r="H17" i="14"/>
  <c r="H16" i="14"/>
  <c r="H15" i="14"/>
  <c r="H14" i="14"/>
  <c r="H13" i="14"/>
  <c r="H12" i="14"/>
  <c r="H11" i="14"/>
  <c r="H10" i="14"/>
  <c r="H9" i="14"/>
  <c r="H8" i="14"/>
  <c r="G20" i="14"/>
  <c r="G19" i="14"/>
  <c r="G18" i="14"/>
  <c r="G17" i="14"/>
  <c r="G16" i="14"/>
  <c r="G15" i="14"/>
  <c r="G14" i="14"/>
  <c r="G13" i="14"/>
  <c r="G12" i="14"/>
  <c r="G11" i="14"/>
  <c r="G10" i="14"/>
  <c r="G9" i="14"/>
  <c r="G8" i="14"/>
  <c r="E20" i="14"/>
  <c r="E19" i="14"/>
  <c r="E18" i="14"/>
  <c r="E17" i="14"/>
  <c r="E16" i="14"/>
  <c r="E15" i="14"/>
  <c r="E14" i="14"/>
  <c r="E13" i="14"/>
  <c r="E12" i="14"/>
  <c r="E11" i="14"/>
  <c r="E10" i="14"/>
  <c r="E9" i="14"/>
  <c r="E8" i="14"/>
  <c r="K279" i="1"/>
  <c r="K44" i="1"/>
  <c r="K119" i="1" s="1"/>
  <c r="K202" i="1" s="1"/>
  <c r="K276" i="1" s="1"/>
  <c r="AI1" i="39"/>
  <c r="R18" i="47"/>
  <c r="R14" i="47"/>
  <c r="R9" i="47"/>
  <c r="D275" i="38"/>
  <c r="D276" i="38"/>
  <c r="D277" i="38"/>
  <c r="E277" i="38" s="1"/>
  <c r="H277" i="38" s="1"/>
  <c r="D278" i="38"/>
  <c r="E278" i="38" s="1"/>
  <c r="H278" i="38" s="1"/>
  <c r="D279" i="38"/>
  <c r="D280" i="38"/>
  <c r="D281" i="38"/>
  <c r="D274" i="38"/>
  <c r="C13" i="40"/>
  <c r="C14" i="40" s="1"/>
  <c r="C7" i="40"/>
  <c r="D341" i="38"/>
  <c r="D349" i="38" s="1"/>
  <c r="D342" i="38"/>
  <c r="D343" i="38"/>
  <c r="D344" i="38"/>
  <c r="D345" i="38"/>
  <c r="D346" i="38"/>
  <c r="D347" i="38"/>
  <c r="C341" i="38"/>
  <c r="C342" i="38"/>
  <c r="E342" i="38" s="1"/>
  <c r="H342" i="38" s="1"/>
  <c r="C343" i="38"/>
  <c r="C344" i="38"/>
  <c r="C345" i="38"/>
  <c r="C346" i="38"/>
  <c r="E346" i="38" s="1"/>
  <c r="H346" i="38" s="1"/>
  <c r="C347" i="38"/>
  <c r="E347" i="38" s="1"/>
  <c r="H347" i="38" s="1"/>
  <c r="D340" i="38"/>
  <c r="C340" i="38"/>
  <c r="H329" i="38"/>
  <c r="H328" i="38"/>
  <c r="H327" i="38"/>
  <c r="H326" i="38"/>
  <c r="H325" i="38"/>
  <c r="H324" i="38"/>
  <c r="H323" i="38"/>
  <c r="H322" i="38"/>
  <c r="H321" i="38"/>
  <c r="H313" i="38"/>
  <c r="H312" i="38"/>
  <c r="H311" i="38"/>
  <c r="H310" i="38"/>
  <c r="H309" i="38"/>
  <c r="H308" i="38"/>
  <c r="H307" i="38"/>
  <c r="H306" i="38"/>
  <c r="H305" i="38"/>
  <c r="D330" i="38"/>
  <c r="J330" i="38"/>
  <c r="F16" i="38" s="1"/>
  <c r="I330" i="38"/>
  <c r="D16" i="38" s="1"/>
  <c r="G330" i="38"/>
  <c r="J314" i="38"/>
  <c r="E16" i="38" s="1"/>
  <c r="I314" i="38"/>
  <c r="C16" i="38" s="1"/>
  <c r="G314" i="38"/>
  <c r="C314" i="38"/>
  <c r="C275" i="38"/>
  <c r="C276" i="38"/>
  <c r="C277" i="38"/>
  <c r="C278" i="38"/>
  <c r="C279" i="38"/>
  <c r="C280" i="38"/>
  <c r="E280" i="38" s="1"/>
  <c r="H280" i="38" s="1"/>
  <c r="C281" i="38"/>
  <c r="C274" i="38"/>
  <c r="E274" i="38" s="1"/>
  <c r="H274" i="38" s="1"/>
  <c r="H263" i="38"/>
  <c r="H262" i="38"/>
  <c r="H261" i="38"/>
  <c r="H260" i="38"/>
  <c r="H259" i="38"/>
  <c r="H258" i="38"/>
  <c r="H257" i="38"/>
  <c r="H256" i="38"/>
  <c r="H255" i="38"/>
  <c r="J264" i="38"/>
  <c r="F15" i="38" s="1"/>
  <c r="I264" i="38"/>
  <c r="D15" i="38" s="1"/>
  <c r="G264" i="38"/>
  <c r="C264" i="38"/>
  <c r="H247" i="38"/>
  <c r="H246" i="38"/>
  <c r="H245" i="38"/>
  <c r="H244" i="38"/>
  <c r="H243" i="38"/>
  <c r="H242" i="38"/>
  <c r="H241" i="38"/>
  <c r="H240" i="38"/>
  <c r="H239" i="38"/>
  <c r="J248" i="38"/>
  <c r="E15" i="38" s="1"/>
  <c r="I248" i="38"/>
  <c r="C15" i="38" s="1"/>
  <c r="G248" i="38"/>
  <c r="C248" i="38"/>
  <c r="C208" i="38"/>
  <c r="E208" i="38" s="1"/>
  <c r="H208" i="38" s="1"/>
  <c r="D208" i="38"/>
  <c r="C209" i="38"/>
  <c r="D209" i="38"/>
  <c r="C210" i="38"/>
  <c r="D210" i="38"/>
  <c r="C211" i="38"/>
  <c r="D211" i="38"/>
  <c r="E211" i="38" s="1"/>
  <c r="H211" i="38" s="1"/>
  <c r="C212" i="38"/>
  <c r="D212" i="38"/>
  <c r="C213" i="38"/>
  <c r="D213" i="38"/>
  <c r="E213" i="38" s="1"/>
  <c r="H213" i="38" s="1"/>
  <c r="C214" i="38"/>
  <c r="E214" i="38" s="1"/>
  <c r="H214" i="38" s="1"/>
  <c r="D214" i="38"/>
  <c r="C215" i="38"/>
  <c r="D215" i="38"/>
  <c r="E215" i="38" s="1"/>
  <c r="H215" i="38" s="1"/>
  <c r="C216" i="38"/>
  <c r="E216" i="38" s="1"/>
  <c r="H216" i="38" s="1"/>
  <c r="D216" i="38"/>
  <c r="C217" i="38"/>
  <c r="D217" i="38"/>
  <c r="D207" i="38"/>
  <c r="D219" i="38" s="1"/>
  <c r="C207" i="38"/>
  <c r="H196" i="38"/>
  <c r="H195" i="38"/>
  <c r="H194" i="38"/>
  <c r="H193" i="38"/>
  <c r="H192" i="38"/>
  <c r="H191" i="38"/>
  <c r="H190" i="38"/>
  <c r="H189" i="38"/>
  <c r="H188" i="38"/>
  <c r="H187" i="38"/>
  <c r="H186" i="38"/>
  <c r="H185" i="38"/>
  <c r="D197" i="38"/>
  <c r="J197" i="38"/>
  <c r="F13" i="38" s="1"/>
  <c r="I197" i="38"/>
  <c r="D13" i="38" s="1"/>
  <c r="G197" i="38"/>
  <c r="C197" i="38"/>
  <c r="H177" i="38"/>
  <c r="H176" i="38"/>
  <c r="H175" i="38"/>
  <c r="H174" i="38"/>
  <c r="H173" i="38"/>
  <c r="H172" i="38"/>
  <c r="H171" i="38"/>
  <c r="H170" i="38"/>
  <c r="H169" i="38"/>
  <c r="H168" i="38"/>
  <c r="H167" i="38"/>
  <c r="H166" i="38"/>
  <c r="J178" i="38"/>
  <c r="E13" i="38" s="1"/>
  <c r="I178" i="38"/>
  <c r="C13" i="38" s="1"/>
  <c r="G178" i="38"/>
  <c r="C178" i="38"/>
  <c r="D137" i="38"/>
  <c r="D138" i="38"/>
  <c r="D139" i="38"/>
  <c r="D140" i="38"/>
  <c r="D141" i="38"/>
  <c r="D142" i="38"/>
  <c r="D143" i="38"/>
  <c r="D144" i="38"/>
  <c r="C137" i="38"/>
  <c r="E137" i="38" s="1"/>
  <c r="H137" i="38" s="1"/>
  <c r="C138" i="38"/>
  <c r="E138" i="38" s="1"/>
  <c r="H138" i="38" s="1"/>
  <c r="C139" i="38"/>
  <c r="E139" i="38" s="1"/>
  <c r="H139" i="38" s="1"/>
  <c r="C140" i="38"/>
  <c r="C141" i="38"/>
  <c r="E141" i="38" s="1"/>
  <c r="H141" i="38" s="1"/>
  <c r="C142" i="38"/>
  <c r="E142" i="38" s="1"/>
  <c r="H142" i="38" s="1"/>
  <c r="C143" i="38"/>
  <c r="C144" i="38"/>
  <c r="D136" i="38"/>
  <c r="C136" i="38"/>
  <c r="E136" i="38" s="1"/>
  <c r="H136" i="38" s="1"/>
  <c r="D126" i="38"/>
  <c r="H124" i="38"/>
  <c r="H123" i="38"/>
  <c r="H122" i="38"/>
  <c r="H121" i="38"/>
  <c r="H120" i="38"/>
  <c r="H119" i="38"/>
  <c r="H118" i="38"/>
  <c r="H117" i="38"/>
  <c r="H116" i="38"/>
  <c r="J126" i="38"/>
  <c r="F12" i="38"/>
  <c r="I126" i="38"/>
  <c r="D12" i="38" s="1"/>
  <c r="G126" i="38"/>
  <c r="F126" i="38"/>
  <c r="H106" i="38"/>
  <c r="H105" i="38"/>
  <c r="H104" i="38"/>
  <c r="H103" i="38"/>
  <c r="H102" i="38"/>
  <c r="H101" i="38"/>
  <c r="H100" i="38"/>
  <c r="H99" i="38"/>
  <c r="H98" i="38"/>
  <c r="J108" i="38"/>
  <c r="E12" i="38" s="1"/>
  <c r="I108" i="38"/>
  <c r="C12" i="38"/>
  <c r="G108" i="38"/>
  <c r="F108" i="38"/>
  <c r="C108" i="38"/>
  <c r="D70" i="38"/>
  <c r="D71" i="38"/>
  <c r="D72" i="38"/>
  <c r="D73" i="38"/>
  <c r="D74" i="38"/>
  <c r="D75" i="38"/>
  <c r="D76" i="38"/>
  <c r="D69" i="38"/>
  <c r="C76" i="38"/>
  <c r="E76" i="38" s="1"/>
  <c r="H76" i="38" s="1"/>
  <c r="C70" i="38"/>
  <c r="E70" i="38" s="1"/>
  <c r="H70" i="38" s="1"/>
  <c r="C71" i="38"/>
  <c r="C72" i="38"/>
  <c r="C73" i="38"/>
  <c r="E73" i="38" s="1"/>
  <c r="H73" i="38" s="1"/>
  <c r="C74" i="38"/>
  <c r="C75" i="38"/>
  <c r="C69" i="38"/>
  <c r="E69" i="38" s="1"/>
  <c r="J77" i="38"/>
  <c r="I77" i="38"/>
  <c r="F77" i="38"/>
  <c r="H61" i="38"/>
  <c r="G60" i="38"/>
  <c r="G59" i="38"/>
  <c r="G62" i="38" s="1"/>
  <c r="H55" i="38"/>
  <c r="H56" i="38"/>
  <c r="H57" i="38"/>
  <c r="H58" i="38"/>
  <c r="H54" i="38"/>
  <c r="H46" i="38"/>
  <c r="G45" i="38"/>
  <c r="G44" i="38"/>
  <c r="G47" i="38" s="1"/>
  <c r="H40" i="38"/>
  <c r="H41" i="38"/>
  <c r="H42" i="38"/>
  <c r="H43" i="38"/>
  <c r="H39" i="38"/>
  <c r="J62" i="38"/>
  <c r="F14" i="38"/>
  <c r="I62" i="38"/>
  <c r="D14" i="38" s="1"/>
  <c r="F62" i="38"/>
  <c r="D62" i="38"/>
  <c r="C62" i="38"/>
  <c r="J10" i="22"/>
  <c r="J11" i="22"/>
  <c r="J12" i="22"/>
  <c r="J13" i="22"/>
  <c r="J14" i="22"/>
  <c r="J15" i="22"/>
  <c r="J16" i="22"/>
  <c r="J17" i="22"/>
  <c r="J18" i="22"/>
  <c r="J19" i="22"/>
  <c r="J20" i="22"/>
  <c r="J21" i="22"/>
  <c r="J9" i="22"/>
  <c r="A34" i="25"/>
  <c r="A37" i="25" s="1"/>
  <c r="A38" i="25" s="1"/>
  <c r="A39" i="25" s="1"/>
  <c r="A40" i="25" s="1"/>
  <c r="A41" i="25" s="1"/>
  <c r="A42" i="25" s="1"/>
  <c r="A43" i="25" s="1"/>
  <c r="A44" i="25" s="1"/>
  <c r="A45" i="25" s="1"/>
  <c r="A46" i="25" s="1"/>
  <c r="A47" i="25" s="1"/>
  <c r="A48" i="25" s="1"/>
  <c r="A1" i="47"/>
  <c r="A19" i="47"/>
  <c r="G18" i="47"/>
  <c r="E18" i="47"/>
  <c r="C18" i="47"/>
  <c r="I18" i="47"/>
  <c r="L11" i="47"/>
  <c r="L19" i="47" s="1"/>
  <c r="I11" i="47"/>
  <c r="I14" i="47" s="1"/>
  <c r="I19" i="47"/>
  <c r="I22" i="47" s="1"/>
  <c r="G11" i="47"/>
  <c r="G14" i="47" s="1"/>
  <c r="E11" i="47"/>
  <c r="C11" i="47"/>
  <c r="C14" i="47" s="1"/>
  <c r="G9" i="47"/>
  <c r="C9" i="47"/>
  <c r="C19" i="47"/>
  <c r="C22" i="47"/>
  <c r="A14" i="47"/>
  <c r="E9" i="47"/>
  <c r="I9" i="47"/>
  <c r="D6" i="47"/>
  <c r="A18" i="47"/>
  <c r="M15" i="47"/>
  <c r="D15" i="47"/>
  <c r="F15" i="47" s="1"/>
  <c r="H15" i="47" s="1"/>
  <c r="J15" i="47" s="1"/>
  <c r="M6" i="47"/>
  <c r="A9" i="47"/>
  <c r="E8" i="44"/>
  <c r="D8" i="44"/>
  <c r="D9" i="44" s="1"/>
  <c r="D10" i="44" s="1"/>
  <c r="D11" i="44" s="1"/>
  <c r="D12" i="44" s="1"/>
  <c r="D13" i="44" s="1"/>
  <c r="D14" i="44" s="1"/>
  <c r="D15" i="44" s="1"/>
  <c r="D16" i="44" s="1"/>
  <c r="D17" i="44" s="1"/>
  <c r="D18" i="44" s="1"/>
  <c r="D19" i="44" s="1"/>
  <c r="A7" i="44"/>
  <c r="A8" i="44" s="1"/>
  <c r="A9" i="44" s="1"/>
  <c r="A10" i="44" s="1"/>
  <c r="A11" i="44" s="1"/>
  <c r="A12" i="44"/>
  <c r="A13" i="44" s="1"/>
  <c r="A14" i="44" s="1"/>
  <c r="A15" i="44" s="1"/>
  <c r="A16" i="44" s="1"/>
  <c r="A17" i="44" s="1"/>
  <c r="A18" i="44" s="1"/>
  <c r="A19" i="44" s="1"/>
  <c r="D8" i="43"/>
  <c r="A7" i="43"/>
  <c r="A8" i="43" s="1"/>
  <c r="A9" i="43" s="1"/>
  <c r="A10" i="43" s="1"/>
  <c r="A11" i="43" s="1"/>
  <c r="A12" i="43" s="1"/>
  <c r="A13" i="43" s="1"/>
  <c r="A14" i="43" s="1"/>
  <c r="A15" i="43" s="1"/>
  <c r="A16" i="43" s="1"/>
  <c r="A17" i="43" s="1"/>
  <c r="A18" i="43" s="1"/>
  <c r="A19" i="43" s="1"/>
  <c r="G232" i="1"/>
  <c r="G231" i="1"/>
  <c r="G229" i="1"/>
  <c r="E279" i="38"/>
  <c r="H279" i="38" s="1"/>
  <c r="C19" i="15"/>
  <c r="C20" i="15" s="1"/>
  <c r="C48" i="14"/>
  <c r="C49" i="14" s="1"/>
  <c r="C50" i="14" s="1"/>
  <c r="C51" i="14" s="1"/>
  <c r="C52" i="14" s="1"/>
  <c r="C53" i="14" s="1"/>
  <c r="C54" i="14" s="1"/>
  <c r="C55" i="14" s="1"/>
  <c r="C56" i="14" s="1"/>
  <c r="C57" i="14" s="1"/>
  <c r="C58" i="14" s="1"/>
  <c r="C59" i="14" s="1"/>
  <c r="C60" i="14" s="1"/>
  <c r="C27" i="14"/>
  <c r="C28" i="14" s="1"/>
  <c r="C29" i="14" s="1"/>
  <c r="C30" i="14" s="1"/>
  <c r="C31" i="14" s="1"/>
  <c r="C32" i="14" s="1"/>
  <c r="C33" i="14" s="1"/>
  <c r="C34" i="14" s="1"/>
  <c r="C35" i="14" s="1"/>
  <c r="C36" i="14" s="1"/>
  <c r="C37" i="14" s="1"/>
  <c r="C38" i="14" s="1"/>
  <c r="C39" i="14" s="1"/>
  <c r="C48" i="13"/>
  <c r="C49" i="13" s="1"/>
  <c r="C50" i="13" s="1"/>
  <c r="C51" i="13" s="1"/>
  <c r="C52" i="13" s="1"/>
  <c r="C53" i="13" s="1"/>
  <c r="C54" i="13" s="1"/>
  <c r="C55" i="13" s="1"/>
  <c r="C56" i="13" s="1"/>
  <c r="C57" i="13" s="1"/>
  <c r="C58" i="13" s="1"/>
  <c r="C59" i="13" s="1"/>
  <c r="C60" i="13" s="1"/>
  <c r="C27" i="13"/>
  <c r="C28" i="13" s="1"/>
  <c r="C29" i="13" s="1"/>
  <c r="C30" i="13" s="1"/>
  <c r="C31" i="13" s="1"/>
  <c r="C32" i="13" s="1"/>
  <c r="C33" i="13" s="1"/>
  <c r="C34" i="13" s="1"/>
  <c r="C35" i="13" s="1"/>
  <c r="C36" i="13" s="1"/>
  <c r="C37" i="13" s="1"/>
  <c r="C38" i="13" s="1"/>
  <c r="C39" i="13" s="1"/>
  <c r="G6" i="39"/>
  <c r="V6" i="39" s="1"/>
  <c r="I19" i="31"/>
  <c r="O53" i="42"/>
  <c r="M53" i="42"/>
  <c r="K53" i="42"/>
  <c r="I53" i="42"/>
  <c r="Y50" i="42"/>
  <c r="Y47" i="42"/>
  <c r="K27" i="42"/>
  <c r="I27" i="42"/>
  <c r="G27" i="42"/>
  <c r="M26" i="42"/>
  <c r="Q26" i="42"/>
  <c r="I26" i="42"/>
  <c r="D27" i="42" s="1"/>
  <c r="E8" i="41"/>
  <c r="D8" i="41"/>
  <c r="D9" i="41" s="1"/>
  <c r="D10" i="41" s="1"/>
  <c r="D11" i="41" s="1"/>
  <c r="D12" i="41" s="1"/>
  <c r="D13" i="41" s="1"/>
  <c r="D14" i="41" s="1"/>
  <c r="D15" i="41" s="1"/>
  <c r="D16" i="41" s="1"/>
  <c r="D17" i="41" s="1"/>
  <c r="D18" i="41" s="1"/>
  <c r="D19" i="41" s="1"/>
  <c r="A7" i="41"/>
  <c r="A8" i="41" s="1"/>
  <c r="A9" i="41" s="1"/>
  <c r="A10" i="41" s="1"/>
  <c r="A11" i="41" s="1"/>
  <c r="A12" i="41" s="1"/>
  <c r="A13" i="41" s="1"/>
  <c r="A14" i="41" s="1"/>
  <c r="A15" i="41" s="1"/>
  <c r="A16" i="41" s="1"/>
  <c r="A17" i="41" s="1"/>
  <c r="A18" i="41" s="1"/>
  <c r="A19" i="41" s="1"/>
  <c r="C20" i="41" s="1"/>
  <c r="E343" i="38"/>
  <c r="H343" i="38" s="1"/>
  <c r="E209" i="38"/>
  <c r="H209" i="38" s="1"/>
  <c r="E34" i="40"/>
  <c r="E40" i="40" s="1"/>
  <c r="E33" i="40"/>
  <c r="E39" i="40" s="1"/>
  <c r="G41" i="40"/>
  <c r="H41" i="40"/>
  <c r="F41" i="40"/>
  <c r="G35" i="40"/>
  <c r="H35" i="40"/>
  <c r="F35" i="40"/>
  <c r="G28" i="40"/>
  <c r="H28" i="40"/>
  <c r="F28" i="40"/>
  <c r="A1" i="40"/>
  <c r="E11" i="15"/>
  <c r="E10" i="15"/>
  <c r="T1" i="39"/>
  <c r="S47" i="5"/>
  <c r="S3" i="5"/>
  <c r="S49" i="5" s="1"/>
  <c r="AI10" i="39"/>
  <c r="H62" i="5" s="1"/>
  <c r="E62" i="5"/>
  <c r="J349" i="38"/>
  <c r="I349" i="38"/>
  <c r="G349" i="38"/>
  <c r="D337" i="38"/>
  <c r="C268" i="38"/>
  <c r="C334" i="38" s="1"/>
  <c r="J283" i="38"/>
  <c r="I283" i="38"/>
  <c r="G283" i="38"/>
  <c r="D271" i="38"/>
  <c r="C33" i="38"/>
  <c r="C129" i="38"/>
  <c r="C160" i="38"/>
  <c r="C201" i="38"/>
  <c r="C233" i="38" s="1"/>
  <c r="A1" i="38"/>
  <c r="J219" i="38"/>
  <c r="I219" i="38"/>
  <c r="D204" i="38"/>
  <c r="J146" i="38"/>
  <c r="I146" i="38"/>
  <c r="G146" i="38"/>
  <c r="F146" i="38"/>
  <c r="D132" i="38"/>
  <c r="J47" i="38"/>
  <c r="E14" i="38"/>
  <c r="I47" i="38"/>
  <c r="C14" i="38" s="1"/>
  <c r="F47" i="38"/>
  <c r="D47" i="38"/>
  <c r="C47" i="38"/>
  <c r="A13" i="38"/>
  <c r="A14" i="38" s="1"/>
  <c r="C299" i="38"/>
  <c r="G219" i="38"/>
  <c r="E8" i="36"/>
  <c r="D8" i="36"/>
  <c r="D9" i="36" s="1"/>
  <c r="D10" i="36" s="1"/>
  <c r="D11" i="36" s="1"/>
  <c r="D12" i="36" s="1"/>
  <c r="D13" i="36" s="1"/>
  <c r="D14" i="36" s="1"/>
  <c r="D15" i="36" s="1"/>
  <c r="D16" i="36" s="1"/>
  <c r="D17" i="36" s="1"/>
  <c r="D18" i="36" s="1"/>
  <c r="D19" i="36" s="1"/>
  <c r="A7" i="36"/>
  <c r="A8" i="36"/>
  <c r="A9" i="36"/>
  <c r="A10" i="36" s="1"/>
  <c r="A11" i="36" s="1"/>
  <c r="A12" i="36" s="1"/>
  <c r="A13" i="36" s="1"/>
  <c r="A14" i="36" s="1"/>
  <c r="A15" i="36" s="1"/>
  <c r="A16" i="36" s="1"/>
  <c r="A17" i="36" s="1"/>
  <c r="A18" i="36" s="1"/>
  <c r="A19" i="36" s="1"/>
  <c r="F9" i="14"/>
  <c r="F10" i="14"/>
  <c r="F11" i="14"/>
  <c r="F12" i="14"/>
  <c r="F13" i="14"/>
  <c r="F14" i="14"/>
  <c r="F15" i="14"/>
  <c r="F16" i="14"/>
  <c r="F17" i="14"/>
  <c r="F18" i="14"/>
  <c r="F19" i="14"/>
  <c r="F20" i="14"/>
  <c r="F8" i="14"/>
  <c r="C9" i="14"/>
  <c r="C10" i="14" s="1"/>
  <c r="C11" i="14" s="1"/>
  <c r="C12" i="14" s="1"/>
  <c r="C13" i="14" s="1"/>
  <c r="C14" i="14" s="1"/>
  <c r="C15" i="14" s="1"/>
  <c r="C16" i="14" s="1"/>
  <c r="C17" i="14" s="1"/>
  <c r="C18" i="14" s="1"/>
  <c r="C19" i="14" s="1"/>
  <c r="C20" i="14" s="1"/>
  <c r="C9" i="13"/>
  <c r="C10" i="13" s="1"/>
  <c r="C11" i="13" s="1"/>
  <c r="C12" i="13" s="1"/>
  <c r="C13" i="13" s="1"/>
  <c r="C14" i="13" s="1"/>
  <c r="C15" i="13" s="1"/>
  <c r="C16" i="13" s="1"/>
  <c r="C17" i="13" s="1"/>
  <c r="C18" i="13" s="1"/>
  <c r="C19" i="13" s="1"/>
  <c r="C20" i="13" s="1"/>
  <c r="E10" i="33"/>
  <c r="E12" i="33" s="1"/>
  <c r="E14" i="33" s="1"/>
  <c r="D138" i="1" s="1"/>
  <c r="A7" i="33"/>
  <c r="A8" i="33" s="1"/>
  <c r="A9" i="33" s="1"/>
  <c r="A10" i="33" s="1"/>
  <c r="A11" i="33" s="1"/>
  <c r="A12" i="33" s="1"/>
  <c r="A13" i="33" s="1"/>
  <c r="A14" i="33" s="1"/>
  <c r="E22" i="32"/>
  <c r="D87" i="1"/>
  <c r="I87" i="1" s="1"/>
  <c r="C9" i="32"/>
  <c r="C10" i="32" s="1"/>
  <c r="C11" i="32" s="1"/>
  <c r="C12" i="32" s="1"/>
  <c r="C13" i="32" s="1"/>
  <c r="C14" i="32" s="1"/>
  <c r="C15" i="32" s="1"/>
  <c r="C16" i="32" s="1"/>
  <c r="C17" i="32" s="1"/>
  <c r="C18" i="32" s="1"/>
  <c r="C19" i="32" s="1"/>
  <c r="C20" i="32" s="1"/>
  <c r="H22" i="15"/>
  <c r="E22" i="15"/>
  <c r="I53" i="31"/>
  <c r="I14" i="31"/>
  <c r="A14" i="31"/>
  <c r="A17" i="31" s="1"/>
  <c r="A18" i="31" s="1"/>
  <c r="A19" i="31" s="1"/>
  <c r="A20" i="31" s="1"/>
  <c r="A21" i="31" s="1"/>
  <c r="A25" i="31" s="1"/>
  <c r="A26" i="31" s="1"/>
  <c r="A27" i="31" s="1"/>
  <c r="A28" i="31" s="1"/>
  <c r="A30" i="31" s="1"/>
  <c r="A31" i="31" s="1"/>
  <c r="A32" i="31" s="1"/>
  <c r="A34" i="31" s="1"/>
  <c r="A35" i="31" s="1"/>
  <c r="A36" i="31" s="1"/>
  <c r="A38" i="31" s="1"/>
  <c r="D299" i="1"/>
  <c r="D300" i="1"/>
  <c r="E43" i="15"/>
  <c r="E38" i="15"/>
  <c r="E32" i="15"/>
  <c r="I131" i="1"/>
  <c r="D161" i="1"/>
  <c r="D250" i="1"/>
  <c r="I17" i="31"/>
  <c r="C10" i="22"/>
  <c r="C11" i="22" s="1"/>
  <c r="C12" i="22" s="1"/>
  <c r="C13" i="22" s="1"/>
  <c r="C14" i="22" s="1"/>
  <c r="C15" i="22" s="1"/>
  <c r="C16" i="22" s="1"/>
  <c r="C17" i="22" s="1"/>
  <c r="C18" i="22" s="1"/>
  <c r="C19" i="22" s="1"/>
  <c r="C20" i="22" s="1"/>
  <c r="C21" i="22" s="1"/>
  <c r="C20" i="25"/>
  <c r="C21" i="25" s="1"/>
  <c r="C22" i="25" s="1"/>
  <c r="C23" i="25" s="1"/>
  <c r="C24" i="25" s="1"/>
  <c r="C25" i="25" s="1"/>
  <c r="C26" i="25" s="1"/>
  <c r="C27" i="25" s="1"/>
  <c r="C28" i="25" s="1"/>
  <c r="C29" i="25" s="1"/>
  <c r="C30" i="25" s="1"/>
  <c r="C38" i="25"/>
  <c r="C39" i="25" s="1"/>
  <c r="C40" i="25" s="1"/>
  <c r="C41" i="25" s="1"/>
  <c r="C42" i="25" s="1"/>
  <c r="C43" i="25" s="1"/>
  <c r="C44" i="25" s="1"/>
  <c r="C45" i="25" s="1"/>
  <c r="C46" i="25" s="1"/>
  <c r="C47" i="25" s="1"/>
  <c r="C48" i="25" s="1"/>
  <c r="F20" i="25"/>
  <c r="F21" i="25" s="1"/>
  <c r="F22" i="25" s="1"/>
  <c r="F23" i="25" s="1"/>
  <c r="F24" i="25" s="1"/>
  <c r="F25" i="25" s="1"/>
  <c r="F26" i="25" s="1"/>
  <c r="F27" i="25" s="1"/>
  <c r="F28" i="25" s="1"/>
  <c r="F29" i="25" s="1"/>
  <c r="F30" i="25" s="1"/>
  <c r="E19" i="25"/>
  <c r="E10" i="25"/>
  <c r="C10" i="25"/>
  <c r="J3" i="25"/>
  <c r="D31" i="19"/>
  <c r="D160" i="1" s="1"/>
  <c r="D25" i="19"/>
  <c r="D159" i="1"/>
  <c r="D15" i="19"/>
  <c r="D11" i="19"/>
  <c r="C11" i="15"/>
  <c r="E33" i="15" s="1"/>
  <c r="L39" i="14"/>
  <c r="L38" i="14"/>
  <c r="L37" i="14"/>
  <c r="L36" i="14"/>
  <c r="L35" i="14"/>
  <c r="L34" i="14"/>
  <c r="L33" i="14"/>
  <c r="L32" i="14"/>
  <c r="L30" i="14"/>
  <c r="L29" i="14"/>
  <c r="L27" i="14"/>
  <c r="L28" i="14"/>
  <c r="L28" i="13"/>
  <c r="L29" i="13"/>
  <c r="L30" i="13"/>
  <c r="L31" i="13"/>
  <c r="L32" i="13"/>
  <c r="L33" i="13"/>
  <c r="L34" i="13"/>
  <c r="L35" i="13"/>
  <c r="L36" i="13"/>
  <c r="L37" i="13"/>
  <c r="L38" i="13"/>
  <c r="L39" i="13"/>
  <c r="L27" i="13"/>
  <c r="I132" i="1"/>
  <c r="A55" i="5"/>
  <c r="A54" i="5"/>
  <c r="J3" i="2"/>
  <c r="F3" i="50" s="1"/>
  <c r="F48" i="50" s="1"/>
  <c r="D8" i="2"/>
  <c r="D10" i="2" s="1"/>
  <c r="D13" i="2" s="1"/>
  <c r="F16" i="1"/>
  <c r="F17" i="1" s="1"/>
  <c r="F18" i="1" s="1"/>
  <c r="K205" i="1"/>
  <c r="K122" i="1"/>
  <c r="K47" i="1"/>
  <c r="D50" i="1"/>
  <c r="B64" i="1"/>
  <c r="B72" i="1" s="1"/>
  <c r="F64" i="1"/>
  <c r="F80" i="1" s="1"/>
  <c r="F159" i="1" s="1"/>
  <c r="G64" i="1"/>
  <c r="B65" i="1"/>
  <c r="B73" i="1" s="1"/>
  <c r="F65" i="1"/>
  <c r="F92" i="1" s="1"/>
  <c r="B66" i="1"/>
  <c r="B74" i="1" s="1"/>
  <c r="F66" i="1"/>
  <c r="G66" i="1"/>
  <c r="B67" i="1"/>
  <c r="B75" i="1" s="1"/>
  <c r="B68" i="1"/>
  <c r="B76" i="1" s="1"/>
  <c r="F68" i="1"/>
  <c r="F83" i="1"/>
  <c r="D125" i="1"/>
  <c r="F135" i="1"/>
  <c r="F136" i="1" s="1"/>
  <c r="F137" i="1"/>
  <c r="B147" i="1"/>
  <c r="B149" i="1"/>
  <c r="F156" i="1"/>
  <c r="F160" i="1"/>
  <c r="D208" i="1"/>
  <c r="I236" i="1"/>
  <c r="D282" i="1"/>
  <c r="I258" i="1"/>
  <c r="D240" i="1"/>
  <c r="G238" i="1" s="1"/>
  <c r="D233" i="1"/>
  <c r="D249" i="1"/>
  <c r="D21" i="19"/>
  <c r="D158" i="1" s="1"/>
  <c r="D156" i="1"/>
  <c r="I32" i="31"/>
  <c r="I40" i="31" s="1"/>
  <c r="I30" i="31"/>
  <c r="S53" i="42"/>
  <c r="D172" i="1"/>
  <c r="G88" i="1"/>
  <c r="G89" i="1" s="1"/>
  <c r="G133" i="1" s="1"/>
  <c r="I133" i="1" s="1"/>
  <c r="G176" i="1"/>
  <c r="I141" i="1"/>
  <c r="I142" i="1"/>
  <c r="Q12" i="48" l="1"/>
  <c r="S12" i="48" s="1"/>
  <c r="D165" i="1"/>
  <c r="E22" i="13"/>
  <c r="D11" i="47"/>
  <c r="F11" i="47" s="1"/>
  <c r="H11" i="47" s="1"/>
  <c r="J11" i="47" s="1"/>
  <c r="H178" i="38"/>
  <c r="G13" i="40" s="1"/>
  <c r="L30" i="48"/>
  <c r="L9" i="47"/>
  <c r="M9" i="47" s="1"/>
  <c r="S3" i="39"/>
  <c r="AI3" i="39" s="1"/>
  <c r="M11" i="47"/>
  <c r="H197" i="38"/>
  <c r="G14" i="40" s="1"/>
  <c r="D283" i="38"/>
  <c r="J22" i="13"/>
  <c r="H108" i="38"/>
  <c r="F13" i="40" s="1"/>
  <c r="E281" i="38"/>
  <c r="H281" i="38" s="1"/>
  <c r="E276" i="38"/>
  <c r="H276" i="38" s="1"/>
  <c r="E345" i="38"/>
  <c r="H345" i="38" s="1"/>
  <c r="E66" i="52"/>
  <c r="J23" i="22"/>
  <c r="I3" i="41"/>
  <c r="I3" i="32"/>
  <c r="J3" i="48"/>
  <c r="I3" i="27"/>
  <c r="F8" i="36"/>
  <c r="H8" i="36" s="1"/>
  <c r="E9" i="36" s="1"/>
  <c r="F8" i="44"/>
  <c r="H8" i="44" s="1"/>
  <c r="E9" i="44" s="1"/>
  <c r="I55" i="31"/>
  <c r="D35" i="19"/>
  <c r="H22" i="14"/>
  <c r="L41" i="13"/>
  <c r="T3" i="48"/>
  <c r="M3" i="22"/>
  <c r="D3" i="19"/>
  <c r="L3" i="14"/>
  <c r="I3" i="43"/>
  <c r="I3" i="44"/>
  <c r="G18" i="6"/>
  <c r="H18" i="6" s="1"/>
  <c r="G20" i="6"/>
  <c r="H20" i="6" s="1"/>
  <c r="G24" i="6"/>
  <c r="H24" i="6" s="1"/>
  <c r="G28" i="6"/>
  <c r="H28" i="6" s="1"/>
  <c r="G32" i="6"/>
  <c r="H32" i="6" s="1"/>
  <c r="G22" i="6"/>
  <c r="H22" i="6" s="1"/>
  <c r="G30" i="6"/>
  <c r="H30" i="6" s="1"/>
  <c r="G23" i="6"/>
  <c r="H23" i="6" s="1"/>
  <c r="G21" i="6"/>
  <c r="H21" i="6" s="1"/>
  <c r="G25" i="6"/>
  <c r="H25" i="6" s="1"/>
  <c r="G29" i="6"/>
  <c r="H29" i="6" s="1"/>
  <c r="G33" i="6"/>
  <c r="H33" i="6" s="1"/>
  <c r="G26" i="6"/>
  <c r="H26" i="6" s="1"/>
  <c r="G34" i="6"/>
  <c r="H34" i="6" s="1"/>
  <c r="G27" i="6"/>
  <c r="H27" i="6" s="1"/>
  <c r="G31" i="6"/>
  <c r="H31" i="6" s="1"/>
  <c r="G16" i="38"/>
  <c r="C349" i="38"/>
  <c r="E207" i="38"/>
  <c r="H207" i="38" s="1"/>
  <c r="G19" i="47"/>
  <c r="G22" i="47" s="1"/>
  <c r="L18" i="47"/>
  <c r="M18" i="47" s="1"/>
  <c r="E341" i="38"/>
  <c r="H341" i="38" s="1"/>
  <c r="I143" i="1"/>
  <c r="L41" i="14"/>
  <c r="F8" i="41"/>
  <c r="H8" i="41" s="1"/>
  <c r="E72" i="38"/>
  <c r="H72" i="38" s="1"/>
  <c r="E217" i="38"/>
  <c r="H217" i="38" s="1"/>
  <c r="H248" i="38"/>
  <c r="E13" i="40" s="1"/>
  <c r="E6" i="40" s="1"/>
  <c r="H330" i="38"/>
  <c r="I14" i="40" s="1"/>
  <c r="I7" i="40" s="1"/>
  <c r="E340" i="38"/>
  <c r="E344" i="38"/>
  <c r="H344" i="38" s="1"/>
  <c r="E22" i="14"/>
  <c r="D64" i="1" s="1"/>
  <c r="J22" i="14"/>
  <c r="D68" i="1" s="1"/>
  <c r="H22" i="13"/>
  <c r="D9" i="43"/>
  <c r="D10" i="43" s="1"/>
  <c r="D11" i="43" s="1"/>
  <c r="D12" i="43" s="1"/>
  <c r="D13" i="43" s="1"/>
  <c r="D14" i="43" s="1"/>
  <c r="D15" i="43" s="1"/>
  <c r="D16" i="43" s="1"/>
  <c r="D17" i="43" s="1"/>
  <c r="D18" i="43" s="1"/>
  <c r="D19" i="43" s="1"/>
  <c r="F8" i="43"/>
  <c r="H8" i="43" s="1"/>
  <c r="F17" i="38"/>
  <c r="C283" i="38"/>
  <c r="H314" i="38"/>
  <c r="I13" i="40" s="1"/>
  <c r="I6" i="40" s="1"/>
  <c r="I22" i="14"/>
  <c r="G22" i="13"/>
  <c r="I25" i="31"/>
  <c r="F22" i="14"/>
  <c r="D65" i="1" s="1"/>
  <c r="G14" i="38"/>
  <c r="E75" i="38"/>
  <c r="G75" i="38" s="1"/>
  <c r="E71" i="38"/>
  <c r="H71" i="38" s="1"/>
  <c r="H126" i="38"/>
  <c r="F14" i="40" s="1"/>
  <c r="G22" i="14"/>
  <c r="D66" i="1" s="1"/>
  <c r="F22" i="13"/>
  <c r="D57" i="1" s="1"/>
  <c r="I212" i="1" s="1"/>
  <c r="I22" i="13"/>
  <c r="S19" i="42"/>
  <c r="S26" i="42" s="1"/>
  <c r="E44" i="15"/>
  <c r="D155" i="1"/>
  <c r="D162" i="1" s="1"/>
  <c r="K3" i="31"/>
  <c r="L3" i="15"/>
  <c r="A39" i="31"/>
  <c r="A40" i="31" s="1"/>
  <c r="A41" i="31" s="1"/>
  <c r="A20" i="43"/>
  <c r="C20" i="43"/>
  <c r="A20" i="36"/>
  <c r="C20" i="36"/>
  <c r="A20" i="44"/>
  <c r="C20" i="44"/>
  <c r="E20" i="25"/>
  <c r="G12" i="38"/>
  <c r="C17" i="38"/>
  <c r="C77" i="38"/>
  <c r="A20" i="41"/>
  <c r="E275" i="38"/>
  <c r="M19" i="47"/>
  <c r="A22" i="47"/>
  <c r="M25" i="47" s="1"/>
  <c r="D17" i="38"/>
  <c r="G13" i="38"/>
  <c r="G19" i="6"/>
  <c r="G17" i="6"/>
  <c r="H17" i="6" s="1"/>
  <c r="D19" i="47"/>
  <c r="F6" i="47"/>
  <c r="E21" i="49"/>
  <c r="D77" i="38"/>
  <c r="G15" i="38"/>
  <c r="H69" i="38"/>
  <c r="H77" i="38" s="1"/>
  <c r="H16" i="40" s="1"/>
  <c r="E14" i="47"/>
  <c r="L14" i="47" s="1"/>
  <c r="M14" i="47" s="1"/>
  <c r="E19" i="47"/>
  <c r="E22" i="47" s="1"/>
  <c r="L22" i="47" s="1"/>
  <c r="E17" i="38"/>
  <c r="E143" i="38"/>
  <c r="H143" i="38" s="1"/>
  <c r="C146" i="38"/>
  <c r="D146" i="38"/>
  <c r="E74" i="38"/>
  <c r="G74" i="38" s="1"/>
  <c r="E212" i="38"/>
  <c r="H212" i="38" s="1"/>
  <c r="C219" i="38"/>
  <c r="E210" i="38"/>
  <c r="H210" i="38" s="1"/>
  <c r="E13" i="15"/>
  <c r="D80" i="1" s="1"/>
  <c r="H47" i="38"/>
  <c r="H13" i="40" s="1"/>
  <c r="H62" i="38"/>
  <c r="H14" i="40" s="1"/>
  <c r="E144" i="38"/>
  <c r="H144" i="38" s="1"/>
  <c r="E140" i="38"/>
  <c r="H264" i="38"/>
  <c r="E14" i="40" s="1"/>
  <c r="D56" i="1"/>
  <c r="D60" i="1"/>
  <c r="M3" i="6"/>
  <c r="L3" i="13"/>
  <c r="AA3" i="42"/>
  <c r="I3" i="36"/>
  <c r="I3" i="26"/>
  <c r="L12" i="14"/>
  <c r="L14" i="14"/>
  <c r="L10" i="14"/>
  <c r="L10" i="13"/>
  <c r="L14" i="13"/>
  <c r="L18" i="13"/>
  <c r="D58" i="1"/>
  <c r="L12" i="13"/>
  <c r="L16" i="13"/>
  <c r="L11" i="13"/>
  <c r="E39" i="15"/>
  <c r="D251" i="1"/>
  <c r="D252" i="1" s="1"/>
  <c r="I20" i="31"/>
  <c r="L8" i="14"/>
  <c r="L17" i="14"/>
  <c r="L19" i="14"/>
  <c r="L15" i="14"/>
  <c r="L20" i="13"/>
  <c r="F10" i="15"/>
  <c r="K10" i="15" s="1"/>
  <c r="L19" i="13"/>
  <c r="L9" i="13"/>
  <c r="L26" i="48"/>
  <c r="Y53" i="42"/>
  <c r="U47" i="42"/>
  <c r="G250" i="1"/>
  <c r="I26" i="31"/>
  <c r="I18" i="31"/>
  <c r="F22" i="15"/>
  <c r="I22" i="15"/>
  <c r="F39" i="50"/>
  <c r="D169" i="1"/>
  <c r="D174" i="1" s="1"/>
  <c r="H6" i="39"/>
  <c r="L9" i="14"/>
  <c r="L11" i="14"/>
  <c r="L8" i="13"/>
  <c r="J3" i="33"/>
  <c r="E3" i="51"/>
  <c r="E76" i="51" s="1"/>
  <c r="E128" i="51" s="1"/>
  <c r="K3" i="53"/>
  <c r="G3" i="35"/>
  <c r="I138" i="1"/>
  <c r="K20" i="15"/>
  <c r="K19" i="15"/>
  <c r="L12" i="48"/>
  <c r="M12" i="48" s="1"/>
  <c r="L19" i="48"/>
  <c r="D9" i="48"/>
  <c r="F9" i="48" s="1"/>
  <c r="H9" i="48" s="1"/>
  <c r="J9" i="48" s="1"/>
  <c r="L16" i="14"/>
  <c r="L20" i="14"/>
  <c r="L18" i="14"/>
  <c r="L13" i="14"/>
  <c r="L15" i="13"/>
  <c r="L13" i="13"/>
  <c r="L17" i="13"/>
  <c r="I13" i="15"/>
  <c r="D84" i="1" s="1"/>
  <c r="K13" i="40" l="1"/>
  <c r="D176" i="1"/>
  <c r="I59" i="31" s="1"/>
  <c r="H19" i="6"/>
  <c r="J19" i="6" s="1"/>
  <c r="H340" i="38"/>
  <c r="H349" i="38" s="1"/>
  <c r="I16" i="40" s="1"/>
  <c r="I9" i="40" s="1"/>
  <c r="E349" i="38"/>
  <c r="E9" i="41"/>
  <c r="L22" i="13"/>
  <c r="F9" i="44"/>
  <c r="H9" i="44" s="1"/>
  <c r="L22" i="14"/>
  <c r="D76" i="1"/>
  <c r="G77" i="38"/>
  <c r="D72" i="1"/>
  <c r="H219" i="38"/>
  <c r="G16" i="40" s="1"/>
  <c r="E77" i="38"/>
  <c r="AA47" i="42"/>
  <c r="U19" i="42" s="1"/>
  <c r="W19" i="42" s="1"/>
  <c r="W26" i="42" s="1"/>
  <c r="G249" i="1" s="1"/>
  <c r="I249" i="1" s="1"/>
  <c r="I48" i="31"/>
  <c r="E21" i="25"/>
  <c r="M22" i="47"/>
  <c r="M28" i="47" s="1"/>
  <c r="A43" i="31"/>
  <c r="A48" i="31" s="1"/>
  <c r="A49" i="31" s="1"/>
  <c r="G43" i="31"/>
  <c r="E219" i="38"/>
  <c r="G17" i="38"/>
  <c r="G41" i="31"/>
  <c r="K14" i="40"/>
  <c r="E7" i="40"/>
  <c r="E22" i="49"/>
  <c r="E146" i="38"/>
  <c r="H140" i="38"/>
  <c r="H146" i="38" s="1"/>
  <c r="F16" i="40" s="1"/>
  <c r="H6" i="47"/>
  <c r="F19" i="47"/>
  <c r="E283" i="38"/>
  <c r="H275" i="38"/>
  <c r="H283" i="38" s="1"/>
  <c r="E16" i="40" s="1"/>
  <c r="F9" i="36"/>
  <c r="H9" i="36" s="1"/>
  <c r="D59" i="1"/>
  <c r="D61" i="1" s="1"/>
  <c r="I27" i="31"/>
  <c r="E250" i="1"/>
  <c r="I21" i="31"/>
  <c r="D74" i="1"/>
  <c r="D67" i="1"/>
  <c r="D69" i="1" s="1"/>
  <c r="K22" i="15"/>
  <c r="A19" i="48"/>
  <c r="M19" i="48" s="1"/>
  <c r="S19" i="48" s="1"/>
  <c r="D16" i="48"/>
  <c r="F23" i="48"/>
  <c r="H23" i="48" s="1"/>
  <c r="J23" i="48" s="1"/>
  <c r="A26" i="48"/>
  <c r="M26" i="48" s="1"/>
  <c r="S26" i="48" s="1"/>
  <c r="I35" i="31"/>
  <c r="I223" i="1"/>
  <c r="D175" i="1"/>
  <c r="I58" i="31" s="1"/>
  <c r="I52" i="31"/>
  <c r="I57" i="31" s="1"/>
  <c r="I6" i="39"/>
  <c r="W6" i="39"/>
  <c r="D73" i="1"/>
  <c r="E9" i="43"/>
  <c r="F9" i="43" s="1"/>
  <c r="I215" i="1"/>
  <c r="I216" i="1" s="1"/>
  <c r="L39" i="15" l="1"/>
  <c r="G11" i="15"/>
  <c r="F9" i="41"/>
  <c r="I34" i="31"/>
  <c r="I38" i="31" s="1"/>
  <c r="I31" i="31"/>
  <c r="I250" i="1"/>
  <c r="I252" i="1" s="1"/>
  <c r="D166" i="1" s="1"/>
  <c r="E10" i="36"/>
  <c r="I28" i="31"/>
  <c r="K16" i="40"/>
  <c r="E9" i="40"/>
  <c r="H19" i="47"/>
  <c r="J6" i="47"/>
  <c r="E23" i="49"/>
  <c r="E22" i="25"/>
  <c r="F16" i="48"/>
  <c r="H16" i="48" s="1"/>
  <c r="J16" i="48" s="1"/>
  <c r="D75" i="1"/>
  <c r="D77" i="1" s="1"/>
  <c r="L33" i="15"/>
  <c r="T19" i="48"/>
  <c r="T26" i="48"/>
  <c r="I34" i="40"/>
  <c r="I35" i="40" s="1"/>
  <c r="M30" i="48"/>
  <c r="M36" i="48" s="1"/>
  <c r="I39" i="31"/>
  <c r="I175" i="1"/>
  <c r="I176" i="1"/>
  <c r="X6" i="39"/>
  <c r="J6" i="39"/>
  <c r="H9" i="43"/>
  <c r="G57" i="1"/>
  <c r="I224" i="1"/>
  <c r="I225" i="1" s="1"/>
  <c r="G15" i="1"/>
  <c r="G14" i="1"/>
  <c r="I14" i="1" s="1"/>
  <c r="E230" i="1"/>
  <c r="G230" i="1" s="1"/>
  <c r="G233" i="1" s="1"/>
  <c r="I233" i="1" s="1"/>
  <c r="G13" i="15" l="1"/>
  <c r="D82" i="1" s="1"/>
  <c r="I41" i="31"/>
  <c r="I49" i="31" s="1"/>
  <c r="H9" i="41"/>
  <c r="E23" i="25"/>
  <c r="E24" i="49"/>
  <c r="F10" i="36"/>
  <c r="H10" i="36" s="1"/>
  <c r="F11" i="15"/>
  <c r="K6" i="39"/>
  <c r="Y6" i="39"/>
  <c r="E10" i="44"/>
  <c r="E10" i="43"/>
  <c r="F10" i="43" s="1"/>
  <c r="G96" i="1"/>
  <c r="I96" i="1" s="1"/>
  <c r="G130" i="1"/>
  <c r="G59" i="52"/>
  <c r="H59" i="52" s="1"/>
  <c r="G55" i="52"/>
  <c r="H55" i="52" s="1"/>
  <c r="G46" i="52"/>
  <c r="H46" i="52" s="1"/>
  <c r="G37" i="52"/>
  <c r="H37" i="52" s="1"/>
  <c r="G33" i="52"/>
  <c r="H33" i="52" s="1"/>
  <c r="G155" i="1"/>
  <c r="I14" i="38"/>
  <c r="I238" i="1"/>
  <c r="K238" i="1" s="1"/>
  <c r="G60" i="1" s="1"/>
  <c r="G58" i="52"/>
  <c r="H58" i="52" s="1"/>
  <c r="G49" i="52"/>
  <c r="H49" i="52" s="1"/>
  <c r="G45" i="52"/>
  <c r="H45" i="52" s="1"/>
  <c r="G36" i="52"/>
  <c r="H36" i="52" s="1"/>
  <c r="G26" i="52"/>
  <c r="H26" i="52" s="1"/>
  <c r="G66" i="52"/>
  <c r="H66" i="52" s="1"/>
  <c r="D86" i="1" s="1"/>
  <c r="I86" i="1" s="1"/>
  <c r="G57" i="52"/>
  <c r="H57" i="52" s="1"/>
  <c r="G48" i="52"/>
  <c r="H48" i="52" s="1"/>
  <c r="G44" i="52"/>
  <c r="H44" i="52" s="1"/>
  <c r="G35" i="52"/>
  <c r="H35" i="52" s="1"/>
  <c r="G25" i="52"/>
  <c r="H25" i="52" s="1"/>
  <c r="I12" i="38"/>
  <c r="G60" i="52"/>
  <c r="H60" i="52" s="1"/>
  <c r="G56" i="52"/>
  <c r="H56" i="52" s="1"/>
  <c r="G47" i="52"/>
  <c r="H47" i="52" s="1"/>
  <c r="G38" i="52"/>
  <c r="H38" i="52" s="1"/>
  <c r="G34" i="52"/>
  <c r="H34" i="52" s="1"/>
  <c r="I15" i="38"/>
  <c r="I16" i="38"/>
  <c r="G59" i="1"/>
  <c r="I13" i="38"/>
  <c r="I57" i="1"/>
  <c r="G65" i="1"/>
  <c r="G16" i="1"/>
  <c r="I15" i="1"/>
  <c r="F10" i="44" l="1"/>
  <c r="H10" i="44" s="1"/>
  <c r="E11" i="36"/>
  <c r="E25" i="49"/>
  <c r="E24" i="25"/>
  <c r="F13" i="15"/>
  <c r="D81" i="1" s="1"/>
  <c r="Z6" i="39"/>
  <c r="L6" i="39"/>
  <c r="E10" i="41"/>
  <c r="F10" i="41" s="1"/>
  <c r="I16" i="1"/>
  <c r="G17" i="1"/>
  <c r="G67" i="1"/>
  <c r="I59" i="1"/>
  <c r="G68" i="1"/>
  <c r="I60" i="1"/>
  <c r="I130" i="1"/>
  <c r="G137" i="1"/>
  <c r="I137" i="1" s="1"/>
  <c r="I65" i="1"/>
  <c r="G92" i="1"/>
  <c r="G18" i="5"/>
  <c r="G156" i="1"/>
  <c r="I156" i="1" s="1"/>
  <c r="I155" i="1"/>
  <c r="H63" i="52"/>
  <c r="H52" i="52"/>
  <c r="H41" i="52"/>
  <c r="E25" i="25" l="1"/>
  <c r="E26" i="49"/>
  <c r="F11" i="36"/>
  <c r="H11" i="36"/>
  <c r="AA6" i="39"/>
  <c r="M6" i="39"/>
  <c r="I61" i="1"/>
  <c r="G61" i="1" s="1"/>
  <c r="G19" i="52" s="1"/>
  <c r="H19" i="52" s="1"/>
  <c r="H22" i="52" s="1"/>
  <c r="H10" i="43"/>
  <c r="H10" i="41"/>
  <c r="G147" i="1"/>
  <c r="I147" i="1" s="1"/>
  <c r="I92" i="1"/>
  <c r="G18" i="1"/>
  <c r="I17" i="1"/>
  <c r="G139" i="1"/>
  <c r="I68" i="1"/>
  <c r="I76" i="1" s="1"/>
  <c r="I73" i="1"/>
  <c r="G134" i="1"/>
  <c r="G148" i="1"/>
  <c r="I148" i="1" s="1"/>
  <c r="I67" i="1"/>
  <c r="I69" i="1" l="1"/>
  <c r="E12" i="36"/>
  <c r="E27" i="49"/>
  <c r="E26" i="25"/>
  <c r="G27" i="52"/>
  <c r="H27" i="52" s="1"/>
  <c r="H30" i="52" s="1"/>
  <c r="G158" i="1"/>
  <c r="G160" i="1" s="1"/>
  <c r="I160" i="1" s="1"/>
  <c r="G97" i="1"/>
  <c r="I97" i="1" s="1"/>
  <c r="H16" i="38"/>
  <c r="J16" i="38" s="1"/>
  <c r="H14" i="38"/>
  <c r="K14" i="38" s="1"/>
  <c r="J40" i="40" s="1"/>
  <c r="G65" i="52"/>
  <c r="H65" i="52" s="1"/>
  <c r="D85" i="1" s="1"/>
  <c r="I85" i="1" s="1"/>
  <c r="H13" i="38"/>
  <c r="K13" i="38" s="1"/>
  <c r="J34" i="40" s="1"/>
  <c r="H12" i="38"/>
  <c r="K12" i="38" s="1"/>
  <c r="N6" i="39"/>
  <c r="AB6" i="39"/>
  <c r="H15" i="38"/>
  <c r="K15" i="38" s="1"/>
  <c r="E11" i="44"/>
  <c r="E11" i="43"/>
  <c r="F11" i="43" s="1"/>
  <c r="E11" i="41"/>
  <c r="F11" i="41" s="1"/>
  <c r="I18" i="1"/>
  <c r="G19" i="1"/>
  <c r="I75" i="1"/>
  <c r="I77" i="1" s="1"/>
  <c r="G77" i="1" s="1"/>
  <c r="G149" i="1"/>
  <c r="I149" i="1" s="1"/>
  <c r="G26" i="5" s="1"/>
  <c r="G27" i="5" s="1"/>
  <c r="I27" i="5" s="1"/>
  <c r="I139" i="1"/>
  <c r="G19" i="5"/>
  <c r="I134" i="1"/>
  <c r="G135" i="1"/>
  <c r="F11" i="44" l="1"/>
  <c r="H11" i="44" s="1"/>
  <c r="E28" i="49"/>
  <c r="E27" i="25"/>
  <c r="F12" i="36"/>
  <c r="H12" i="36" s="1"/>
  <c r="E13" i="36" s="1"/>
  <c r="J12" i="38"/>
  <c r="L12" i="38" s="1"/>
  <c r="K16" i="38"/>
  <c r="K17" i="38" s="1"/>
  <c r="I158" i="1"/>
  <c r="G161" i="1"/>
  <c r="I161" i="1" s="1"/>
  <c r="J13" i="38"/>
  <c r="L13" i="38" s="1"/>
  <c r="J15" i="38"/>
  <c r="L15" i="38" s="1"/>
  <c r="J14" i="38"/>
  <c r="L14" i="38" s="1"/>
  <c r="O6" i="39"/>
  <c r="AC6" i="39"/>
  <c r="H11" i="43"/>
  <c r="H11" i="41"/>
  <c r="G81" i="1"/>
  <c r="G174" i="1"/>
  <c r="I174" i="1" s="1"/>
  <c r="J27" i="40"/>
  <c r="I135" i="1"/>
  <c r="G136" i="1"/>
  <c r="I136" i="1" s="1"/>
  <c r="O9" i="47"/>
  <c r="Q9" i="47" s="1"/>
  <c r="S9" i="47" s="1"/>
  <c r="O18" i="47"/>
  <c r="Q18" i="47" s="1"/>
  <c r="S18" i="47" s="1"/>
  <c r="G7" i="40"/>
  <c r="E29" i="49" l="1"/>
  <c r="F13" i="36"/>
  <c r="H13" i="36" s="1"/>
  <c r="E14" i="36" s="1"/>
  <c r="E28" i="25"/>
  <c r="L16" i="38"/>
  <c r="L17" i="38" s="1"/>
  <c r="J26" i="40"/>
  <c r="F6" i="40" s="1"/>
  <c r="I162" i="1"/>
  <c r="G30" i="5" s="1"/>
  <c r="G31" i="5" s="1"/>
  <c r="I31" i="5" s="1"/>
  <c r="J33" i="40"/>
  <c r="G6" i="40" s="1"/>
  <c r="J17" i="38"/>
  <c r="J39" i="40"/>
  <c r="H6" i="40" s="1"/>
  <c r="AD6" i="39"/>
  <c r="P6" i="39"/>
  <c r="E12" i="44"/>
  <c r="E12" i="43"/>
  <c r="F12" i="43" s="1"/>
  <c r="E12" i="41"/>
  <c r="F12" i="41" s="1"/>
  <c r="G82" i="1"/>
  <c r="I81" i="1"/>
  <c r="O14" i="47"/>
  <c r="Q14" i="47" s="1"/>
  <c r="S14" i="47" s="1"/>
  <c r="I27" i="40" s="1"/>
  <c r="I28" i="40" s="1"/>
  <c r="J28" i="40" l="1"/>
  <c r="F9" i="40" s="1"/>
  <c r="F12" i="44"/>
  <c r="H12" i="44" s="1"/>
  <c r="F14" i="36"/>
  <c r="H14" i="36" s="1"/>
  <c r="E15" i="36" s="1"/>
  <c r="E30" i="49"/>
  <c r="E29" i="25"/>
  <c r="J35" i="40"/>
  <c r="G9" i="40" s="1"/>
  <c r="J41" i="40"/>
  <c r="AE6" i="39"/>
  <c r="Q6" i="39"/>
  <c r="F7" i="40"/>
  <c r="H12" i="43"/>
  <c r="H12" i="41"/>
  <c r="G84" i="1"/>
  <c r="I84" i="1" s="1"/>
  <c r="G83" i="1"/>
  <c r="I82" i="1"/>
  <c r="K6" i="40"/>
  <c r="F15" i="36" l="1"/>
  <c r="H15" i="36"/>
  <c r="E16" i="36" s="1"/>
  <c r="E37" i="49"/>
  <c r="E34" i="49"/>
  <c r="E30" i="25"/>
  <c r="R6" i="39"/>
  <c r="AG6" i="39" s="1"/>
  <c r="AF6" i="39"/>
  <c r="E13" i="44"/>
  <c r="E13" i="43"/>
  <c r="F13" i="43" s="1"/>
  <c r="E13" i="41"/>
  <c r="F13" i="41" s="1"/>
  <c r="F13" i="44" l="1"/>
  <c r="H13" i="44" s="1"/>
  <c r="E14" i="44" s="1"/>
  <c r="E38" i="49"/>
  <c r="E34" i="25"/>
  <c r="E37" i="25"/>
  <c r="F16" i="36"/>
  <c r="H16" i="36" s="1"/>
  <c r="E17" i="36" s="1"/>
  <c r="H13" i="43"/>
  <c r="E14" i="43" s="1"/>
  <c r="F14" i="43" s="1"/>
  <c r="H13" i="41"/>
  <c r="E14" i="41" s="1"/>
  <c r="F14" i="41" s="1"/>
  <c r="F14" i="44" l="1"/>
  <c r="H14" i="44" s="1"/>
  <c r="E15" i="44" s="1"/>
  <c r="F17" i="36"/>
  <c r="H17" i="36" s="1"/>
  <c r="E18" i="36" s="1"/>
  <c r="E38" i="25"/>
  <c r="E39" i="49"/>
  <c r="H14" i="43"/>
  <c r="E15" i="43" s="1"/>
  <c r="F15" i="43" s="1"/>
  <c r="H14" i="41"/>
  <c r="E15" i="41" s="1"/>
  <c r="F15" i="44" l="1"/>
  <c r="H15" i="44" s="1"/>
  <c r="E16" i="44" s="1"/>
  <c r="F15" i="41"/>
  <c r="H15" i="41" s="1"/>
  <c r="E16" i="41" s="1"/>
  <c r="F16" i="41" s="1"/>
  <c r="E39" i="25"/>
  <c r="E40" i="49"/>
  <c r="F18" i="36"/>
  <c r="H18" i="36" s="1"/>
  <c r="E19" i="36" s="1"/>
  <c r="H15" i="43"/>
  <c r="E16" i="43" s="1"/>
  <c r="F16" i="43" s="1"/>
  <c r="F16" i="44" l="1"/>
  <c r="H16" i="44" s="1"/>
  <c r="E17" i="44" s="1"/>
  <c r="F19" i="36"/>
  <c r="F20" i="36" s="1"/>
  <c r="D150" i="1" s="1"/>
  <c r="E40" i="25"/>
  <c r="E41" i="49"/>
  <c r="H16" i="43"/>
  <c r="E17" i="43" s="1"/>
  <c r="F17" i="43" s="1"/>
  <c r="H16" i="41"/>
  <c r="E17" i="41" s="1"/>
  <c r="F17" i="41" s="1"/>
  <c r="F17" i="44" l="1"/>
  <c r="H17" i="44" s="1"/>
  <c r="E18" i="44" s="1"/>
  <c r="E41" i="25"/>
  <c r="D151" i="1"/>
  <c r="I150" i="1"/>
  <c r="I151" i="1" s="1"/>
  <c r="E42" i="49"/>
  <c r="H19" i="36"/>
  <c r="H20" i="36" s="1"/>
  <c r="D89" i="1" s="1"/>
  <c r="I89" i="1" s="1"/>
  <c r="H17" i="43"/>
  <c r="E18" i="43" s="1"/>
  <c r="F18" i="43" s="1"/>
  <c r="H17" i="41"/>
  <c r="E18" i="41" s="1"/>
  <c r="F18" i="41" s="1"/>
  <c r="F18" i="44" l="1"/>
  <c r="H18" i="44" s="1"/>
  <c r="E19" i="44" s="1"/>
  <c r="E43" i="49"/>
  <c r="E42" i="25"/>
  <c r="H18" i="43"/>
  <c r="E19" i="43" s="1"/>
  <c r="F19" i="43" s="1"/>
  <c r="H18" i="41"/>
  <c r="E19" i="41" s="1"/>
  <c r="F19" i="41" s="1"/>
  <c r="F20" i="41" s="1"/>
  <c r="F19" i="44" l="1"/>
  <c r="H19" i="44" s="1"/>
  <c r="H20" i="44" s="1"/>
  <c r="E44" i="49"/>
  <c r="E43" i="25"/>
  <c r="F20" i="43"/>
  <c r="H19" i="43"/>
  <c r="H20" i="43" s="1"/>
  <c r="F20" i="44" l="1"/>
  <c r="E44" i="25"/>
  <c r="E45" i="49"/>
  <c r="D140" i="1"/>
  <c r="H19" i="41"/>
  <c r="H20" i="41" s="1"/>
  <c r="D144" i="1" l="1"/>
  <c r="D95" i="1" s="1"/>
  <c r="D98" i="1" s="1"/>
  <c r="E45" i="25"/>
  <c r="E46" i="49"/>
  <c r="D88" i="1"/>
  <c r="I88" i="1" s="1"/>
  <c r="I140" i="1"/>
  <c r="I144" i="1" s="1"/>
  <c r="I95" i="1" s="1"/>
  <c r="I98" i="1" s="1"/>
  <c r="E47" i="49" l="1"/>
  <c r="E46" i="25"/>
  <c r="G22" i="5"/>
  <c r="G23" i="5" s="1"/>
  <c r="I23" i="5" s="1"/>
  <c r="I33" i="5" s="1"/>
  <c r="F70" i="5" l="1"/>
  <c r="G70" i="5" s="1"/>
  <c r="F74" i="5"/>
  <c r="G74" i="5" s="1"/>
  <c r="F69" i="5"/>
  <c r="G69" i="5" s="1"/>
  <c r="F71" i="5"/>
  <c r="G71" i="5" s="1"/>
  <c r="F73" i="5"/>
  <c r="G73" i="5" s="1"/>
  <c r="F72" i="5"/>
  <c r="G72" i="5" s="1"/>
  <c r="E48" i="49"/>
  <c r="E47" i="25"/>
  <c r="F77" i="5"/>
  <c r="G77" i="5" s="1"/>
  <c r="F75" i="5"/>
  <c r="G75" i="5" s="1"/>
  <c r="F78" i="5"/>
  <c r="G78" i="5" s="1"/>
  <c r="F76" i="5"/>
  <c r="G76" i="5" s="1"/>
  <c r="F68" i="5"/>
  <c r="G68" i="5" s="1"/>
  <c r="F66" i="5"/>
  <c r="G66" i="5" s="1"/>
  <c r="F67" i="5"/>
  <c r="G67" i="5" s="1"/>
  <c r="F64" i="5"/>
  <c r="G64" i="5" s="1"/>
  <c r="F65" i="5"/>
  <c r="G65" i="5" s="1"/>
  <c r="F63" i="5"/>
  <c r="G63" i="5" s="1"/>
  <c r="F62" i="5"/>
  <c r="G62" i="5" s="1"/>
  <c r="T12" i="48"/>
  <c r="L44" i="15" l="1"/>
  <c r="H11" i="15" s="1"/>
  <c r="K11" i="15" s="1"/>
  <c r="K13" i="15" s="1"/>
  <c r="E48" i="25"/>
  <c r="I40" i="40"/>
  <c r="H7" i="40" s="1"/>
  <c r="K7" i="40" s="1"/>
  <c r="H13" i="15" l="1"/>
  <c r="D83" i="1" s="1"/>
  <c r="D90" i="1" s="1"/>
  <c r="I41" i="40"/>
  <c r="H9" i="40" s="1"/>
  <c r="K9" i="40" s="1"/>
  <c r="I83" i="1" l="1"/>
  <c r="I90" i="1" s="1"/>
  <c r="I100" i="1" s="1"/>
  <c r="I11" i="31" s="1"/>
  <c r="D100" i="1"/>
  <c r="D179" i="1" s="1"/>
  <c r="D173" i="1" s="1"/>
  <c r="D177" i="1" s="1"/>
  <c r="D182" i="1" s="1"/>
  <c r="I179" i="1" l="1"/>
  <c r="I66" i="31" s="1"/>
  <c r="I71" i="31"/>
  <c r="I43" i="31"/>
  <c r="I173" i="1" l="1"/>
  <c r="I177" i="1" s="1"/>
  <c r="I182" i="1" s="1"/>
  <c r="G40" i="5"/>
  <c r="G41" i="5" s="1"/>
  <c r="I41" i="5" s="1"/>
  <c r="Q40" i="5"/>
  <c r="Q41" i="5" s="1"/>
  <c r="S41" i="5" s="1"/>
  <c r="I56" i="31"/>
  <c r="I60" i="31" s="1"/>
  <c r="Q36" i="5" s="1"/>
  <c r="Q37" i="5" s="1"/>
  <c r="S37" i="5" s="1"/>
  <c r="G36" i="5" l="1"/>
  <c r="G37" i="5" s="1"/>
  <c r="I37" i="5" s="1"/>
  <c r="I43" i="5" s="1"/>
  <c r="I67" i="31"/>
  <c r="I68" i="31" s="1"/>
  <c r="I64" i="31"/>
  <c r="I69" i="31" s="1"/>
  <c r="S43" i="5"/>
  <c r="I67" i="5" l="1"/>
  <c r="J67" i="5" s="1"/>
  <c r="L67" i="5" s="1"/>
  <c r="I71" i="5"/>
  <c r="J71" i="5" s="1"/>
  <c r="L71" i="5" s="1"/>
  <c r="I72" i="5"/>
  <c r="J72" i="5" s="1"/>
  <c r="L72" i="5" s="1"/>
  <c r="I73" i="5"/>
  <c r="J73" i="5" s="1"/>
  <c r="L73" i="5" s="1"/>
  <c r="I70" i="5"/>
  <c r="J70" i="5" s="1"/>
  <c r="L70" i="5" s="1"/>
  <c r="I65" i="5"/>
  <c r="J65" i="5" s="1"/>
  <c r="L65" i="5" s="1"/>
  <c r="S45" i="5"/>
  <c r="M66" i="5" s="1"/>
  <c r="I64" i="5"/>
  <c r="J64" i="5" s="1"/>
  <c r="L64" i="5" s="1"/>
  <c r="I70" i="31"/>
  <c r="I72" i="31" s="1"/>
  <c r="I74" i="5"/>
  <c r="J74" i="5" s="1"/>
  <c r="L74" i="5" s="1"/>
  <c r="I69" i="5"/>
  <c r="I68" i="5"/>
  <c r="J68" i="5" s="1"/>
  <c r="L68" i="5" s="1"/>
  <c r="I76" i="5"/>
  <c r="J76" i="5" s="1"/>
  <c r="L76" i="5" s="1"/>
  <c r="I78" i="5"/>
  <c r="J78" i="5" s="1"/>
  <c r="L78" i="5" s="1"/>
  <c r="I66" i="5"/>
  <c r="J66" i="5" s="1"/>
  <c r="L66" i="5" s="1"/>
  <c r="I77" i="5"/>
  <c r="J77" i="5" s="1"/>
  <c r="L77" i="5" s="1"/>
  <c r="I63" i="5"/>
  <c r="J63" i="5" s="1"/>
  <c r="L63" i="5" s="1"/>
  <c r="I62" i="5"/>
  <c r="J62" i="5" s="1"/>
  <c r="L62" i="5" s="1"/>
  <c r="I75" i="5"/>
  <c r="J75" i="5" s="1"/>
  <c r="L75" i="5" s="1"/>
  <c r="M62" i="5" l="1"/>
  <c r="M67" i="5"/>
  <c r="N67" i="5" s="1"/>
  <c r="P67" i="5" s="1"/>
  <c r="I23" i="6" s="1"/>
  <c r="J23" i="6" s="1"/>
  <c r="M63" i="5"/>
  <c r="N63" i="5" s="1"/>
  <c r="P63" i="5" s="1"/>
  <c r="I18" i="6" s="1"/>
  <c r="J18" i="6" s="1"/>
  <c r="M77" i="5"/>
  <c r="N77" i="5" s="1"/>
  <c r="P77" i="5" s="1"/>
  <c r="I33" i="6" s="1"/>
  <c r="J33" i="6" s="1"/>
  <c r="M74" i="5"/>
  <c r="N74" i="5" s="1"/>
  <c r="P74" i="5" s="1"/>
  <c r="I30" i="6" s="1"/>
  <c r="J30" i="6" s="1"/>
  <c r="M76" i="5"/>
  <c r="N76" i="5" s="1"/>
  <c r="P76" i="5" s="1"/>
  <c r="I32" i="6" s="1"/>
  <c r="J32" i="6" s="1"/>
  <c r="J69" i="5"/>
  <c r="L69" i="5" s="1"/>
  <c r="M68" i="5"/>
  <c r="N68" i="5" s="1"/>
  <c r="P68" i="5" s="1"/>
  <c r="I24" i="6" s="1"/>
  <c r="J24" i="6" s="1"/>
  <c r="M72" i="5"/>
  <c r="N72" i="5" s="1"/>
  <c r="P72" i="5" s="1"/>
  <c r="I28" i="6" s="1"/>
  <c r="J28" i="6" s="1"/>
  <c r="M73" i="5"/>
  <c r="N73" i="5" s="1"/>
  <c r="P73" i="5" s="1"/>
  <c r="I29" i="6" s="1"/>
  <c r="J29" i="6" s="1"/>
  <c r="M70" i="5"/>
  <c r="N70" i="5" s="1"/>
  <c r="P70" i="5" s="1"/>
  <c r="I26" i="6" s="1"/>
  <c r="J26" i="6" s="1"/>
  <c r="M71" i="5"/>
  <c r="N71" i="5" s="1"/>
  <c r="P71" i="5" s="1"/>
  <c r="I27" i="6" s="1"/>
  <c r="J27" i="6" s="1"/>
  <c r="M75" i="5"/>
  <c r="N75" i="5" s="1"/>
  <c r="P75" i="5" s="1"/>
  <c r="I31" i="6" s="1"/>
  <c r="J31" i="6" s="1"/>
  <c r="M78" i="5"/>
  <c r="N78" i="5" s="1"/>
  <c r="P78" i="5" s="1"/>
  <c r="I34" i="6" s="1"/>
  <c r="J34" i="6" s="1"/>
  <c r="M69" i="5"/>
  <c r="M64" i="5"/>
  <c r="N64" i="5" s="1"/>
  <c r="P64" i="5" s="1"/>
  <c r="I20" i="6" s="1"/>
  <c r="J20" i="6" s="1"/>
  <c r="M65" i="5"/>
  <c r="N65" i="5" s="1"/>
  <c r="P65" i="5" s="1"/>
  <c r="I21" i="6" s="1"/>
  <c r="J21" i="6" s="1"/>
  <c r="N66" i="5"/>
  <c r="P66" i="5" s="1"/>
  <c r="I22" i="6" s="1"/>
  <c r="J22" i="6" s="1"/>
  <c r="N62" i="5" l="1"/>
  <c r="P62" i="5" s="1"/>
  <c r="I17" i="6" s="1"/>
  <c r="J17" i="6" s="1"/>
  <c r="N69" i="5"/>
  <c r="P69" i="5" s="1"/>
  <c r="I25" i="6" s="1"/>
  <c r="J25" i="6" s="1"/>
  <c r="M85" i="5"/>
  <c r="D185" i="1" s="1"/>
  <c r="D187" i="1" s="1"/>
  <c r="N84" i="5" l="1"/>
  <c r="D19" i="1" s="1"/>
  <c r="I19" i="1" s="1"/>
  <c r="I20" i="1" s="1"/>
  <c r="I39" i="6"/>
  <c r="B10" i="49" s="1"/>
  <c r="F10" i="49" s="1"/>
  <c r="J39" i="6"/>
  <c r="I185" i="1"/>
  <c r="I187" i="1" s="1"/>
  <c r="I11" i="1" s="1"/>
  <c r="D20" i="1" l="1"/>
  <c r="I24" i="1"/>
  <c r="D19" i="49"/>
  <c r="H52" i="49"/>
  <c r="D33" i="1" l="1"/>
  <c r="B10" i="25"/>
  <c r="F10" i="25" s="1"/>
  <c r="D20" i="49"/>
  <c r="G19" i="49"/>
  <c r="D37" i="1"/>
  <c r="D38" i="1" s="1"/>
  <c r="I37" i="1"/>
  <c r="I41" i="1" s="1"/>
  <c r="D19" i="25" l="1"/>
  <c r="H52" i="25"/>
  <c r="I19" i="49"/>
  <c r="G20" i="49"/>
  <c r="I20" i="49" s="1"/>
  <c r="D21" i="49"/>
  <c r="D41" i="1"/>
  <c r="D39" i="1"/>
  <c r="D40" i="1" s="1"/>
  <c r="I39" i="1"/>
  <c r="I40" i="1" s="1"/>
  <c r="I38" i="1"/>
  <c r="D20" i="25" l="1"/>
  <c r="G19" i="25"/>
  <c r="D22" i="49"/>
  <c r="G21" i="49"/>
  <c r="I19" i="25" l="1"/>
  <c r="D21" i="25"/>
  <c r="G20" i="25"/>
  <c r="I20" i="25" s="1"/>
  <c r="I21" i="49"/>
  <c r="G22" i="49"/>
  <c r="I22" i="49" s="1"/>
  <c r="D23" i="49"/>
  <c r="D22" i="25" l="1"/>
  <c r="G21" i="25"/>
  <c r="I21" i="25" s="1"/>
  <c r="D24" i="49"/>
  <c r="G23" i="49"/>
  <c r="I23" i="49" s="1"/>
  <c r="D23" i="25" l="1"/>
  <c r="G22" i="25"/>
  <c r="D25" i="49"/>
  <c r="G24" i="49"/>
  <c r="I24" i="49" s="1"/>
  <c r="I22" i="25" l="1"/>
  <c r="D24" i="25"/>
  <c r="G23" i="25"/>
  <c r="I23" i="25" s="1"/>
  <c r="D26" i="49"/>
  <c r="G25" i="49"/>
  <c r="D25" i="25" l="1"/>
  <c r="G24" i="25"/>
  <c r="I24" i="25" s="1"/>
  <c r="I25" i="49"/>
  <c r="G26" i="49"/>
  <c r="I26" i="49" s="1"/>
  <c r="D27" i="49"/>
  <c r="D26" i="25" l="1"/>
  <c r="G25" i="25"/>
  <c r="I25" i="25" s="1"/>
  <c r="D28" i="49"/>
  <c r="G27" i="49"/>
  <c r="I27" i="49" s="1"/>
  <c r="D27" i="25" l="1"/>
  <c r="G26" i="25"/>
  <c r="I26" i="25" s="1"/>
  <c r="G28" i="49"/>
  <c r="I28" i="49" s="1"/>
  <c r="D29" i="49"/>
  <c r="D28" i="25" l="1"/>
  <c r="G27" i="25"/>
  <c r="I27" i="25" s="1"/>
  <c r="G29" i="49"/>
  <c r="I29" i="49" s="1"/>
  <c r="D30" i="49"/>
  <c r="G30" i="49" s="1"/>
  <c r="D29" i="25" l="1"/>
  <c r="G28" i="25"/>
  <c r="I28" i="25" s="1"/>
  <c r="I30" i="49"/>
  <c r="I31" i="49" s="1"/>
  <c r="D34" i="49" s="1"/>
  <c r="G34" i="49" s="1"/>
  <c r="I34" i="49" s="1"/>
  <c r="G31" i="49"/>
  <c r="D30" i="25" l="1"/>
  <c r="G30" i="25" s="1"/>
  <c r="G29" i="25"/>
  <c r="I29" i="25" s="1"/>
  <c r="D37" i="49"/>
  <c r="H37" i="49"/>
  <c r="I30" i="25" l="1"/>
  <c r="I31" i="25" s="1"/>
  <c r="D34" i="25" s="1"/>
  <c r="G34" i="25" s="1"/>
  <c r="I34" i="25" s="1"/>
  <c r="G31" i="25"/>
  <c r="H38" i="49"/>
  <c r="H39" i="49" s="1"/>
  <c r="H40" i="49" s="1"/>
  <c r="H41" i="49" s="1"/>
  <c r="H42" i="49" s="1"/>
  <c r="H43" i="49" s="1"/>
  <c r="H44" i="49" s="1"/>
  <c r="H45" i="49" s="1"/>
  <c r="H46" i="49" s="1"/>
  <c r="H47" i="49" s="1"/>
  <c r="H48" i="49" s="1"/>
  <c r="G37" i="49"/>
  <c r="I37" i="49"/>
  <c r="D38" i="49" s="1"/>
  <c r="D37" i="25" l="1"/>
  <c r="H37" i="25"/>
  <c r="G38" i="49"/>
  <c r="I38" i="49"/>
  <c r="D39" i="49" s="1"/>
  <c r="H51" i="49"/>
  <c r="H53" i="49" s="1"/>
  <c r="L41" i="6" s="1"/>
  <c r="H38" i="25" l="1"/>
  <c r="H39" i="25" s="1"/>
  <c r="H40" i="25" s="1"/>
  <c r="H41" i="25" s="1"/>
  <c r="H42" i="25" s="1"/>
  <c r="H43" i="25" s="1"/>
  <c r="H44" i="25" s="1"/>
  <c r="H45" i="25" s="1"/>
  <c r="H46" i="25" s="1"/>
  <c r="H47" i="25" s="1"/>
  <c r="H48" i="25" s="1"/>
  <c r="G37" i="25"/>
  <c r="I37" i="25"/>
  <c r="D38" i="25" s="1"/>
  <c r="K17" i="6"/>
  <c r="L17" i="6" s="1"/>
  <c r="K25" i="6"/>
  <c r="L25" i="6" s="1"/>
  <c r="K19" i="6"/>
  <c r="L19" i="6" s="1"/>
  <c r="K28" i="6"/>
  <c r="L28" i="6" s="1"/>
  <c r="K22" i="6"/>
  <c r="L22" i="6" s="1"/>
  <c r="K27" i="6"/>
  <c r="L27" i="6" s="1"/>
  <c r="K24" i="6"/>
  <c r="L24" i="6" s="1"/>
  <c r="K23" i="6"/>
  <c r="L23" i="6" s="1"/>
  <c r="K30" i="6"/>
  <c r="L30" i="6" s="1"/>
  <c r="K20" i="6"/>
  <c r="L20" i="6" s="1"/>
  <c r="K31" i="6"/>
  <c r="L31" i="6" s="1"/>
  <c r="K21" i="6"/>
  <c r="L21" i="6" s="1"/>
  <c r="K29" i="6"/>
  <c r="L29" i="6" s="1"/>
  <c r="K18" i="6"/>
  <c r="L18" i="6" s="1"/>
  <c r="K34" i="6"/>
  <c r="L34" i="6" s="1"/>
  <c r="K33" i="6"/>
  <c r="L33" i="6" s="1"/>
  <c r="K26" i="6"/>
  <c r="L26" i="6" s="1"/>
  <c r="K32" i="6"/>
  <c r="L32" i="6" s="1"/>
  <c r="I39" i="49"/>
  <c r="D40" i="49" s="1"/>
  <c r="G39" i="49"/>
  <c r="H51" i="25" l="1"/>
  <c r="H53" i="25" s="1"/>
  <c r="I38" i="25"/>
  <c r="D39" i="25" s="1"/>
  <c r="G38" i="25"/>
  <c r="G40" i="49"/>
  <c r="I40" i="49"/>
  <c r="D41" i="49" s="1"/>
  <c r="L39" i="6"/>
  <c r="I39" i="25" l="1"/>
  <c r="D40" i="25" s="1"/>
  <c r="G39" i="25"/>
  <c r="I41" i="49"/>
  <c r="D42" i="49" s="1"/>
  <c r="G41" i="49"/>
  <c r="I40" i="25" l="1"/>
  <c r="D41" i="25" s="1"/>
  <c r="G40" i="25"/>
  <c r="I42" i="49"/>
  <c r="D43" i="49" s="1"/>
  <c r="G42" i="49"/>
  <c r="I41" i="25" l="1"/>
  <c r="D42" i="25" s="1"/>
  <c r="G41" i="25"/>
  <c r="I43" i="49"/>
  <c r="D44" i="49" s="1"/>
  <c r="G43" i="49"/>
  <c r="I42" i="25" l="1"/>
  <c r="D43" i="25" s="1"/>
  <c r="G42" i="25"/>
  <c r="I44" i="49"/>
  <c r="D45" i="49" s="1"/>
  <c r="G44" i="49"/>
  <c r="I43" i="25" l="1"/>
  <c r="D44" i="25" s="1"/>
  <c r="G43" i="25"/>
  <c r="I45" i="49"/>
  <c r="D46" i="49" s="1"/>
  <c r="G45" i="49"/>
  <c r="I44" i="25" l="1"/>
  <c r="D45" i="25" s="1"/>
  <c r="G44" i="25"/>
  <c r="I46" i="49"/>
  <c r="D47" i="49" s="1"/>
  <c r="G46" i="49"/>
  <c r="I45" i="25" l="1"/>
  <c r="D46" i="25" s="1"/>
  <c r="G45" i="25"/>
  <c r="I47" i="49"/>
  <c r="D48" i="49" s="1"/>
  <c r="G47" i="49"/>
  <c r="I46" i="25" l="1"/>
  <c r="D47" i="25" s="1"/>
  <c r="G46" i="25"/>
  <c r="I48" i="49"/>
  <c r="G48" i="49"/>
  <c r="G49" i="49" s="1"/>
  <c r="I47" i="25" l="1"/>
  <c r="D48" i="25" s="1"/>
  <c r="G47" i="25"/>
  <c r="I48" i="25" l="1"/>
  <c r="G48" i="25"/>
  <c r="G49" i="25" s="1"/>
</calcChain>
</file>

<file path=xl/sharedStrings.xml><?xml version="1.0" encoding="utf-8"?>
<sst xmlns="http://schemas.openxmlformats.org/spreadsheetml/2006/main" count="2895" uniqueCount="1408">
  <si>
    <t>page 1 of 5</t>
  </si>
  <si>
    <t xml:space="preserve">Formula Rate - Non-Levelized </t>
  </si>
  <si>
    <t xml:space="preserve">     Rate Formula Template</t>
  </si>
  <si>
    <t xml:space="preserve"> </t>
  </si>
  <si>
    <t xml:space="preserve"> Utilizing FERC Form 1 Data</t>
  </si>
  <si>
    <t>Line</t>
  </si>
  <si>
    <t>Allocated</t>
  </si>
  <si>
    <t>No.</t>
  </si>
  <si>
    <t>Amount</t>
  </si>
  <si>
    <t>(Note T)</t>
  </si>
  <si>
    <t>Total</t>
  </si>
  <si>
    <t>Allocator</t>
  </si>
  <si>
    <t xml:space="preserve">  Account No. 454</t>
  </si>
  <si>
    <t>TP</t>
  </si>
  <si>
    <t xml:space="preserve">  Revenues from Grandfathered Interzonal Transactions</t>
  </si>
  <si>
    <t xml:space="preserve">  Revenues from service provided by the ISO at a discount</t>
  </si>
  <si>
    <t xml:space="preserve">DIVISOR </t>
  </si>
  <si>
    <t>(Note A)</t>
  </si>
  <si>
    <t>(Note B)</t>
  </si>
  <si>
    <t>(Note C)</t>
  </si>
  <si>
    <t>(Note D)</t>
  </si>
  <si>
    <t>page 2 of 5</t>
  </si>
  <si>
    <t>(1)</t>
  </si>
  <si>
    <t>(2)</t>
  </si>
  <si>
    <t>(3)</t>
  </si>
  <si>
    <t>(4)</t>
  </si>
  <si>
    <t>(5)</t>
  </si>
  <si>
    <t>(6)</t>
  </si>
  <si>
    <t>Transmission</t>
  </si>
  <si>
    <t>Company Total</t>
  </si>
  <si>
    <t xml:space="preserve">                  Allocator</t>
  </si>
  <si>
    <t>(Col 3 times Col 4)</t>
  </si>
  <si>
    <t>RATE BASE:</t>
  </si>
  <si>
    <t>GROSS PLANT IN SERVICE</t>
  </si>
  <si>
    <t xml:space="preserve">  Production</t>
  </si>
  <si>
    <t>NA</t>
  </si>
  <si>
    <t xml:space="preserve">  Transmission</t>
  </si>
  <si>
    <t xml:space="preserve">  Distribution</t>
  </si>
  <si>
    <t xml:space="preserve">  General &amp; Intangible</t>
  </si>
  <si>
    <t>W/S</t>
  </si>
  <si>
    <t xml:space="preserve">  Common</t>
  </si>
  <si>
    <t>CE</t>
  </si>
  <si>
    <t>TOTAL GROSS PLANT (sum lines 1-5)</t>
  </si>
  <si>
    <t>GP=</t>
  </si>
  <si>
    <t>ACCUMULATED DEPRECIATION</t>
  </si>
  <si>
    <t>219.20-24.c</t>
  </si>
  <si>
    <t>219.26.c</t>
  </si>
  <si>
    <t>NET PLANT IN SERVICE</t>
  </si>
  <si>
    <t>TOTAL NET PLANT (sum lines 13-17)</t>
  </si>
  <si>
    <t>NP=</t>
  </si>
  <si>
    <t xml:space="preserve">  Account No. 281 (enter negative)</t>
  </si>
  <si>
    <t>273.8.k</t>
  </si>
  <si>
    <t xml:space="preserve">  Account No. 282 (enter negative)</t>
  </si>
  <si>
    <t>NP</t>
  </si>
  <si>
    <t xml:space="preserve">  Account No. 283 (enter negative)</t>
  </si>
  <si>
    <t xml:space="preserve">  Account No. 190 </t>
  </si>
  <si>
    <t xml:space="preserve">  Account No. 255 (enter negative)</t>
  </si>
  <si>
    <t xml:space="preserve">LAND HELD FOR FUTURE USE </t>
  </si>
  <si>
    <t>TE</t>
  </si>
  <si>
    <t xml:space="preserve">  Prepayments (Account 165)</t>
  </si>
  <si>
    <t>GP</t>
  </si>
  <si>
    <t xml:space="preserve">  Transmission </t>
  </si>
  <si>
    <t xml:space="preserve">     Less Account 565</t>
  </si>
  <si>
    <t xml:space="preserve">  A&amp;G</t>
  </si>
  <si>
    <t xml:space="preserve">     Less FERC Annual Fees</t>
  </si>
  <si>
    <t xml:space="preserve">  LABOR RELATED</t>
  </si>
  <si>
    <t xml:space="preserve">          Payroll</t>
  </si>
  <si>
    <t>263.i</t>
  </si>
  <si>
    <t xml:space="preserve">          Highway and vehicle</t>
  </si>
  <si>
    <t xml:space="preserve">  PLANT RELATED</t>
  </si>
  <si>
    <t xml:space="preserve">         Property</t>
  </si>
  <si>
    <t xml:space="preserve">         Gross Receipts</t>
  </si>
  <si>
    <t xml:space="preserve">         Other</t>
  </si>
  <si>
    <t xml:space="preserve">         Payments in lieu of taxes</t>
  </si>
  <si>
    <t xml:space="preserve">INCOME TAXES          </t>
  </si>
  <si>
    <t xml:space="preserve">     T=1 - {[(1 - SIT) * (1 - FIT)] / (1 - SIT * FIT * p)} =</t>
  </si>
  <si>
    <t xml:space="preserve">     CIT=(T/1-T) * (1-(WCLTD/R)) =</t>
  </si>
  <si>
    <t xml:space="preserve">       and FIT, SIT &amp; p are as given in footnote K.</t>
  </si>
  <si>
    <t>Total Income Taxes</t>
  </si>
  <si>
    <t xml:space="preserve">RETURN </t>
  </si>
  <si>
    <t xml:space="preserve">                SUPPORTING CALCULATIONS AND NOTES</t>
  </si>
  <si>
    <t>TRANSMISSION PLANT INCLUDED IN ISO RATES</t>
  </si>
  <si>
    <t>Transmission plant included in ISO rates  (line 1 less lines 2 &amp; 3)</t>
  </si>
  <si>
    <t>TP=</t>
  </si>
  <si>
    <t xml:space="preserve">TRANSMISSION EXPENSES </t>
  </si>
  <si>
    <t>TE=</t>
  </si>
  <si>
    <t>WAGES &amp; SALARY ALLOCATOR   (W&amp;S)</t>
  </si>
  <si>
    <t>Form 1 Reference</t>
  </si>
  <si>
    <t>$</t>
  </si>
  <si>
    <t>Allocation</t>
  </si>
  <si>
    <t>W&amp;S Allocator</t>
  </si>
  <si>
    <t xml:space="preserve">  Other</t>
  </si>
  <si>
    <t>($ / Allocation)</t>
  </si>
  <si>
    <t xml:space="preserve">  Total  (sum lines 12-15)</t>
  </si>
  <si>
    <t>=</t>
  </si>
  <si>
    <t>% Electric</t>
  </si>
  <si>
    <t xml:space="preserve">  Electric</t>
  </si>
  <si>
    <t>200.3.c</t>
  </si>
  <si>
    <t>(line 17 / line 20)</t>
  </si>
  <si>
    <t>(line 16)</t>
  </si>
  <si>
    <t xml:space="preserve">  Gas</t>
  </si>
  <si>
    <t>201.3.d</t>
  </si>
  <si>
    <t>*</t>
  </si>
  <si>
    <t xml:space="preserve">  Water</t>
  </si>
  <si>
    <t>201.3.e</t>
  </si>
  <si>
    <t xml:space="preserve">  Total  (sum lines 17 - 19)</t>
  </si>
  <si>
    <t>RETURN (R)</t>
  </si>
  <si>
    <t>Common Stock</t>
  </si>
  <si>
    <t>Cost</t>
  </si>
  <si>
    <t>%</t>
  </si>
  <si>
    <t>(Note P)</t>
  </si>
  <si>
    <t>Weighted</t>
  </si>
  <si>
    <t>=WCLTD</t>
  </si>
  <si>
    <t>=R</t>
  </si>
  <si>
    <t>REVENUE CREDITS</t>
  </si>
  <si>
    <t>ACCOUNT 447 (SALES FOR RESALE)</t>
  </si>
  <si>
    <t>(310-311)</t>
  </si>
  <si>
    <t>(Note Q)</t>
  </si>
  <si>
    <t xml:space="preserve">  Total of (a)-(b)</t>
  </si>
  <si>
    <t>page 5 of 5</t>
  </si>
  <si>
    <t>General Note:  References to pages in this formulary rate are indicated as:  (page#, line#, col.#)</t>
  </si>
  <si>
    <t>Note</t>
  </si>
  <si>
    <t>Letter</t>
  </si>
  <si>
    <t>A</t>
  </si>
  <si>
    <t>B</t>
  </si>
  <si>
    <t>C</t>
  </si>
  <si>
    <t>D</t>
  </si>
  <si>
    <t>E</t>
  </si>
  <si>
    <t>F</t>
  </si>
  <si>
    <t>G</t>
  </si>
  <si>
    <t>Identified in Form 1 as being only transmission related.</t>
  </si>
  <si>
    <t>H</t>
  </si>
  <si>
    <t>I</t>
  </si>
  <si>
    <t>J</t>
  </si>
  <si>
    <t>K</t>
  </si>
  <si>
    <t>FIT =</t>
  </si>
  <si>
    <t>SIT=</t>
  </si>
  <si>
    <t>p =</t>
  </si>
  <si>
    <t>L</t>
  </si>
  <si>
    <t>M</t>
  </si>
  <si>
    <t>N</t>
  </si>
  <si>
    <t>O</t>
  </si>
  <si>
    <t>Enter dollar amounts</t>
  </si>
  <si>
    <t>P</t>
  </si>
  <si>
    <t>Q</t>
  </si>
  <si>
    <t>R</t>
  </si>
  <si>
    <t>Includes income related only to transmission facilities, such as pole attachments, rentals and special use.</t>
  </si>
  <si>
    <t>S</t>
  </si>
  <si>
    <t>T</t>
  </si>
  <si>
    <t>U</t>
  </si>
  <si>
    <t>V</t>
  </si>
  <si>
    <t>W</t>
  </si>
  <si>
    <t>205.46.g</t>
  </si>
  <si>
    <t>207.75.g</t>
  </si>
  <si>
    <t>321.96.b</t>
  </si>
  <si>
    <t>354.20.b</t>
  </si>
  <si>
    <t>354.21.b</t>
  </si>
  <si>
    <t>354.23.b</t>
  </si>
  <si>
    <t>354.24,25,26.b</t>
  </si>
  <si>
    <t>X</t>
  </si>
  <si>
    <t>Y</t>
  </si>
  <si>
    <t>page 3 of 5</t>
  </si>
  <si>
    <t>page 4 of 5</t>
  </si>
  <si>
    <t>Account Nos. 561.4, 561.8, and 575.7 consist of RTO expenses billed to load-serving entities and are not included in Transmission Owner revenue requirements.</t>
  </si>
  <si>
    <t>(Note E)</t>
  </si>
  <si>
    <t>(Note K)</t>
  </si>
  <si>
    <t>References to data from FERC Form 1 are indicated as:   #.y.x  (page, line, column)</t>
  </si>
  <si>
    <t>(line 1- line 7)</t>
  </si>
  <si>
    <t>(line 2- line 8)</t>
  </si>
  <si>
    <t>(line 3 - line 9)</t>
  </si>
  <si>
    <t>(line 4 - line 10)</t>
  </si>
  <si>
    <t>(line 5 - line 11)</t>
  </si>
  <si>
    <t>WORKING CAPITAL  (Note H)</t>
  </si>
  <si>
    <t xml:space="preserve">  Materials &amp; Supplies  (Note G)</t>
  </si>
  <si>
    <t>TAXES OTHER THAN INCOME TAXES  (Note J)</t>
  </si>
  <si>
    <t>COMMON PLANT ALLOCATOR  (CE)  (Note O)</t>
  </si>
  <si>
    <t>Included transmission expenses  (line 6 less line 7)</t>
  </si>
  <si>
    <t>Percentage of transmission expenses after adjustment  (line 8 divided by line 6)</t>
  </si>
  <si>
    <t>Percentage of transmission plant included in ISO Rates  (line 5)</t>
  </si>
  <si>
    <t>Percentage of transmission expenses included in ISO Rates  (line 9 times line 10)</t>
  </si>
  <si>
    <t>Total transmission plant  (page 2, line 2, column 3)</t>
  </si>
  <si>
    <t>Total transmission expenses  (page 3, line 1, column 3)</t>
  </si>
  <si>
    <t>TOTAL ACCUM. DEPRECIATION  (sum lines 7-11)</t>
  </si>
  <si>
    <t>= WS</t>
  </si>
  <si>
    <t>Percentage of transmission plant included in ISO Rates  (line 4 divided by line 1)</t>
  </si>
  <si>
    <t>Preferred Dividends  (118.29c) (positive number)</t>
  </si>
  <si>
    <t>Inputs Required:</t>
  </si>
  <si>
    <t>Includes only FICA, unemployment, highway, property, gross receipts, and other assessments charged in the current year.  Taxes related to income are excluded.  Gross receipts taxes are not included in transmission revenue requirement in the Rate Formula Template, since they are recovered elsewhere.</t>
  </si>
  <si>
    <t>Revenue Credits for Sched 1A  - Note A</t>
  </si>
  <si>
    <t>Net Schedule 1A Expenses (Line 1 - Line 2)</t>
  </si>
  <si>
    <t>Note:</t>
  </si>
  <si>
    <t>Gross Transmission Plant - Total</t>
  </si>
  <si>
    <t>Net Transmission Plant - Total</t>
  </si>
  <si>
    <t>O&amp;M EXPENSE</t>
  </si>
  <si>
    <t>Total O&amp;M Allocated to Transmission</t>
  </si>
  <si>
    <t>Annual Allocation Factor for O&amp;M</t>
  </si>
  <si>
    <t>TAXES OTHER THAN INCOME TAXES</t>
  </si>
  <si>
    <t>5</t>
  </si>
  <si>
    <t>Total Other Taxes</t>
  </si>
  <si>
    <t>Annual Allocation Factor for Other Taxes</t>
  </si>
  <si>
    <t>7</t>
  </si>
  <si>
    <t>Annual Allocation Factor for Expense</t>
  </si>
  <si>
    <t>INCOME TAXES</t>
  </si>
  <si>
    <t>8</t>
  </si>
  <si>
    <t>9</t>
  </si>
  <si>
    <t>Annual Allocation Factor for Income Taxes</t>
  </si>
  <si>
    <t>10</t>
  </si>
  <si>
    <t>Return on Rate Base</t>
  </si>
  <si>
    <t>11</t>
  </si>
  <si>
    <t>Annual Allocation Factor for Return on Rate Base</t>
  </si>
  <si>
    <t>12</t>
  </si>
  <si>
    <t>Annual Allocation Factor for Return</t>
  </si>
  <si>
    <t>Line No.</t>
  </si>
  <si>
    <t>Project Name</t>
  </si>
  <si>
    <t>Annual Expense Charge</t>
  </si>
  <si>
    <t xml:space="preserve">Project Net Plant </t>
  </si>
  <si>
    <t>Annual Return Charge</t>
  </si>
  <si>
    <t>Project Depreciation Expense</t>
  </si>
  <si>
    <t>(Col. 3 * Col. 4)</t>
  </si>
  <si>
    <t>(Col. 6 * Col. 7)</t>
  </si>
  <si>
    <t>Project Net Plant is the Project Gross Plant Identified in Column 3 less the associated Accumulated Depreciation.</t>
  </si>
  <si>
    <t>page 1 of 1</t>
  </si>
  <si>
    <t>Schedule 1A Rate Calculation</t>
  </si>
  <si>
    <t>Reference</t>
  </si>
  <si>
    <t>page 1 of 2</t>
  </si>
  <si>
    <t>(line 3 divided by line 1, col. 3)</t>
  </si>
  <si>
    <t>(line 5 divided by line 1, col. 3)</t>
  </si>
  <si>
    <t>page 2 of 2</t>
  </si>
  <si>
    <t>1 Coincident Peak (CP) (MW)</t>
  </si>
  <si>
    <t>RTEP Project Number</t>
  </si>
  <si>
    <t>Notes</t>
  </si>
  <si>
    <t>Schedule 1A rate $/MWh (Line 3/ Line 4)</t>
  </si>
  <si>
    <t>Project Gross Plant is the total capital investment for the project calculated in the same method as the gross plant value in line 1 above.  This value includes subsequent capital investments required to maintain the project in-service.</t>
  </si>
  <si>
    <t xml:space="preserve">DEPRECIATION AND AMORTIZATION EXPENSE </t>
  </si>
  <si>
    <t>December</t>
  </si>
  <si>
    <t>January</t>
  </si>
  <si>
    <t>February</t>
  </si>
  <si>
    <t>March</t>
  </si>
  <si>
    <t>April</t>
  </si>
  <si>
    <t>May</t>
  </si>
  <si>
    <t>July</t>
  </si>
  <si>
    <t>August</t>
  </si>
  <si>
    <t>September</t>
  </si>
  <si>
    <t>November</t>
  </si>
  <si>
    <t>October</t>
  </si>
  <si>
    <t>3</t>
  </si>
  <si>
    <t>4</t>
  </si>
  <si>
    <t>13</t>
  </si>
  <si>
    <t>14</t>
  </si>
  <si>
    <t>15</t>
  </si>
  <si>
    <t>June</t>
  </si>
  <si>
    <t>Production</t>
  </si>
  <si>
    <t>Distribution</t>
  </si>
  <si>
    <t>General</t>
  </si>
  <si>
    <t>Intangible</t>
  </si>
  <si>
    <t>Common</t>
  </si>
  <si>
    <t>207.58.g</t>
  </si>
  <si>
    <t>205.5.g</t>
  </si>
  <si>
    <t>207.99.g</t>
  </si>
  <si>
    <t>13-month Average</t>
  </si>
  <si>
    <t>[A]</t>
  </si>
  <si>
    <t>Notes:</t>
  </si>
  <si>
    <t>Reference for December balances as would be reported in FERC Form 1.</t>
  </si>
  <si>
    <t>219.25.c</t>
  </si>
  <si>
    <t>200.21.c</t>
  </si>
  <si>
    <t>219.28.c</t>
  </si>
  <si>
    <t>Acct. No. 281</t>
  </si>
  <si>
    <t>Acct. No. 282</t>
  </si>
  <si>
    <t>Acct. No. 283</t>
  </si>
  <si>
    <t>Acct. No. 190</t>
  </si>
  <si>
    <t>Acct. No. 255</t>
  </si>
  <si>
    <t>Begin/End Average</t>
  </si>
  <si>
    <t>December 31</t>
  </si>
  <si>
    <t>(enter negative)</t>
  </si>
  <si>
    <t>[B]</t>
  </si>
  <si>
    <t>Based on prior elections and IRS rulings, the 3% Investment Tax Credit ("ITC") and the 4% ITC may be used to reduce rate base as well as utilizing amortization of the tax credits against taxable income.
As a result, only the 3% and 4% values in FERC Form 1 column (h) on page 267 should be reported under Acct. No. 255.</t>
  </si>
  <si>
    <t>Property Taxes</t>
  </si>
  <si>
    <t>Gross Receipts Tax</t>
  </si>
  <si>
    <t>Highway and Vehicle Taxes</t>
  </si>
  <si>
    <t>Payroll Taxes</t>
  </si>
  <si>
    <t>Other Taxes</t>
  </si>
  <si>
    <t>Sales &amp; Use Tax</t>
  </si>
  <si>
    <t>Payroll Taxes Total</t>
  </si>
  <si>
    <t>Payments in lieu of taxes</t>
  </si>
  <si>
    <t>Proprietary</t>
  </si>
  <si>
    <t>Capital</t>
  </si>
  <si>
    <t>Preferred Stock</t>
  </si>
  <si>
    <t>Account 216.1</t>
  </si>
  <si>
    <t>Long Term Debt</t>
  </si>
  <si>
    <t>112.16.c</t>
  </si>
  <si>
    <t>112.3.d</t>
  </si>
  <si>
    <t>112.12.c</t>
  </si>
  <si>
    <t>207.57.g</t>
  </si>
  <si>
    <t>Company Records</t>
  </si>
  <si>
    <t>Reserve for Depreciation of Asset Retirement Costs</t>
  </si>
  <si>
    <t>True-up Adjustment</t>
  </si>
  <si>
    <t>Projected Annual Revenue Requirement</t>
  </si>
  <si>
    <t>Actual Annual Revenue Requirement</t>
  </si>
  <si>
    <t>Subtotal</t>
  </si>
  <si>
    <t>(a)</t>
  </si>
  <si>
    <t>(b)</t>
  </si>
  <si>
    <t xml:space="preserve">(c) </t>
  </si>
  <si>
    <t>(d)</t>
  </si>
  <si>
    <t>(e)</t>
  </si>
  <si>
    <t>(f)</t>
  </si>
  <si>
    <t>(g)</t>
  </si>
  <si>
    <t>(h)</t>
  </si>
  <si>
    <t>(i)</t>
  </si>
  <si>
    <t>(j)</t>
  </si>
  <si>
    <t>NOTE</t>
  </si>
  <si>
    <t xml:space="preserve">     Less LSE Expenses Included in Transmission O&amp;M Accounts  (Note W)</t>
  </si>
  <si>
    <t xml:space="preserve">     Less EPRI &amp; Reg. Comm. Exp. &amp; Non-safety  Ad.  (Note I)</t>
  </si>
  <si>
    <t xml:space="preserve">     Plus Transmission Related Reg. Comm.  Exp.  (Note I)</t>
  </si>
  <si>
    <t>Amortized Investment Tax Credit (266.8.f) (enter negative)</t>
  </si>
  <si>
    <t>Less transmission plant excluded from ISO rates  (Note M)</t>
  </si>
  <si>
    <t>Less transmission plant included in OATT Ancillary Services  (Note N )</t>
  </si>
  <si>
    <t>Less transmission expenses included in OATT Ancillary Services  (Note L)</t>
  </si>
  <si>
    <t xml:space="preserve">  a. Bundled Non-RQ Sales for Resale (311.x.h)</t>
  </si>
  <si>
    <t xml:space="preserve">  b. Bundled Sales for Resale included in Divisor on page 1</t>
  </si>
  <si>
    <t>ACCOUNT 454 (RENT FROM ELECTRIC PROPERTY)  (Note R)</t>
  </si>
  <si>
    <t>(State Income Tax Rate or Composite SIT)</t>
  </si>
  <si>
    <t>(percent of federal income tax deductible for state purposes)</t>
  </si>
  <si>
    <t>Plant in Service, Accumulated Depreciation, and Depreciation Expense amounts exclude Asset Retirement Obligation amounts unless authorized by FERC.</t>
  </si>
  <si>
    <t>Calculate using a 13 month average balance.</t>
  </si>
  <si>
    <t>Calculate using average of beginning and end of year balance.</t>
  </si>
  <si>
    <t>True-up Adjustment - Over (Under) Recovery</t>
  </si>
  <si>
    <t>Over (Under) Recovery Plus Interest</t>
  </si>
  <si>
    <t>Average Monthly Interest Rate</t>
  </si>
  <si>
    <t>Months</t>
  </si>
  <si>
    <t>Calculated Interest</t>
  </si>
  <si>
    <t>Amortization</t>
  </si>
  <si>
    <t>Surcharge (Refund) Owed</t>
  </si>
  <si>
    <t>Calculation of Interest</t>
  </si>
  <si>
    <t>Monthly</t>
  </si>
  <si>
    <t>Annual</t>
  </si>
  <si>
    <t>January  through December</t>
  </si>
  <si>
    <t>Over (Under) Recovery Plus Interest Amortized and Recovered Over 12 Months</t>
  </si>
  <si>
    <t>Less Over (Under) Recovery</t>
  </si>
  <si>
    <t>Total Interest</t>
  </si>
  <si>
    <t>True-Up with Interest</t>
  </si>
  <si>
    <t>Project Gross Plant</t>
  </si>
  <si>
    <t>336.7.b (Note U)</t>
  </si>
  <si>
    <t>336.1.f &amp; 336.10.f (Note U)</t>
  </si>
  <si>
    <t>336.11.b (Note U)</t>
  </si>
  <si>
    <t>Removes dollar amount of transmission plant included in the development of OATT ancillary services rates and generation step-up facilities, which are deemed included in OATT ancillary services.  For these purposes, generation step-up facilities are those facilities at a generator substation on which there is no through-flow when the generator is shut down.</t>
  </si>
  <si>
    <t>[C]</t>
  </si>
  <si>
    <t>Formula Rate Protocols</t>
  </si>
  <si>
    <t>1. Rate of Return on Common Equity ("ROE")</t>
  </si>
  <si>
    <t>2. Postretirement Benefits Other Than Pension ("PBOP")</t>
  </si>
  <si>
    <t>*sometimes referred to as Other Post Employment Benefits, or "OPEB"</t>
  </si>
  <si>
    <t>3. Depreciation Rates</t>
  </si>
  <si>
    <t>FERC Account</t>
  </si>
  <si>
    <t>Depr %</t>
  </si>
  <si>
    <t>ACCOUNT 451 (MISCELLANEOUS SERVICE REVENUE) (Note S)</t>
  </si>
  <si>
    <t>Excludes revenues unrelated to transmission services.</t>
  </si>
  <si>
    <t>FAS 143 - ARO</t>
  </si>
  <si>
    <t>FAS 106</t>
  </si>
  <si>
    <t>FAS 109</t>
  </si>
  <si>
    <t>FERC Account No. 283  is adjusted for the following items.</t>
  </si>
  <si>
    <t>[D]</t>
  </si>
  <si>
    <t>FERC Account No. 190 is adjusted for the following items:</t>
  </si>
  <si>
    <t>[E]</t>
  </si>
  <si>
    <t>FERC Account No. 282 is adjusted for the following items.</t>
  </si>
  <si>
    <t>Section VIII.A</t>
  </si>
  <si>
    <t>Nominal Federal Income Tax Rate</t>
  </si>
  <si>
    <t>Nominal State Income Tax Rate</t>
  </si>
  <si>
    <t>Times Apportionment Percentage</t>
  </si>
  <si>
    <t>Combined State Income Tax Rate</t>
  </si>
  <si>
    <t>Pennsylvania</t>
  </si>
  <si>
    <t>State Income Tax Rate</t>
  </si>
  <si>
    <t>Federal Income Tax Rate</t>
  </si>
  <si>
    <t>Combined Rate</t>
  </si>
  <si>
    <t>Return Calculation</t>
  </si>
  <si>
    <t>Source  Reference</t>
  </si>
  <si>
    <t>Income Tax Rates</t>
  </si>
  <si>
    <t>Source</t>
  </si>
  <si>
    <t xml:space="preserve">  CWIP</t>
  </si>
  <si>
    <t xml:space="preserve">  Unamortized Regulatory Asset</t>
  </si>
  <si>
    <t xml:space="preserve">  Unamortized Abandoned Plant</t>
  </si>
  <si>
    <t>TOTAL ADJUSTMENTS  (sum lines 19-28 )</t>
  </si>
  <si>
    <t>TOTAL WORKING CAPITAL  (sum lines 32 - 34)</t>
  </si>
  <si>
    <t>RATE BASE  (sum lines 18, 29, 30, &amp; 35)</t>
  </si>
  <si>
    <t xml:space="preserve">  Amortization of Abandoned Plant</t>
  </si>
  <si>
    <t>Tax Effect of Permanent Differences and AFUDC Equity</t>
  </si>
  <si>
    <t xml:space="preserve">       Less Preferred Stock </t>
  </si>
  <si>
    <t xml:space="preserve">       Less Accumulated Other Comprehensive Income Account 219</t>
  </si>
  <si>
    <t>Income Taxes</t>
  </si>
  <si>
    <t>Income Tax Calculation</t>
  </si>
  <si>
    <t xml:space="preserve">ITC adjustment </t>
  </si>
  <si>
    <t xml:space="preserve">Permanent Differences and AFUDC Equity Tax Adjustment </t>
  </si>
  <si>
    <t>(Excess)/Deficient Deferred Income Taxes</t>
  </si>
  <si>
    <t xml:space="preserve">(Excess)/Deficient Deferred Income Tax Adjustment </t>
  </si>
  <si>
    <t>Calculated</t>
  </si>
  <si>
    <t xml:space="preserve">      1 / (1 - T)  = (from line 23)</t>
  </si>
  <si>
    <t>(line 25 * line 26)</t>
  </si>
  <si>
    <t>275.2.k</t>
  </si>
  <si>
    <t xml:space="preserve">277.9.k </t>
  </si>
  <si>
    <t xml:space="preserve">234.8.c </t>
  </si>
  <si>
    <t xml:space="preserve">267.h </t>
  </si>
  <si>
    <t>[F]</t>
  </si>
  <si>
    <t>CWIP</t>
  </si>
  <si>
    <t>Includes only CWIP authorized by the Commission for inclusion in rate base.</t>
  </si>
  <si>
    <t>216.b</t>
  </si>
  <si>
    <t>Recovery of abandoned plant is limited to any abandoned plant recovery authorized by FERC and will be zero until the Commission accepts or approves recovery of the cost of abandoned plant</t>
  </si>
  <si>
    <t>Calculation of PBOP Expenses</t>
  </si>
  <si>
    <t>Increased Return and Taxes</t>
  </si>
  <si>
    <t>labor (labor not capitalized) current year</t>
  </si>
  <si>
    <t>GENERAL, INTANGIBLE, AND COMMON (G,I, &amp; C) DEPRECIATION EXPENSE</t>
  </si>
  <si>
    <t>Total G, I, &amp; C depreciation expense</t>
  </si>
  <si>
    <t>Annual allocation factor for G, I, &amp; C depreciation expense</t>
  </si>
  <si>
    <t>(line 7 divided by line 1, col. 3)</t>
  </si>
  <si>
    <t xml:space="preserve">Annual Revenue Requirement </t>
  </si>
  <si>
    <t>(Sum Col. 5, 8, &amp; 9)</t>
  </si>
  <si>
    <t xml:space="preserve">Amortized Deficient Deferred Taxes </t>
  </si>
  <si>
    <t>Amortized Excess Deferred Taxes (enter negative)</t>
  </si>
  <si>
    <t>AFUDC equity component is the gross cumulative annual amount based upon tax records of capitalized AFUDC equity embedded in the gross plant attributable to the transmission function.</t>
  </si>
  <si>
    <t xml:space="preserve">     PBOP Expense Adjustment in Year</t>
  </si>
  <si>
    <t>DA</t>
  </si>
  <si>
    <t>Monthly Balance</t>
  </si>
  <si>
    <t>Months Remaining In Amortization Period</t>
  </si>
  <si>
    <t>BegInning Balance</t>
  </si>
  <si>
    <t>Amortization Expense                               ( p114.10.c)</t>
  </si>
  <si>
    <t>Additions   (Deductions)</t>
  </si>
  <si>
    <t>Ending Balance</t>
  </si>
  <si>
    <t>p111.71.d (and Notes)</t>
  </si>
  <si>
    <t>January                                                                                                                         2017</t>
  </si>
  <si>
    <t>company records</t>
  </si>
  <si>
    <t xml:space="preserve">June </t>
  </si>
  <si>
    <t xml:space="preserve">October </t>
  </si>
  <si>
    <t>p111.71.c (and Notes) Detail on p230b</t>
  </si>
  <si>
    <t>(Line 12 * Line 15)</t>
  </si>
  <si>
    <t>(Line 13 * Line 16)</t>
  </si>
  <si>
    <t>(Line 14 * Line 17)</t>
  </si>
  <si>
    <t>Sum lines 29 to 32</t>
  </si>
  <si>
    <t>(line 22 * line 24)</t>
  </si>
  <si>
    <t>(Line 22 + Line 33)</t>
  </si>
  <si>
    <t>Line 34</t>
  </si>
  <si>
    <t>Return without incentive adder</t>
  </si>
  <si>
    <t>Income Tax without incentive adder</t>
  </si>
  <si>
    <t>Line 1</t>
  </si>
  <si>
    <t xml:space="preserve">Rate Base </t>
  </si>
  <si>
    <t>(Note G)</t>
  </si>
  <si>
    <t>Beginning/Ending Average with removal of FAS143, FAS106, and FAS109 to populate Appendix H, page 2, lines 19-23, col. 3 for accounts 281, 282, 283, 190, and 255, respectively</t>
  </si>
  <si>
    <t xml:space="preserve">Upon enactment of changes in tax law, income tax rates (including changes in apportionment) and other actions taken by a taxing authority, deferred taxes are re-measured and adjusted in the Company's books of account, resulting in excess or deficient accumulated deferred taxes.  Such excess or deficient deferred taxes attributed to the transmission function will be based upon tax records and calculated in the calendar year in which the excess or deficient amount was measured and recorded for financial reporting purposes.  Amounts to be included will be January 1, 2017 and thereafter.  </t>
  </si>
  <si>
    <t>B1</t>
  </si>
  <si>
    <t>B2</t>
  </si>
  <si>
    <t>B3</t>
  </si>
  <si>
    <t>Beg of Year</t>
  </si>
  <si>
    <t>End of Year Est. for Final</t>
  </si>
  <si>
    <t>Retail</t>
  </si>
  <si>
    <t xml:space="preserve">Plant </t>
  </si>
  <si>
    <t>Labor</t>
  </si>
  <si>
    <t>Related</t>
  </si>
  <si>
    <t>ADIT</t>
  </si>
  <si>
    <t>ADIT- 282  From Account Total Below</t>
  </si>
  <si>
    <t>ADIT-283 From Account Total Below</t>
  </si>
  <si>
    <t>ADIT-190 From Account Total Below</t>
  </si>
  <si>
    <t>In filling out this attachment, a full and complete description of each item and justification for the allocation to Columns C-F and each separate ADIT item will be listed,</t>
  </si>
  <si>
    <t>Dissimilar items with amounts exceeding $100,000 will be listed separately.</t>
  </si>
  <si>
    <t>ADIT-190</t>
  </si>
  <si>
    <t xml:space="preserve">End of Year  </t>
  </si>
  <si>
    <t>Gas, Prod</t>
  </si>
  <si>
    <t>Only</t>
  </si>
  <si>
    <t>Balance</t>
  </si>
  <si>
    <t>Or Other</t>
  </si>
  <si>
    <t>p234.18.b</t>
  </si>
  <si>
    <t>p234.18.c</t>
  </si>
  <si>
    <t>JUSTIFICATION</t>
  </si>
  <si>
    <t>Instructions for Account 190:</t>
  </si>
  <si>
    <t xml:space="preserve"> 1.  ADIT items related only to Retail Related Operations are directly assigned to Column C.</t>
  </si>
  <si>
    <t xml:space="preserve"> 2.  ADIT items related only to Non-Electric Operations (e.g., Gas, Water, Sewer) or Production are directly assigned to Column D.</t>
  </si>
  <si>
    <t>3.  ADIT items related only to Transmission are directly assigned to Column E.</t>
  </si>
  <si>
    <t>4.  ADIT items related to Plant and not in Columns C, D &amp; E are directly assigned to Column F.</t>
  </si>
  <si>
    <t>5.  ADIT items related to labor and not in Columns C, D, E &amp; F are directly assigned to Column G.</t>
  </si>
  <si>
    <t xml:space="preserve"> 6. Deferred income taxes arise when items are included in taxable income in different periods than they are included in rates.  Therefore, if the item giving rise to the ADIT is not included in the formula, the associated ADIT amount shall be excluded.</t>
  </si>
  <si>
    <t>PJM TRANSMISSION OWNER</t>
  </si>
  <si>
    <t>p274.9.b</t>
  </si>
  <si>
    <t>p275.9.k</t>
  </si>
  <si>
    <t>Instructions for Account 282:</t>
  </si>
  <si>
    <t>ADIT-283</t>
  </si>
  <si>
    <t>p276.19.b</t>
  </si>
  <si>
    <t>p277.19.k</t>
  </si>
  <si>
    <t>Instructions for Account 283:</t>
  </si>
  <si>
    <t>Jersey Central Power &amp; Light</t>
  </si>
  <si>
    <t>ADIT-281</t>
  </si>
  <si>
    <t>p272.8.b</t>
  </si>
  <si>
    <t>p273.8.k</t>
  </si>
  <si>
    <t>ADIT-281 From Account Total Below</t>
  </si>
  <si>
    <t>ADIT-255 From Account Total Below</t>
  </si>
  <si>
    <t>Instructions for Account 281:</t>
  </si>
  <si>
    <t>ADIT-255</t>
  </si>
  <si>
    <t>Instructions for Account 255:</t>
  </si>
  <si>
    <t>p266.b</t>
  </si>
  <si>
    <t>p267.h</t>
  </si>
  <si>
    <t>Net Plant Detail</t>
  </si>
  <si>
    <t>Project Gross Plant is the total capital investment for the project, including subsequent capital investments required to maintain the project in-service.  Utilizing a 13-month average.</t>
  </si>
  <si>
    <t>Based on a 13-month average</t>
  </si>
  <si>
    <t>12b</t>
  </si>
  <si>
    <t>13b</t>
  </si>
  <si>
    <t>14b</t>
  </si>
  <si>
    <t>(7)</t>
  </si>
  <si>
    <t>(8)</t>
  </si>
  <si>
    <t>(9)</t>
  </si>
  <si>
    <t xml:space="preserve">Transmission </t>
  </si>
  <si>
    <t>(line 12 divided by line 2, col. 3)</t>
  </si>
  <si>
    <t>(line 12b divided by line 2, col. 3)</t>
  </si>
  <si>
    <t>Line 35 + Line 36</t>
  </si>
  <si>
    <t>Line 38 - Line 37</t>
  </si>
  <si>
    <t>Line 39 / Line 40</t>
  </si>
  <si>
    <t>Normalization</t>
  </si>
  <si>
    <t xml:space="preserve">Gross Plant </t>
  </si>
  <si>
    <t>Plant &amp; Labor</t>
  </si>
  <si>
    <t>Wages &amp; Salary</t>
  </si>
  <si>
    <t>Refers to Attachment H, page 2, line 6, col. 4</t>
  </si>
  <si>
    <t>Refers to Attachment H, page 4, line 16, col.6</t>
  </si>
  <si>
    <t>Plant &amp; Labor Related ADIT allocated to Transmission</t>
  </si>
  <si>
    <t>p232 (and Notes)</t>
  </si>
  <si>
    <t xml:space="preserve">p232 (and Notes) </t>
  </si>
  <si>
    <t>Amortization Expense                             (Company Records)</t>
  </si>
  <si>
    <t xml:space="preserve">Upon enactment of changes in tax law, income tax rates (including changes in apportionment) and other actions taken by a taxing authority, deferred taxes are re-measured and adjusted in the Company's books of account, resulting in excess or deficient accumulated deferred taxes.  Such excess or deficient deferred taxes attributed to the transmission function will be based upon tax records and calculated in the calendar year in which the excess or deficient amount was measured and recorded for financial reporting purposes.  Amounts to be included will be January 1, 2017 and thereafter. </t>
  </si>
  <si>
    <t xml:space="preserve">TABLE 1:  Summary Cost of Long Term Debt  </t>
  </si>
  <si>
    <t>CALCULATION OF COST OF DEBT</t>
  </si>
  <si>
    <t>YEAR ENDED</t>
  </si>
  <si>
    <t>(c)</t>
  </si>
  <si>
    <t>Net</t>
  </si>
  <si>
    <t>Average Net</t>
  </si>
  <si>
    <t>Outstanding</t>
  </si>
  <si>
    <t>Effective</t>
  </si>
  <si>
    <t>Debt Cost</t>
  </si>
  <si>
    <t>ORIGINAL</t>
  </si>
  <si>
    <t>Net Proceeds</t>
  </si>
  <si>
    <t>in Year*</t>
  </si>
  <si>
    <t>Cost Rate</t>
  </si>
  <si>
    <t>at t = N</t>
  </si>
  <si>
    <t>t=N</t>
  </si>
  <si>
    <t>Issue Date</t>
  </si>
  <si>
    <t>Maturity Date</t>
  </si>
  <si>
    <t>ISSUANCE</t>
  </si>
  <si>
    <t>At Issuance</t>
  </si>
  <si>
    <t>at t=N</t>
  </si>
  <si>
    <t>z*</t>
  </si>
  <si>
    <t>Ratios</t>
  </si>
  <si>
    <t>(h) * (i)</t>
  </si>
  <si>
    <t>Long Term Debt Cost at Year Ended:</t>
  </si>
  <si>
    <t>First Mortgage Bonds:</t>
  </si>
  <si>
    <t>**</t>
  </si>
  <si>
    <t>Check with FERC Form 1 B/S pgs 110-113</t>
  </si>
  <si>
    <t>t = time</t>
  </si>
  <si>
    <t>The current portion of long term debt is included in the Net Amount Outstanding at t = N in these calculations.</t>
  </si>
  <si>
    <t>The outstanding amount (column (e)) for debt retired during the year is the outstanding amount at the last month it was outstanding.</t>
  </si>
  <si>
    <t>*  z = Average of monthly balances for months outstanding during the year (averge of the balances for the 12 months of the year, with zero in months that the issuance is not outstanding in a month.).</t>
  </si>
  <si>
    <t>Interim (individual debenture) debt cost calculations shall be taken to four decimals in percentages (7.2300%, 5.2582%); Final Total Weighted Average Debt Cost for the Formula Rate shall be rounded to two decimals of a percent (7.03%).</t>
  </si>
  <si>
    <t>TABLE 2:  Effective Cost Rates For Traditional Front-Loaded Debt Issuances:</t>
  </si>
  <si>
    <t>(aa)</t>
  </si>
  <si>
    <t>(bb)</t>
  </si>
  <si>
    <t>(cc)</t>
  </si>
  <si>
    <t>(dd)</t>
  </si>
  <si>
    <t>(ee)</t>
  </si>
  <si>
    <t>(ff)</t>
  </si>
  <si>
    <t>(gg)</t>
  </si>
  <si>
    <t>(hh)</t>
  </si>
  <si>
    <t>(ii)</t>
  </si>
  <si>
    <t>(jj)</t>
  </si>
  <si>
    <t>(kk)</t>
  </si>
  <si>
    <t>(ll)</t>
  </si>
  <si>
    <t>(Discount)</t>
  </si>
  <si>
    <t xml:space="preserve">Loss/Gain on </t>
  </si>
  <si>
    <t>Less Related</t>
  </si>
  <si>
    <t>Effective Cost Rate*</t>
  </si>
  <si>
    <t>Issue</t>
  </si>
  <si>
    <t>Maturity</t>
  </si>
  <si>
    <t>Premium</t>
  </si>
  <si>
    <t>Issuance</t>
  </si>
  <si>
    <t>Reacquired</t>
  </si>
  <si>
    <t>Proceeds</t>
  </si>
  <si>
    <t>Coupon</t>
  </si>
  <si>
    <t xml:space="preserve">Annual </t>
  </si>
  <si>
    <t>(Yield to Maturity</t>
  </si>
  <si>
    <t xml:space="preserve">Long Term Debt Issuances </t>
  </si>
  <si>
    <t>Affiliate</t>
  </si>
  <si>
    <t>Date</t>
  </si>
  <si>
    <t>Issued</t>
  </si>
  <si>
    <t>at Issuance</t>
  </si>
  <si>
    <t>Expense</t>
  </si>
  <si>
    <t>Debt</t>
  </si>
  <si>
    <t>Ratio</t>
  </si>
  <si>
    <t>Rate</t>
  </si>
  <si>
    <t>Interest</t>
  </si>
  <si>
    <t>at Issuance, t = 0)</t>
  </si>
  <si>
    <t>xxx</t>
  </si>
  <si>
    <t>TOTALS</t>
  </si>
  <si>
    <t>* YTM at issuance calculated from an acceptable bond table or from YTM = Internal Rate of Return (IRR) calculation</t>
  </si>
  <si>
    <r>
      <t>Effective Cost Rate of Individual Debenture (YTM at issuance):  the t=0 Cashflow C</t>
    </r>
    <r>
      <rPr>
        <vertAlign val="subscript"/>
        <sz val="9"/>
        <rFont val="Arial"/>
        <family val="2"/>
      </rPr>
      <t xml:space="preserve">o </t>
    </r>
    <r>
      <rPr>
        <sz val="9"/>
        <rFont val="Arial"/>
        <family val="2"/>
      </rPr>
      <t>equals Net Proceeds column (gg); Semi-annual (or other) interest cashflows (C</t>
    </r>
    <r>
      <rPr>
        <vertAlign val="subscript"/>
        <sz val="9"/>
        <rFont val="Arial"/>
        <family val="2"/>
      </rPr>
      <t>t=1</t>
    </r>
    <r>
      <rPr>
        <sz val="9"/>
        <rFont val="Arial"/>
        <family val="2"/>
      </rPr>
      <t>, C</t>
    </r>
    <r>
      <rPr>
        <vertAlign val="subscript"/>
        <sz val="9"/>
        <rFont val="Arial"/>
        <family val="2"/>
      </rPr>
      <t>t=2</t>
    </r>
    <r>
      <rPr>
        <sz val="9"/>
        <rFont val="Arial"/>
        <family val="2"/>
      </rPr>
      <t>, etc.).</t>
    </r>
  </si>
  <si>
    <t>112.15.c</t>
  </si>
  <si>
    <t>Account 219</t>
  </si>
  <si>
    <t xml:space="preserve">The balances in Accounts 190, 281, 282 and 283, should exclude all FASB 106 or 109 related amounts.  For example, any and all amounts in contra accounts identified as regulatory assets or liabilities related to FASB 106 or 109 should be excluded.  The balance of Account 255 is reduced by prior flow throughs and excluded if the utility chose to utilize amortization of tax credits against taxable income as discussed in Note K.  Account 281 is not allocated. </t>
  </si>
  <si>
    <t>(Table 2, Col. ll)</t>
  </si>
  <si>
    <t>ADIT Transmission Total (including Plant &amp; Labor Related Transmission ADITs and applicable transmission adjustments)</t>
  </si>
  <si>
    <t xml:space="preserve">  Account No. 451</t>
  </si>
  <si>
    <t xml:space="preserve">     Less Account 566</t>
  </si>
  <si>
    <t>321.97.b</t>
  </si>
  <si>
    <t xml:space="preserve">DA </t>
  </si>
  <si>
    <t>Total Annual Revenue Requirement</t>
  </si>
  <si>
    <t>Net Revenue Requirement
with True-up</t>
  </si>
  <si>
    <t>(Sum Col. 10 &amp; 11)</t>
  </si>
  <si>
    <t>Additional Annual Allocation Factor for Return</t>
  </si>
  <si>
    <t>Dec 31,</t>
  </si>
  <si>
    <t>2017 Quarterly Activity and Balances</t>
  </si>
  <si>
    <t>Ending 2016</t>
  </si>
  <si>
    <t>Ending Q1 2017</t>
  </si>
  <si>
    <t>Ending Q2 2017</t>
  </si>
  <si>
    <t>Ending Q3 2017</t>
  </si>
  <si>
    <t>Ending Q4 2017</t>
  </si>
  <si>
    <t>Ending 2017</t>
  </si>
  <si>
    <t>Pro-rated Q1</t>
  </si>
  <si>
    <t>Pro-rated Q2</t>
  </si>
  <si>
    <t>Pro-rated Q3</t>
  </si>
  <si>
    <t>Pro-rated Q4</t>
  </si>
  <si>
    <t>Pro-rated Total</t>
  </si>
  <si>
    <t>Beginning 2017  190</t>
  </si>
  <si>
    <t>Beginning 2017  282</t>
  </si>
  <si>
    <t>Beginning 2017  283</t>
  </si>
  <si>
    <t>Beginning 2017 Total ADIT</t>
  </si>
  <si>
    <t>Pro-rated Ending 2017  190</t>
  </si>
  <si>
    <t>Pro-rated Ending 2017  282</t>
  </si>
  <si>
    <t>Pro-rated Ending 2017  283</t>
  </si>
  <si>
    <t>Pro-rated Ending 2017</t>
  </si>
  <si>
    <t>Beginning 2017</t>
  </si>
  <si>
    <t>Average 2017</t>
  </si>
  <si>
    <t>Q1 2017 Activity</t>
  </si>
  <si>
    <t>Q2 2017 Activity</t>
  </si>
  <si>
    <t>Q3 2017 Activity</t>
  </si>
  <si>
    <t>Q4 2017 Activity</t>
  </si>
  <si>
    <t>2017 Activity</t>
  </si>
  <si>
    <t>Prorated year-end less FERC Form 1 Year-end</t>
  </si>
  <si>
    <t>Amount included in revenues reported on pages 328-330 of FERC Form 1.</t>
  </si>
  <si>
    <t>% of Total Revenue Requirement</t>
  </si>
  <si>
    <t>Revenue Received</t>
  </si>
  <si>
    <t>Col c, line 1 * Col e</t>
  </si>
  <si>
    <t>Col. f - Col. G</t>
  </si>
  <si>
    <t>2a</t>
  </si>
  <si>
    <t>2b</t>
  </si>
  <si>
    <t>2c</t>
  </si>
  <si>
    <t>ADDITIONAL INCENTIVE REVENUE</t>
  </si>
  <si>
    <t>GROSS REV. REQUIREMENT (WITHOUT INCENTIVE)</t>
  </si>
  <si>
    <t>TOTAL REVENUE CREDITS  (sum lines 2-7)</t>
  </si>
  <si>
    <t>NET REVENUE REQUIREMENT</t>
  </si>
  <si>
    <t>True-up Adjustment with Interest</t>
  </si>
  <si>
    <t>Actual RTEP Credit Revenues for true-up year</t>
  </si>
  <si>
    <t>Actual Revenues for Appendix D</t>
  </si>
  <si>
    <t>4a</t>
  </si>
  <si>
    <t xml:space="preserve">Col. h + Col. i </t>
  </si>
  <si>
    <t>Sum of line 4, 6, &amp; 8</t>
  </si>
  <si>
    <t>10b</t>
  </si>
  <si>
    <t>11b</t>
  </si>
  <si>
    <t>(line 10b divided by line 2, col. 3)</t>
  </si>
  <si>
    <t>Sum of line 11b and 13b</t>
  </si>
  <si>
    <t>Line 14 b, col. 9 less line 14, col. 4</t>
  </si>
  <si>
    <t>Sum of line 11 and 13</t>
  </si>
  <si>
    <t>(Note B &amp; C)</t>
  </si>
  <si>
    <t>(line 10 / line 11)</t>
  </si>
  <si>
    <t xml:space="preserve">  TEC Revenue </t>
  </si>
  <si>
    <t>(Line 1 - Line 8 + Line 9)</t>
  </si>
  <si>
    <t>Goodwill</t>
  </si>
  <si>
    <t>233.5.f</t>
  </si>
  <si>
    <t>(1) - (2) - (3) - (4) - (5)</t>
  </si>
  <si>
    <t>(page 4, line 29)</t>
  </si>
  <si>
    <t>(page 4, line 30)</t>
  </si>
  <si>
    <t>(page 4, line 31)</t>
  </si>
  <si>
    <t xml:space="preserve">       where WCLTD=(page 4, line 22) and R= (page 4, line 25)</t>
  </si>
  <si>
    <t>Total  (sum lines 22-24)</t>
  </si>
  <si>
    <t>(Page 1, line 9)</t>
  </si>
  <si>
    <t>Page 1, line 14</t>
  </si>
  <si>
    <t>(Note C &amp; H)</t>
  </si>
  <si>
    <t>(Note D &amp; H)</t>
  </si>
  <si>
    <t xml:space="preserve">(Sum Col. 12 &amp; 13) </t>
  </si>
  <si>
    <t>Any actual ROE incentive must be approved by the Commission</t>
  </si>
  <si>
    <t>Additional Incentive Annual Allocation Factor for Return (Note F)</t>
  </si>
  <si>
    <t>Line 28 must equal zero since all short-term power sales must be unbundled and the transmission component reflected in Account No. 456.1 and all other uses are to be included in the divisor.</t>
  </si>
  <si>
    <t>The revenues credited on page 1, lines 2-6 shall include only the amounts received directly (in the case of grandfathered agreements) or from the ISO (for service under this tariff) reflecting the Transmission Owner's integrated transmission facilities.  They do not include revenues associated with FERC annual charges, gross receipts taxes, ancillary services, or facilities not included in this template (e.g., direct assignment facilities and GSUs) which are not recovered under this Rate Formula Template.  The revenue on line 7 is supported by it own reference.</t>
  </si>
  <si>
    <t>ADIT-190 TOTAL Beg/End Avg</t>
  </si>
  <si>
    <t>Only Transmission</t>
  </si>
  <si>
    <t>Beg/End Avg</t>
  </si>
  <si>
    <t>ADIT- 282 TOTAL Beg/End Avg</t>
  </si>
  <si>
    <t xml:space="preserve">ADIT- 282 </t>
  </si>
  <si>
    <t>ADIT-283 TOTAL Beg/End Avg</t>
  </si>
  <si>
    <t>ADIT-281 TOTAL Beg/End Avg</t>
  </si>
  <si>
    <t>ADIT-255 TOTAL Beg/End Avg</t>
  </si>
  <si>
    <t>G2</t>
  </si>
  <si>
    <t>G1</t>
  </si>
  <si>
    <t>F2</t>
  </si>
  <si>
    <t>F1</t>
  </si>
  <si>
    <t xml:space="preserve"> Beg Plant </t>
  </si>
  <si>
    <t>End Plant</t>
  </si>
  <si>
    <t>Beg Labor</t>
  </si>
  <si>
    <t>End Labor</t>
  </si>
  <si>
    <t>Col. F1 + Col. F2 + Col. G1 + Col. G2</t>
  </si>
  <si>
    <t xml:space="preserve">Beg Plant &amp; Labor Related </t>
  </si>
  <si>
    <t xml:space="preserve">End Plant &amp; Labor Related </t>
  </si>
  <si>
    <t>(Col. F1 * Col. I) + (Col. F2 * Col. J) [Note E]</t>
  </si>
  <si>
    <t>Beg/End Avg Plant &amp; Labor</t>
  </si>
  <si>
    <t>From column F (page 2-6)</t>
  </si>
  <si>
    <t>From column G (page 2-6)</t>
  </si>
  <si>
    <t>Columns K-L, lines 1-3 linked to 'WP03 ADIT Summary' Notes section</t>
  </si>
  <si>
    <t xml:space="preserve">(Col. K + Col. L) / 2
</t>
  </si>
  <si>
    <t>(Col. F2 * Col. I) + (Col. G2 * Col. J) [Note E]</t>
  </si>
  <si>
    <t>Calculation of Plant &amp; Labor Related ADIT allocated to Transmission</t>
  </si>
  <si>
    <t>Transmission-only (including plant and labor related ADIT allocated to transmission) FERC Form 1 - Year-End 2017</t>
  </si>
  <si>
    <t>Sum of other adjustments from WP03-A ADIT Summary</t>
  </si>
  <si>
    <t>Total Normalization to WP03-A ADIT Summary</t>
  </si>
  <si>
    <t>Transmission-related only (not including plant &amp; labor related ADIT allocated to transmission)</t>
  </si>
  <si>
    <t xml:space="preserve">O&amp;M </t>
  </si>
  <si>
    <t xml:space="preserve">  Account No. 456</t>
  </si>
  <si>
    <t>ACCOUNT 456 (OTHER ELECTRIC REVENUE)  (Note V)</t>
  </si>
  <si>
    <t>Beg/End Average [C]</t>
  </si>
  <si>
    <t>Tax adjustment for Permanent Differences &amp; AFUDC Equity</t>
  </si>
  <si>
    <t>Attachment 11, Page 2, Line 3, Col. 12</t>
  </si>
  <si>
    <t>Attachment 13, Line 28</t>
  </si>
  <si>
    <t>[1]</t>
  </si>
  <si>
    <t>[2]</t>
  </si>
  <si>
    <t>[3]</t>
  </si>
  <si>
    <t>[4]</t>
  </si>
  <si>
    <t>[5]</t>
  </si>
  <si>
    <t>[6]</t>
  </si>
  <si>
    <t>[7]</t>
  </si>
  <si>
    <t>Attachment 3, Line 14, Col. 1 (Notes U &amp; X)</t>
  </si>
  <si>
    <t>Attachment 3, Line 14, Col. 2 (Notes U &amp; X)</t>
  </si>
  <si>
    <t>Attachment 3, Line 14, Col. 3 (Notes U &amp; X)</t>
  </si>
  <si>
    <t>Attachment 3, Line 14, Col. 4 &amp; 5 (Notes U &amp; X)</t>
  </si>
  <si>
    <t>Attachment 4, Line 14, Col. 1 (Notes U &amp; X)</t>
  </si>
  <si>
    <t>Attachment 4, Line 14, Col. 2 (Notes U &amp; X)</t>
  </si>
  <si>
    <t>Attachment 4, Line 14, Col. 3 (Notes U &amp; X)</t>
  </si>
  <si>
    <t>Attachment 4, Line 14, Col. 4 &amp; 5 (Notes U &amp; X)</t>
  </si>
  <si>
    <t>Attachment  H-28A</t>
  </si>
  <si>
    <t>Attachment 6, Line 9</t>
  </si>
  <si>
    <t xml:space="preserve">Line 7 - EPRI Annual Membership Dues listed in Form 1 at 353.f, all Regulatory Commission Expenses itemized at 351.h, and non-safety related advertising included in Account 930.1.  Line 8 - Regulatory Commission Expenses directly related to transmission service, ISO filings, or transmission siting itemized at 351.h. </t>
  </si>
  <si>
    <t>1a</t>
  </si>
  <si>
    <t>1b</t>
  </si>
  <si>
    <t>1c</t>
  </si>
  <si>
    <t>2</t>
  </si>
  <si>
    <t>3b</t>
  </si>
  <si>
    <t>3c</t>
  </si>
  <si>
    <t>5a</t>
  </si>
  <si>
    <t>5b</t>
  </si>
  <si>
    <t>5c</t>
  </si>
  <si>
    <t>1z</t>
  </si>
  <si>
    <t>2z</t>
  </si>
  <si>
    <t>3z</t>
  </si>
  <si>
    <t>4z</t>
  </si>
  <si>
    <t>5z</t>
  </si>
  <si>
    <t>6z</t>
  </si>
  <si>
    <t>Total other than income taxes (sum lines 1z, 2z, 3z, 4z, 5z, 6z) 
[tie to 114.14c]</t>
  </si>
  <si>
    <t>Attachment 7, line 6z</t>
  </si>
  <si>
    <t>Unamortized Abandoned Plant and Amortization of Abandoned Plant will be zero until the Commission accepts or approves recovery of the cost of abandoned plant.  Utility must submit a Section 205 filing to recover the cost of abandoned plant.</t>
  </si>
  <si>
    <t>Z</t>
  </si>
  <si>
    <t xml:space="preserve">Includes only CWIP authorized by the Commission for inclusion in rate base.  </t>
  </si>
  <si>
    <t>AA</t>
  </si>
  <si>
    <t>BB</t>
  </si>
  <si>
    <t>Any actual ROE incentive must be approved by the Commission; therefore, line will remain zero until a project(s) is granted an ROE incentive adder.</t>
  </si>
  <si>
    <t xml:space="preserve">  Unfunded Reserve Plant-related (enter negative) </t>
  </si>
  <si>
    <t xml:space="preserve">  Unfunded Reserve Labor-related (enter negative) </t>
  </si>
  <si>
    <t>263.i (Attachment 7, line 1z)</t>
  </si>
  <si>
    <t>263.i (Attachment 7, line 2z)</t>
  </si>
  <si>
    <t>263.i (Attachment 7, line 3z)</t>
  </si>
  <si>
    <t>263.i (Attachment 7, line 4z)</t>
  </si>
  <si>
    <t>263.i (Attachment 7, line 5z)</t>
  </si>
  <si>
    <t>Rate Base</t>
  </si>
  <si>
    <t>Preferred Dividends</t>
  </si>
  <si>
    <t xml:space="preserve"> enter positive</t>
  </si>
  <si>
    <t>Proprietary Capital</t>
  </si>
  <si>
    <t>Capitalization</t>
  </si>
  <si>
    <t>Total  Capitalization</t>
  </si>
  <si>
    <t>Debt %</t>
  </si>
  <si>
    <t>Total Long Term Debt</t>
  </si>
  <si>
    <t>Preferred %</t>
  </si>
  <si>
    <t>Common %</t>
  </si>
  <si>
    <t>Preferred Cost</t>
  </si>
  <si>
    <t>Common Cost</t>
  </si>
  <si>
    <t>Weighted Cost of Debt</t>
  </si>
  <si>
    <t>Total Long Term Debt (WCLTD)</t>
  </si>
  <si>
    <t>Weighted Cost of Preferred</t>
  </si>
  <si>
    <t>Weighted Cost of Common</t>
  </si>
  <si>
    <t>Rate of Return on Rate Base ( ROR )</t>
  </si>
  <si>
    <t>Investment Return = Rate Base * Rate of Return</t>
  </si>
  <si>
    <t>Attachment  H-28A, Attachment 1</t>
  </si>
  <si>
    <t>Attachment  H-28A, Attachment 2</t>
  </si>
  <si>
    <t>Attachment  H-28A, Attachment 3</t>
  </si>
  <si>
    <t>Incentive ROE Calculation</t>
  </si>
  <si>
    <t>Gross Plant Calculation</t>
  </si>
  <si>
    <t>Attachment  H-28A, Attachment 4</t>
  </si>
  <si>
    <t>Accumulated Depreciation Calculation</t>
  </si>
  <si>
    <t>Attachment  H-28A, Attachment 5</t>
  </si>
  <si>
    <t>ADIT Calculation</t>
  </si>
  <si>
    <t>Attachment  H-28A, Attachment 5a</t>
  </si>
  <si>
    <t>ADIT Normalization Calculation</t>
  </si>
  <si>
    <t>Attachment  H-28A, Attachment 6</t>
  </si>
  <si>
    <t>Attachment  H-28A, Attachment 7</t>
  </si>
  <si>
    <t>Taxes Other than Income Calculation</t>
  </si>
  <si>
    <t>Attachment  H-28A, Attachment 8</t>
  </si>
  <si>
    <t>Capital Structure Calculation</t>
  </si>
  <si>
    <t>Attachment  H-28A, Attachment 9</t>
  </si>
  <si>
    <t>Stated Value Inputs</t>
  </si>
  <si>
    <t>Debt Cost Calculation</t>
  </si>
  <si>
    <t>Attachment  H-28A, Attachment 10</t>
  </si>
  <si>
    <t>Attachment  H-28A, Attachment 11</t>
  </si>
  <si>
    <t>Transmission Enhancement Credit taken to Attachment H-28A Page 1, Line 7</t>
  </si>
  <si>
    <t xml:space="preserve">Gross Transmission Plant is that identified on page 2 line 2 of Attachment H-28A. </t>
  </si>
  <si>
    <t>Net Transmission Plant is that identified on page 2 line 14 of Attachment H-28A.</t>
  </si>
  <si>
    <t>To be completed in conjunction with Attachment H-28A</t>
  </si>
  <si>
    <t>Columns 5-9 (page 1) only applies with incentive ROE project(s) (Note F)</t>
  </si>
  <si>
    <t>Attachment  H-28A, Attachment 11a</t>
  </si>
  <si>
    <t>Attachment  H-28A, Attachment 12</t>
  </si>
  <si>
    <t>To be completed after Attachment 11 for the True-up Year is updated using actual data</t>
  </si>
  <si>
    <t>Utilizing a 13-month average.              [C] Taken to Attachment 11, Page 2, Col. 6</t>
  </si>
  <si>
    <t>Attachment H-28A, Attachment 13</t>
  </si>
  <si>
    <t>Attachment H-28A, Attachment 14</t>
  </si>
  <si>
    <t>Other Rate Base Items</t>
  </si>
  <si>
    <t>Attachment H-28A, page 2, Line 27</t>
  </si>
  <si>
    <t>Attachment H-28A, page 2, Line 28</t>
  </si>
  <si>
    <t>Attachment H-28A, Attachment 15</t>
  </si>
  <si>
    <t>Income Tax Adjustments</t>
  </si>
  <si>
    <t xml:space="preserve">       Less Account 216.1 &amp; Goodwill</t>
  </si>
  <si>
    <t>Attachment 8, Line 14, Col. 1</t>
  </si>
  <si>
    <t>Attachment 8, Line 14, Col. 2</t>
  </si>
  <si>
    <t>Attachment 8, Line 14, Col. 6</t>
  </si>
  <si>
    <t>Attachment 8, Line 14, Col. 3 &amp; 5</t>
  </si>
  <si>
    <t>Attachment 8, Line 14, Col. 4</t>
  </si>
  <si>
    <t>Attachment H-28A, page 4, Line 22, Col. 3</t>
  </si>
  <si>
    <t>Attachment H-28A, page 4, Line 23, Col. 3</t>
  </si>
  <si>
    <t>Attachment H-28A, page 4, Line 24, Col. 3</t>
  </si>
  <si>
    <t>Attachment H-28A, page 4, Line 25, Col. 3</t>
  </si>
  <si>
    <t>Attachment H-28A, page 4, Line 22, Col. 4</t>
  </si>
  <si>
    <t>Attachment H-28A, page 4, Line 23, Col. 4</t>
  </si>
  <si>
    <t>Attachment H-28A, page 4, Line 24, Col. 4</t>
  </si>
  <si>
    <t>Attachment H-28A, page 3, Line 33, Col. 3</t>
  </si>
  <si>
    <t>Attachment H-28A, page 3, Line 34, Col. 3</t>
  </si>
  <si>
    <t>Attachment H-28A, page 3, Line 38, Col. 3</t>
  </si>
  <si>
    <t>Attachment H-28A, Page 3, Line 40, Col. 5</t>
  </si>
  <si>
    <t>Attachment H-28A, page 2, Line 36, Col. 5</t>
  </si>
  <si>
    <t>Attachment H-28A, page 4, Line 21, Col. 6</t>
  </si>
  <si>
    <t>3a</t>
  </si>
  <si>
    <t>Net Revenue Requirement True-up with Interest</t>
  </si>
  <si>
    <t>Projected
Attachment 11
p 2 of 2, col. 14</t>
  </si>
  <si>
    <t>Actual
Attachment 11
p 2 of 2, col. 14</t>
  </si>
  <si>
    <t>Attach. H-28A, p. 2, line 2, col. 5 (Note A)</t>
  </si>
  <si>
    <t>Attach. H-28A, p. 2, line 14, col. 5 (Note B)</t>
  </si>
  <si>
    <t>Attach. H-28A, p. 3, line 40, col. 5</t>
  </si>
  <si>
    <t>Attachment 2, line 33</t>
  </si>
  <si>
    <t>Attachment 2, line 22</t>
  </si>
  <si>
    <t>(line 41 + line 42)</t>
  </si>
  <si>
    <t>sum lines 35 through 38</t>
  </si>
  <si>
    <t>(Excess)/Deficient Deferred Income Tax Adjustment (line 31 * line 34)</t>
  </si>
  <si>
    <t>Permanent Differences and AFUDC Equity Tax Adjustment (line 31 * line 33)</t>
  </si>
  <si>
    <t>ITC adjustment (line 31 * line 32)</t>
  </si>
  <si>
    <t>Income Tax Calculation = line 30 * line 40</t>
  </si>
  <si>
    <t>TOTAL DEPRECIATION  (sum lines 16 -19)</t>
  </si>
  <si>
    <t>TOTAL OTHER TAXES  (sum lines 21 - 27)</t>
  </si>
  <si>
    <t>Attachment H-28A, page 3, Line 29, Col. 3</t>
  </si>
  <si>
    <t>Attachment H-28A, page 3, Line 32, Col. 3</t>
  </si>
  <si>
    <t>Attachment H-28A, page 3, Line 37, Col. 3</t>
  </si>
  <si>
    <t>Attachment H-28A, Page 3, Line 39, Col. 5</t>
  </si>
  <si>
    <t>Attach. H-28A, p. 3, line 15, col. 5</t>
  </si>
  <si>
    <t>Attach. H-28A, p. 3, lines 17 &amp; 18, col. 5</t>
  </si>
  <si>
    <t>Attach. H-28A, p. 3, line 28, col. 5</t>
  </si>
  <si>
    <t>Attach. H-28A, p. 3, line 39, col. 5</t>
  </si>
  <si>
    <t>Attachment H-28A, page 3, Line 19</t>
  </si>
  <si>
    <t>[G]</t>
  </si>
  <si>
    <t>Normalization [G]</t>
  </si>
  <si>
    <t xml:space="preserve">Ending Balance 13-Month Average </t>
  </si>
  <si>
    <t>MAIT</t>
  </si>
  <si>
    <t>CIAC</t>
  </si>
  <si>
    <t>Attachment 3, Line 14, Col. 6 (Notes U &amp; X)</t>
  </si>
  <si>
    <t>Attachment 4, Line 14, Col. 6 (Notes U &amp; X)</t>
  </si>
  <si>
    <t>Attachment 17, Line 15, Col. 7 (Notes X &amp; BB)</t>
  </si>
  <si>
    <t>Attachment H-28A, Page 4, Line 7</t>
  </si>
  <si>
    <t>Annual MWh in Met-Ed and Penelec Zones - Note B</t>
  </si>
  <si>
    <t>Revenues received pursuant to PJM Schedule 1A revenue allocation procedures for transmission service outside of Met-Ed's and Penelec's zones during the year used to calculate rates under Attachment H-28A.</t>
  </si>
  <si>
    <t>Load expressed in MWh consistent with load used for billing under Schedule 1A for the Met-Ed and Penelec zones.  Data from RTO settlement systems for the calendar year prior to the rate year.</t>
  </si>
  <si>
    <t>Beginning/Ending Average with adjustments for FAS143, FAS106, FAS109, CIACs and normalization to populate Appendix H-28A, page 2, lines 19-23, col. 3 for accounts 281, 282, 283, 190, and 255, respectively</t>
  </si>
  <si>
    <t>112.24.c</t>
  </si>
  <si>
    <t>Project Depreciation Expense is the actual value booked for the project and included in the Depreciation Expense in Attachment H-28A, page 3, line 16.</t>
  </si>
  <si>
    <t>True-up adjustment is calculated on the project true-up schedule, attachment 12, column j</t>
  </si>
  <si>
    <t>Attachment H-28A, Attachment 16a</t>
  </si>
  <si>
    <t>Attachment H-28A, Attachment 16b</t>
  </si>
  <si>
    <t>Regulatory Asset - Vegetation Management</t>
  </si>
  <si>
    <t>Attachment H-28A, Attachment 16c</t>
  </si>
  <si>
    <t>Attachment H-28A, Attachment 17</t>
  </si>
  <si>
    <t>Abandoned Plant</t>
  </si>
  <si>
    <t>Attachment H-28A, Attachment 18</t>
  </si>
  <si>
    <t>Attachment H-28A, Attachment 19</t>
  </si>
  <si>
    <t>The currently effective income tax rate,  where FIT is the Federal income tax rate; SIT is the State income tax rate, and p = "the percentage of federal income tax deductible for state income taxes".  If the utility is taxed in more than one state it must attach a work paper showing the name of each state and how the blended or composite SIT was developed.  Furthermore, a utility that elected to utilize amortization of tax credits against taxable income, rather than book tax credits to Account No. 255 and reduce rate base, must reduce its income tax expense by the amount of the Amortized Investment Tax Credit (Form 1, 266.8.f) multiplied by (1/1-T) (page 3, line 31).</t>
  </si>
  <si>
    <t>Prepayments shall exclude prepayments of income taxes.</t>
  </si>
  <si>
    <t xml:space="preserve">ADJUSTMENTS TO RATE BASE  </t>
  </si>
  <si>
    <t>Attachment 16a, 16b, 16c, line 15, Col. 7 (Notes X)</t>
  </si>
  <si>
    <t>Annual Rate ($/MW/Yr)</t>
  </si>
  <si>
    <t>Included on Attachment H-28A, page 2, lines 1-6, Col. 3</t>
  </si>
  <si>
    <t>Included on Attachment H-28A, page 2, lines 7-11, Col. 3</t>
  </si>
  <si>
    <t>[A] [C]</t>
  </si>
  <si>
    <t>Asset Retirement Costs</t>
  </si>
  <si>
    <t>Total Account 566 (sum lines 12 &amp; 13, ties to 321.97.b)</t>
  </si>
  <si>
    <t>Attachment H-28A, page 4, Line 22, Col. 5</t>
  </si>
  <si>
    <t>Attachment H-28A, page 4, Line 23, Col. 5</t>
  </si>
  <si>
    <t>cost per labor dollar (line 3 / line 4)</t>
  </si>
  <si>
    <t>PBOP Expense for current year (line 5 * line 6)</t>
  </si>
  <si>
    <t>PBOP Adjustment for Attachment H-28A, page 3, line 9 (line 7 - line 8)</t>
  </si>
  <si>
    <t>(line 10 divided by line 2, col. 3)</t>
  </si>
  <si>
    <t>(Col. 6 * Page 1, line 15, Col. 9)</t>
  </si>
  <si>
    <t>(table 2, col. cc)</t>
  </si>
  <si>
    <t>(table 2, col. hh)</t>
  </si>
  <si>
    <t>((col e. * col. F)/12)</t>
  </si>
  <si>
    <t>(col. g/col. g total)</t>
  </si>
  <si>
    <t>(col. cc + col. dd + col. ee + col. ff)</t>
  </si>
  <si>
    <t>((col. cc / col. hh)*100)</t>
  </si>
  <si>
    <t>(col. cc * col. jj)</t>
  </si>
  <si>
    <t>True-up Adjustment Principal
Over/(Under)</t>
  </si>
  <si>
    <t>Applicable Interest Rate on 
Over/(Under)</t>
  </si>
  <si>
    <t>Total True-up Adjustment with Interest
Over(Under)</t>
  </si>
  <si>
    <t>Col. H line 2x / Col. H line 3  * Col. J line 4</t>
  </si>
  <si>
    <t>TEC Revenue Requirement True-up with Interest</t>
  </si>
  <si>
    <t>Account 566 Amortization of Regulatory Assets</t>
  </si>
  <si>
    <t>TOTAL O&amp;M  (sum lines 1, 5,8, 9, 10, 11, 14 less 2, 3, 4, 6, 7)</t>
  </si>
  <si>
    <t xml:space="preserve">   Acct. 566 Miscellaneous Transmission Expense (less amortization of regulatory asset)  321.97.b - line 12</t>
  </si>
  <si>
    <t>1/8*(Page 3, Line 15 minus Page 3, Lines 11 &amp; 12)</t>
  </si>
  <si>
    <t>[8]</t>
  </si>
  <si>
    <t>[9]</t>
  </si>
  <si>
    <t>Ending Balance for formula rate (col. 1 - col. 3. - col. 4)</t>
  </si>
  <si>
    <t xml:space="preserve">Total FirstEnergy PBOP expenses </t>
  </si>
  <si>
    <t>Labor dollars (FirstEnergy)</t>
  </si>
  <si>
    <t>Additional Incentive Revenue taken to Attachment H-28A Page 3, Line 42</t>
  </si>
  <si>
    <t>Total Interest (Sourced from Attachment 13a, line 30)</t>
  </si>
  <si>
    <t>Regulatory Asset - Deferred Storms</t>
  </si>
  <si>
    <t>Attachment H-28A, Attachment 13a</t>
  </si>
  <si>
    <t>Account 407.3 Amortization of Regulatory Assets</t>
  </si>
  <si>
    <t>Cash Working Capital assigned to transmission is one-eighth of O&amp;M allocated to transmission at page 3, line 15, column 5 minus amortization of regulatory assets (page 3, lines 11 &amp; 12, col. 5).  Prepayments are the electric related prepayments booked to Account No. 165 and reported on Page 111, line 57 in the Form 1.</t>
  </si>
  <si>
    <t>Average 12 CPs (MW)</t>
  </si>
  <si>
    <t>Peak Rate</t>
  </si>
  <si>
    <t>Off-Peak Rate</t>
  </si>
  <si>
    <t>Point-to-Point Rate ($/MW/Year)</t>
  </si>
  <si>
    <t>(line 10 / line 12)</t>
  </si>
  <si>
    <t>Point-to-Point Rate ($/MW/Month)</t>
  </si>
  <si>
    <t>(line 14/12)</t>
  </si>
  <si>
    <t>Point-to-Point Rate ($/MW/Week)</t>
  </si>
  <si>
    <t>(line 14/52)</t>
  </si>
  <si>
    <t>Point-to-Point Rate ($/MW/Day)</t>
  </si>
  <si>
    <t>(line 16/5; line 16/7)</t>
  </si>
  <si>
    <t>Point-to-Point Rate ($/MWh)</t>
  </si>
  <si>
    <t>(line 14/4,160; line 14/8,760)</t>
  </si>
  <si>
    <t>(Note CC)</t>
  </si>
  <si>
    <t>CC</t>
  </si>
  <si>
    <t>As provided by PJM and in effect at the time of the annual rate calculations pursuant to Section 34.1 of the PJM OATT. Includes combined CPs for Met-Ed and Penelec zones.</t>
  </si>
  <si>
    <t>GROSS REVENUE REQUIREMENT  [page 3, line 43, col 5]</t>
  </si>
  <si>
    <t xml:space="preserve">GROSS REV. REQUIREMENT </t>
  </si>
  <si>
    <t>(Excess)/Deficient Deferred Income Taxes (Attachment 15, Lines 2 &amp; 3, Col. 3) [Notes E &amp; Y]</t>
  </si>
  <si>
    <t>Tax Effect of Permanent Differences and AFUDC Equity  (Attachment 15, Line 1, Col. 3) [Notes D &amp; Y]</t>
  </si>
  <si>
    <t xml:space="preserve">  Long Term Debt  (112.24.c) (Attachment 8, Line 14, Col. 7) (Note X)</t>
  </si>
  <si>
    <t xml:space="preserve">  Preferred Stock  (112.3d) (Attachment 8, Line 14, Col. 2) (Note X)</t>
  </si>
  <si>
    <t xml:space="preserve">  Common Stock (Attachment 8, Line 14, Col. 6) (Note X)</t>
  </si>
  <si>
    <t>Return and Income taxes with increase in ROE</t>
  </si>
  <si>
    <r>
      <t xml:space="preserve">Return and Income taxes </t>
    </r>
    <r>
      <rPr>
        <u/>
        <sz val="12"/>
        <rFont val="Arial"/>
        <family val="2"/>
      </rPr>
      <t>without</t>
    </r>
    <r>
      <rPr>
        <sz val="12"/>
        <rFont val="Arial"/>
        <family val="2"/>
      </rPr>
      <t xml:space="preserve"> increase in ROE</t>
    </r>
  </si>
  <si>
    <t>Incremental Return and incomes taxes for increase in ROE</t>
  </si>
  <si>
    <t>Incremental Return and incomes taxes for increase in ROE divided by rate base</t>
  </si>
  <si>
    <t>Line 17 to include an incentive ROE that is used only to determine the increase in return and incomes taxes associated with a specific increase in ROE.  Any actual ROE incentive must be approved by the Commission.  Until an ROE incentive is approved, line 17 will reflect the current ROE.</t>
  </si>
  <si>
    <t>FERC Form 1 - Year-End (sourced from Attachment 5, page 1, line 5)</t>
  </si>
  <si>
    <t>Beginning  190 (including adjustments)</t>
  </si>
  <si>
    <t>Beginning  282 (including adjustments)</t>
  </si>
  <si>
    <t>Beginning  283 (including adjustments)</t>
  </si>
  <si>
    <t>Q1 Activity</t>
  </si>
  <si>
    <t>Ending Q1</t>
  </si>
  <si>
    <t>Q2 Activity</t>
  </si>
  <si>
    <t>Ending Q2</t>
  </si>
  <si>
    <t>Q3 Activity</t>
  </si>
  <si>
    <t xml:space="preserve">Ending Q3 </t>
  </si>
  <si>
    <t>Q4 Activity</t>
  </si>
  <si>
    <t xml:space="preserve">Ending Q4 </t>
  </si>
  <si>
    <t>Pro-rated Ending  190</t>
  </si>
  <si>
    <t>Pro-rated Ending  282</t>
  </si>
  <si>
    <t>Pro-rated Ending  283</t>
  </si>
  <si>
    <t>Regulatory Asset - Start-up Costs</t>
  </si>
  <si>
    <t>(entered on Attachment H-28A,
page 5 of 5, Note K)</t>
  </si>
  <si>
    <t>Attachment 16a, 16b, 16c, Line 15, Col. 5</t>
  </si>
  <si>
    <t>Attachment 17, Line 15, Col. 5 (Note BB)</t>
  </si>
  <si>
    <t>Balance excludes Asset Retirements Costs</t>
  </si>
  <si>
    <t>Balance excludes reserve for depreciation of asset retirement costs</t>
  </si>
  <si>
    <t>Peak as would be reported on page 401, column d of Form 1 at the time of Met-Ed's and Penelec's zonal peak for the twelve month period ending October 31 of the calendar year used to calculate rates.   The projection year will utilize the most recent preceding 12-month period at the time of the filing.</t>
  </si>
  <si>
    <t xml:space="preserve"> Property Tax</t>
  </si>
  <si>
    <t>Transmission Enhancement Charge (TEC) Worksheet</t>
  </si>
  <si>
    <t>TEC Worksheet Support</t>
  </si>
  <si>
    <t>TEC - True-up</t>
  </si>
  <si>
    <t>December 2017</t>
  </si>
  <si>
    <t>DD</t>
  </si>
  <si>
    <t>(sum lines 15, 20, 28, 39, 40)</t>
  </si>
  <si>
    <t>[Rate Base (page 2, line 36) * Rate of Return (page 4, line 25)]</t>
  </si>
  <si>
    <t>207.74.g</t>
  </si>
  <si>
    <t>205.44.g</t>
  </si>
  <si>
    <t>207.98.g</t>
  </si>
  <si>
    <t>[D] Company records</t>
  </si>
  <si>
    <t>Includes transmission-related balance only.</t>
  </si>
  <si>
    <t>321.97.b (notes)</t>
  </si>
  <si>
    <t>Mid-Atlantic Interstate Transmission, LLC</t>
  </si>
  <si>
    <t>ADIT Total Transmission-related only, including Plant &amp; Labor Related Transmission ADITs (prior to adjustments from notes below)</t>
  </si>
  <si>
    <t>ADIT Transmission Total (including Plant &amp; Labor Related Transmission ADITs and applicable transmission adjustments from notes below</t>
  </si>
  <si>
    <t>Attachment 5, Line 3, Col. 1 (Notes F &amp; Y &amp; DD)</t>
  </si>
  <si>
    <t>Attachment 5, Line 3, Col. 2 (Notes F &amp; Y &amp; DD)</t>
  </si>
  <si>
    <t>Attachment 5, Line 3, Col. 3 (Notes F &amp; Y &amp; DD)</t>
  </si>
  <si>
    <t>Attachment 5, Line 3, Col. 4 (Notes F &amp; Y &amp; DD)</t>
  </si>
  <si>
    <t>Attachment 5, Line 3, Col. 5 (Notes F &amp; Y &amp; DD)</t>
  </si>
  <si>
    <t xml:space="preserve">      1 / (1 - T)  = (from line 29)</t>
  </si>
  <si>
    <t>On Page 4, Line 31, enter revenues from RTO settlements that are associated with NITS and firm Point-to-Point Service for which the load is not included in the divisor to derive Met-Ed's and Penelec's zonal rates.  Exclude non-firm Point-to-Point revenues and revenues related to RTEP projects.</t>
  </si>
  <si>
    <t>Removes transmission plant determined by Commission order to be state-jurisdictional according to the seven-factor test (until Form 1 balances are adjusted to reflect application of seven-factor test).</t>
  </si>
  <si>
    <t>Attachment H-28A, page 3, Line 31, Col.3</t>
  </si>
  <si>
    <t>Total Normalization to Attachment 5 (col. 2 - col. 3)</t>
  </si>
  <si>
    <t>** This Total Weighted Average Debt Cost will be shown on page 4, line 22, column 5 of formula rate Attachment H-28A.</t>
  </si>
  <si>
    <t>Col d, line 2 / Col. d, line 3</t>
  </si>
  <si>
    <t>FERC Account 182.3</t>
  </si>
  <si>
    <t>FERC Account 182.2</t>
  </si>
  <si>
    <r>
      <t xml:space="preserve">Interest Rate on Amount of Refunds or Surcharges </t>
    </r>
    <r>
      <rPr>
        <vertAlign val="superscript"/>
        <sz val="12"/>
        <rFont val="Arial Narrow"/>
        <family val="2"/>
      </rPr>
      <t>[A]</t>
    </r>
  </si>
  <si>
    <t>Interest rate equal to: (i) MAIT's actual short-term debt costs capped at the interest rate determined by 18 C.F.R. 35.19a; or (ii) the interest rate determined by 18 C.F.R. 35.19, if MAIT does not have short term debt</t>
  </si>
  <si>
    <t>Attachment H-28A, Attachment 20</t>
  </si>
  <si>
    <t>Operation and Maintenance Expenses</t>
  </si>
  <si>
    <t>Line No. [a]</t>
  </si>
  <si>
    <t>Account Reference</t>
  </si>
  <si>
    <t>Description</t>
  </si>
  <si>
    <t>Account Balance [b]</t>
  </si>
  <si>
    <t>Operation</t>
  </si>
  <si>
    <t>Operation Supervision and Engineering</t>
  </si>
  <si>
    <t>Load Dispatch-Reliability</t>
  </si>
  <si>
    <t>Load Dispatch-Monitor and Operate Transmission System</t>
  </si>
  <si>
    <t>Load-Dispatch-Transmission Service and Scheduling</t>
  </si>
  <si>
    <t>Scheduling, System Control and Dispatch Services</t>
  </si>
  <si>
    <t>Reliability, Planning and Standards Development</t>
  </si>
  <si>
    <t>Transmission Service Studies</t>
  </si>
  <si>
    <t>Generation Interconnection Studies</t>
  </si>
  <si>
    <t>Reliability, Planning and Standards Development Services</t>
  </si>
  <si>
    <t>Station Expenses</t>
  </si>
  <si>
    <t>Overhead Lines Expense</t>
  </si>
  <si>
    <t>Underground Lines Expense</t>
  </si>
  <si>
    <t>Miscellaneous Transmission Expense</t>
  </si>
  <si>
    <t>Rents</t>
  </si>
  <si>
    <t>TOTAL Operation (Enter Total of Lines 83 thru 98)</t>
  </si>
  <si>
    <t>Maintenance</t>
  </si>
  <si>
    <t>Maintenance Supervision and Engineering</t>
  </si>
  <si>
    <t>Maintenance of Structures</t>
  </si>
  <si>
    <t>Maintenance of Computer Hardware</t>
  </si>
  <si>
    <t>Maintenance of Computer Software</t>
  </si>
  <si>
    <t>Maintenance of Communication Equipment</t>
  </si>
  <si>
    <t>Maintenance of Miscellaneous Regional Transmission Plant</t>
  </si>
  <si>
    <t>Maintenance of Station Equipment</t>
  </si>
  <si>
    <t>Maintenance of Overhead Lines</t>
  </si>
  <si>
    <t>Maintenance of Underground Lines</t>
  </si>
  <si>
    <t>Maintenance of Miscellaneous Transmission Plant</t>
  </si>
  <si>
    <t>TOTAL Maintenance (Total of lines 101 thru 110)</t>
  </si>
  <si>
    <t>TOTAL Transmission Expenses (Total of lines 99 and 111) [c]</t>
  </si>
  <si>
    <t>[a]</t>
  </si>
  <si>
    <t>Line No. as would be reported in FERC Form 1, page 321</t>
  </si>
  <si>
    <t>[b]</t>
  </si>
  <si>
    <t>December balances as would be reported in FERC Form 1</t>
  </si>
  <si>
    <t>[c]</t>
  </si>
  <si>
    <t>Ties to Attachment H-28A, page 3, line 1, column 3</t>
  </si>
  <si>
    <t>Administrative and General (A&amp;G) Expenses</t>
  </si>
  <si>
    <t>Line No. [d]</t>
  </si>
  <si>
    <t>Account Balance [e]</t>
  </si>
  <si>
    <t>Administrative and General Salaries</t>
  </si>
  <si>
    <t>Office Supplies and Expenses</t>
  </si>
  <si>
    <t>Less 922</t>
  </si>
  <si>
    <t>Administrative Expenses Transferred - Credit</t>
  </si>
  <si>
    <t>Outside Services Employed</t>
  </si>
  <si>
    <t>Property Insurance</t>
  </si>
  <si>
    <t>Injuries and Damages</t>
  </si>
  <si>
    <t>Employee Pensions and Benefits</t>
  </si>
  <si>
    <t>Franchise Requirements</t>
  </si>
  <si>
    <t>Regulatory Commission Expense</t>
  </si>
  <si>
    <t>Less 929</t>
  </si>
  <si>
    <t>(Less) Duplicate Charges-Cr.</t>
  </si>
  <si>
    <t>General Advertising Expenses</t>
  </si>
  <si>
    <t>Miscellaneous General Expenses</t>
  </si>
  <si>
    <t>Total Operation (Enter Total of lines 181 thru 193)</t>
  </si>
  <si>
    <t>TOTAL A&amp;G Expenses (Total of lines 194 and 196) [f]</t>
  </si>
  <si>
    <t>[d]</t>
  </si>
  <si>
    <t>Line No. as would be reported in FERC Form 1, page 323</t>
  </si>
  <si>
    <t>[e]</t>
  </si>
  <si>
    <t>[f]</t>
  </si>
  <si>
    <t>Ties to Attachment H-28A, page 3, line 5, column 3</t>
  </si>
  <si>
    <t>Attachment  H-28A, Attachment 5b</t>
  </si>
  <si>
    <t>page 1 of 3</t>
  </si>
  <si>
    <t>ADIT Detail</t>
  </si>
  <si>
    <t>COLUMN A</t>
  </si>
  <si>
    <t>COLUMN B</t>
  </si>
  <si>
    <t>COLUMN C</t>
  </si>
  <si>
    <t>COLUMN D</t>
  </si>
  <si>
    <t>BALANCE AS</t>
  </si>
  <si>
    <t xml:space="preserve">AVERAGE </t>
  </si>
  <si>
    <t>BALANCE</t>
  </si>
  <si>
    <t>ACCOUNT 255:</t>
  </si>
  <si>
    <t>TOTAL ACCOUNT 255</t>
  </si>
  <si>
    <t>ACCOUNT 282:</t>
  </si>
  <si>
    <t>Other</t>
  </si>
  <si>
    <t>TOTAL ACCOUNT 282</t>
  </si>
  <si>
    <t>page 2 of 3</t>
  </si>
  <si>
    <t>ACCOUNT 283:</t>
  </si>
  <si>
    <t>TOTAL ACCOUNT 283</t>
  </si>
  <si>
    <t>page 3 of 3</t>
  </si>
  <si>
    <t>ACCOUNT 190:</t>
  </si>
  <si>
    <t>TOTAL ACCOUNT 190</t>
  </si>
  <si>
    <t>COLUMN E</t>
  </si>
  <si>
    <t>COLUMN F</t>
  </si>
  <si>
    <t>COLUMN G</t>
  </si>
  <si>
    <t>TRANSMISSION TOTAL</t>
  </si>
  <si>
    <t>ALLOCATION FACTOR</t>
  </si>
  <si>
    <t>(Col D times Col F)</t>
  </si>
  <si>
    <t xml:space="preserve">Land Held for Future Use (214.x.d) </t>
  </si>
  <si>
    <t>Materials &amp; Supplies (227.8.c &amp; .16.c)</t>
  </si>
  <si>
    <t>Prepayments: Account 165 (111.57.c) - Note [A]</t>
  </si>
  <si>
    <t>Unfunded Reserves</t>
  </si>
  <si>
    <t>Account 228.1</t>
  </si>
  <si>
    <t>Property Insurance (Self insurance not covered by property insurance)</t>
  </si>
  <si>
    <t>4b</t>
  </si>
  <si>
    <t>[Insert Item Included in Account 228.1 that are not allocated to transmission]</t>
  </si>
  <si>
    <t>4c</t>
  </si>
  <si>
    <t>Total Account 228.1 (112.27.c)</t>
  </si>
  <si>
    <t>Account 228.2</t>
  </si>
  <si>
    <t>Workman's Compensation</t>
  </si>
  <si>
    <t>Probable liabilities not covered by insurance for death or injuries to employees and others</t>
  </si>
  <si>
    <t>Probable liabilities not covered by insurance for damages to property neither owned nor held under lease by the utility</t>
  </si>
  <si>
    <t>5d</t>
  </si>
  <si>
    <t>[Insert Item Included in Account 228.2 that are not allocated to transmission]</t>
  </si>
  <si>
    <t>5e</t>
  </si>
  <si>
    <t>Total Account 228.2 (112.28.c)</t>
  </si>
  <si>
    <t>Account 228.3</t>
  </si>
  <si>
    <t>6a</t>
  </si>
  <si>
    <t>Year-End Vacation Pay Accrual</t>
  </si>
  <si>
    <t>6b</t>
  </si>
  <si>
    <t>Year-End Deferred Compensation Accrual</t>
  </si>
  <si>
    <t>6c</t>
  </si>
  <si>
    <t>Year-End Sick Pay Accrual</t>
  </si>
  <si>
    <t>6d</t>
  </si>
  <si>
    <t>Year-End Incentive Compensation Accrual</t>
  </si>
  <si>
    <t>6e</t>
  </si>
  <si>
    <t>Year-End Severance Pay Accrual</t>
  </si>
  <si>
    <t>6f</t>
  </si>
  <si>
    <t>Year-End PBOP/OPEB Accrual not included in established trusts</t>
  </si>
  <si>
    <t>6g</t>
  </si>
  <si>
    <t>[Insert Item Included in Account 228.3 that are not allocated to transmission]</t>
  </si>
  <si>
    <t>6h</t>
  </si>
  <si>
    <t>Total Account 228.3 (112.29.c )</t>
  </si>
  <si>
    <t>Account 228.4</t>
  </si>
  <si>
    <t>7a</t>
  </si>
  <si>
    <t>7b</t>
  </si>
  <si>
    <t>7c</t>
  </si>
  <si>
    <t>7d</t>
  </si>
  <si>
    <t>7e</t>
  </si>
  <si>
    <t>7f</t>
  </si>
  <si>
    <t>7g</t>
  </si>
  <si>
    <t>[Insert Item Included in Account 228.4 that are not allocated to transmission]</t>
  </si>
  <si>
    <t>7h</t>
  </si>
  <si>
    <t>7z</t>
  </si>
  <si>
    <t>Total Account 228.4 (112.30.c)</t>
  </si>
  <si>
    <t>Account 242</t>
  </si>
  <si>
    <t>8a</t>
  </si>
  <si>
    <t>8b</t>
  </si>
  <si>
    <t>8c</t>
  </si>
  <si>
    <t>8d</t>
  </si>
  <si>
    <t>8e</t>
  </si>
  <si>
    <t>8f</t>
  </si>
  <si>
    <t>8g</t>
  </si>
  <si>
    <t>[Insert Item Included in Account 242 that are not allocated to transmission]</t>
  </si>
  <si>
    <t>8h</t>
  </si>
  <si>
    <t>8z</t>
  </si>
  <si>
    <t>Total Account 242 (113.48.c)</t>
  </si>
  <si>
    <t>Total Unfunded Reserves Plant-related (items with GP allocator) - Note [B]</t>
  </si>
  <si>
    <t>Total Unfunded Reserves Labor-related (items with W/S allocator) - Note [C]</t>
  </si>
  <si>
    <t>Column G balance taken to Attachment H-28A, page 2, line 24, col. 3</t>
  </si>
  <si>
    <t>Column G balance taken to Attachment H-28A, page 2, line 25, col. 3</t>
  </si>
  <si>
    <t>FirstEnergy 2015 Actuarial Study</t>
  </si>
  <si>
    <t>FirstEnergy 2015 Actual: Company Records</t>
  </si>
  <si>
    <t>MAIT Labor: Company Records</t>
  </si>
  <si>
    <t>PBOP expense in Account 926 for current year</t>
  </si>
  <si>
    <t>MAIT Account 926: Company Records</t>
  </si>
  <si>
    <t>Attachment H-28A, page 3, line 11</t>
  </si>
  <si>
    <t>(Column 4 + Column 5)/2;  Beg/End Average for line 1 included on Attachment H-28A, page 3, line 33; Beg/End Average for lines 2-3 taken to Attachment H-28A, page 3, line 34</t>
  </si>
  <si>
    <t>Attachment 11, page 2, line 4, col 11 (Note AA)</t>
  </si>
  <si>
    <t>4. Net Plant Allocator</t>
  </si>
  <si>
    <t>Revenue Credit Worksheet</t>
  </si>
  <si>
    <t>Account 451 -- Miscellaneous Service Revenues</t>
  </si>
  <si>
    <t>Note S, page 5</t>
  </si>
  <si>
    <t>Account 454 -- Rent from Electric Property</t>
  </si>
  <si>
    <t>FERC Form 1, pages 300 and 429</t>
  </si>
  <si>
    <t>Note R, page 5</t>
  </si>
  <si>
    <t>Account 456 -- Other Electric Revenues</t>
  </si>
  <si>
    <t>Note V, page 5</t>
  </si>
  <si>
    <t xml:space="preserve">         </t>
  </si>
  <si>
    <t>Attachment  H-28A, Attachment 21</t>
  </si>
  <si>
    <t>Attachment 14, Line 9, Col. G (Note Y)</t>
  </si>
  <si>
    <t>Attachment 14, Line 10, Col. G (Note Y)</t>
  </si>
  <si>
    <t>214.x.d (Attachment 14, Line 1, Col. D) (Notes G &amp; Y)</t>
  </si>
  <si>
    <t xml:space="preserve">227.8.c &amp; .16.c (Attachment 14, Line 2, Col. D) (Note Y) </t>
  </si>
  <si>
    <t>111.57.c (Attachment 14, Line 3, Col. D) (Notes B &amp; Y)</t>
  </si>
  <si>
    <t>1</t>
  </si>
  <si>
    <t xml:space="preserve">Amount </t>
  </si>
  <si>
    <t xml:space="preserve">    Account 451 Total</t>
  </si>
  <si>
    <t xml:space="preserve">     Account 454 Total</t>
  </si>
  <si>
    <t xml:space="preserve">    Account 456 Total</t>
  </si>
  <si>
    <t>Above expenses do not include amounts for Met-Ed's 34.5 kV transmission lines</t>
  </si>
  <si>
    <t>Lines 3-4 cannot change absent a Section 205 or 206 filing approved or accepted by FERC in a separate proceeding</t>
  </si>
  <si>
    <t>321.112.b (Attachment 20, page 1, line 112)</t>
  </si>
  <si>
    <t>323.197.b (Attachment 20, page 2, line 197)</t>
  </si>
  <si>
    <t>MAIT Company Records</t>
  </si>
  <si>
    <t>(300.17.b) (Attachment 21, line 1z)</t>
  </si>
  <si>
    <t>(300.19.b) (Attachment 21, line 2z)</t>
  </si>
  <si>
    <t>(330.x.n) (Attachment 21, line 3z)</t>
  </si>
  <si>
    <t>5. Land Rights</t>
  </si>
  <si>
    <t>If Land Rights (Account 350) are acquired by MAIT, it must make a Section 205 filing to establish the appropriate depreciation rate.</t>
  </si>
  <si>
    <t xml:space="preserve"> Met-Ed retained 34.5kV lines</t>
  </si>
  <si>
    <t>MAIT's stated ROE is set to: 10.3%</t>
  </si>
  <si>
    <t>If the Net Plant (NP) allocator becomes anything other than 1.000 (or 100%), MAIT must make a Section 205 filing to seek approval of any new depreciation or amortization rates applicable to production and/or distribution plant accounts.</t>
  </si>
  <si>
    <t>FERC Form 1 , page 300 and footnote data</t>
  </si>
  <si>
    <t>Install 230Kv series reactor and 2- 100MVAR PLC switched capacitors at Hunterstown</t>
  </si>
  <si>
    <t>b0215</t>
  </si>
  <si>
    <t>Install 250 MVAR capacitor at Keystone 500 kV</t>
  </si>
  <si>
    <t>b0549</t>
  </si>
  <si>
    <t>2d</t>
  </si>
  <si>
    <t>Install 25 MVAR capacitor at Saxton 115 kV substation</t>
  </si>
  <si>
    <t>b0551</t>
  </si>
  <si>
    <t>2e</t>
  </si>
  <si>
    <t>Install 50 MVAR capacitor at Altoona 230 kV substation</t>
  </si>
  <si>
    <t>b0552</t>
  </si>
  <si>
    <t>2f</t>
  </si>
  <si>
    <t>Install 50 MVAR capacitor at Raystown 230 kV substation</t>
  </si>
  <si>
    <t>b0553</t>
  </si>
  <si>
    <t>2g</t>
  </si>
  <si>
    <t>Install 75 MVAR capacitor at East Towanda 230 kV substation</t>
  </si>
  <si>
    <t>b0557</t>
  </si>
  <si>
    <t>2h</t>
  </si>
  <si>
    <t>Relocate the Erie South 345 kV line terminal</t>
  </si>
  <si>
    <t>b1993</t>
  </si>
  <si>
    <t>Convert Lewis Run-Farmers Valley to 230 kV using 1033.5 ACSR conductor. Project to be completed in conjunction with new Farmers Valley 345/230 kV transformation</t>
  </si>
  <si>
    <t>b1994</t>
  </si>
  <si>
    <t>2j</t>
  </si>
  <si>
    <t>Loop the 2026 (TMI - Hosensack 500 kV) line in to the Lauschtown substation and upgrade relay at TMI 500 kV</t>
  </si>
  <si>
    <t>b2006.1.1_DFAX_Allocation</t>
  </si>
  <si>
    <t>2k</t>
  </si>
  <si>
    <t>b2006.1.1_Load_Ratio_Share_Allocation</t>
  </si>
  <si>
    <t>2l</t>
  </si>
  <si>
    <t>Install 2nd Hunterstown 230/115 kV transformer</t>
  </si>
  <si>
    <t>b2452</t>
  </si>
  <si>
    <t>Transmission Charge - TMI Unit 1</t>
  </si>
  <si>
    <t>Transmission Investment - Power Pool Agreement</t>
  </si>
  <si>
    <t>FERC Form 1, page 330 and footnote data</t>
  </si>
  <si>
    <t>Transmission of Electricity by Others</t>
  </si>
  <si>
    <t>Maintenance of General Plant</t>
  </si>
  <si>
    <t>(See Footnote T on Attachment H-28A, page 5)</t>
  </si>
  <si>
    <t>Sum of FAS143, FAS106, FAS109, CIAC and Other from Attachment 5, page 1, notes</t>
  </si>
  <si>
    <t>b2452.1</t>
  </si>
  <si>
    <t>2m</t>
  </si>
  <si>
    <t>Reconductor Hunterstown - Oxford 115 kV line</t>
  </si>
  <si>
    <t>[H]</t>
  </si>
  <si>
    <t>Include any additional adjustments to ADIT items as may be recognized in the future to be proper for PTRR/ATRR calculation purposes.</t>
  </si>
  <si>
    <t>Other: [H]</t>
  </si>
  <si>
    <t>Point-to-point Revenues</t>
  </si>
  <si>
    <t xml:space="preserve">In its order approving the transfer of Penelec’s and Met-Ed’s transmission assets to MAIT, the Commission approved MAIT’s commitment to apply a 50 percent equity/50 percent debt capital structure for ratemaking purposes for a two-year transition period.  Pennsylvania Electric, 154 FERC ¶ 61,109 at P 51.  Consequently, for the first two years (i.e., calendar years 2017 and 2018) the hypothetical capital structure will be used instead of the actual calculation.  Per the Settlement Agreement in docket number ER17-211-000, beginning in calendar year 2019, the equity component of MAIT’s capital structure to be used in calculating charges under the formula rate shall be the lower of (i) MAIT’s actual equity component as calculated in accordance with Attachment 8 or (ii) 60%.   </t>
  </si>
  <si>
    <t>Includes the annual income tax cost or benefits due to permanent differences or differences between the amounts of expenses or revenues recognized in one period for ratemaking purposes and the amounts recognized for income tax purposes which do not reverse in one or more other periods, including the cost of income taxes on the Allowance for Other Funds Used During Construction.</t>
  </si>
  <si>
    <t>See Attachment H-28A, page 5, note K; A utility that elected to utilize amortization of tax credits against taxable income, rather than book tax credits to Account No. 255 and reduce rate base, must reduce its income tax expense by the amount of the Amortized Investment Tax Credit (Form 1, 266.8.f).</t>
  </si>
  <si>
    <t>Taken from Attachment 5a, page 2, col. 4.</t>
  </si>
  <si>
    <t>Debt cost rate will be set at 4.5% until such time as debt is issued by MAIT.  Once debt is issued, the long-term debt cost rate will be the weighted average of the rates for all outstanding debt instruments, calculated within Attachment 10, col. j.  Consistent with Note C, there will be no preferred stock cost, consistent with MAIT’s commitment to use a hypothetical 50%/50% capital structure until calendar year 2019.  Thereafter, Preferred cost rate = preferred dividends (line 21) / preferred outstanding (line 23).  No change in ROE may be made absent a filing with FERC under Section 205 or Section 206 of the Federal Power Act.  Per the Settlement Agreement in Docket No. ER17-211-000, MAIT's stated ROE is set to 10.30% (9.8% base ROE plus 50 basis point adder for RTO participation).</t>
  </si>
  <si>
    <r>
      <t>216.b (Notes X &amp; Z</t>
    </r>
    <r>
      <rPr>
        <sz val="12"/>
        <rFont val="Arial MT"/>
        <family val="1"/>
      </rPr>
      <t>)</t>
    </r>
  </si>
  <si>
    <t>Removes dollar amount of transmission expenses included in the OATT ancillary services rates, including Account Nos. 561.1 - 561.3, and 561.BA., and related to generation step-up facilities, which are deemed included in OATT ancillary services.  For these purposes, generation step-up facilities are those facilities at a generator substation on which there is no through-flow when the generator is shut down.</t>
  </si>
  <si>
    <t>263A MSC-PA-Norm</t>
  </si>
  <si>
    <t>263A-PA-Norm</t>
  </si>
  <si>
    <t>Accelerated Tax Depr-Fed-FT</t>
  </si>
  <si>
    <t>Accelerated Tax Depr-PA-FT</t>
  </si>
  <si>
    <t>Accelerated Tax Depr-Fed-Norm</t>
  </si>
  <si>
    <t>AFUDC debt-Fed-Norm-reversal-CWIP</t>
  </si>
  <si>
    <t>AFUDC debt-PA-Norm</t>
  </si>
  <si>
    <t>AFUDC debt-Fed-Norm-incurred-CWIP</t>
  </si>
  <si>
    <t>AFUDC Equity/FAS 43-Fed-FT</t>
  </si>
  <si>
    <t>AFUDC Equity/FAS 43-Fed-FT-incurred-CWIP</t>
  </si>
  <si>
    <t>AFUDC Equity/FAS 43-PA-FT</t>
  </si>
  <si>
    <t>AFUDC Equity/FAS 43-PA-FT-incurred-CWIP</t>
  </si>
  <si>
    <t>ARO-PA-Norm</t>
  </si>
  <si>
    <t>Cap Vertical Tree Trimming-PA-Norm</t>
  </si>
  <si>
    <t>Casualty Loss PA-Norm</t>
  </si>
  <si>
    <t>CIAC-Fed-Norm-reversal-CWIP</t>
  </si>
  <si>
    <t>CIAC-PA-Norm-reversal-CWIP</t>
  </si>
  <si>
    <t>Deferred Charge-EIB</t>
  </si>
  <si>
    <t xml:space="preserve">FAS109 Gross-up on Non-property Items </t>
  </si>
  <si>
    <t>FAS123R - Performance Shares-PA-Norm</t>
  </si>
  <si>
    <t>FAS123R - Restricted Stock-Fed-Norm</t>
  </si>
  <si>
    <t>FAS123R - RSU Capital-PA-Norm</t>
  </si>
  <si>
    <t>G Overheads-PA-Norm</t>
  </si>
  <si>
    <t>Life Insurance-Fed-Norm</t>
  </si>
  <si>
    <t>OPEBs-Fed-Norm</t>
  </si>
  <si>
    <t>Other Basis Differences-Fed-Norm</t>
  </si>
  <si>
    <t>Pensions-Fed-Norm</t>
  </si>
  <si>
    <t>PJM Receivable</t>
  </si>
  <si>
    <t>Storm Damage</t>
  </si>
  <si>
    <t>Tax Interest Capitalized-Fed-Norm-Reversal-CWIP</t>
  </si>
  <si>
    <t>Tax Interest Capitalized-PA-Norm-Reversal-CWIP</t>
  </si>
  <si>
    <t>Tax UoP Repair Exp-Fed-Norm-Reversal-CWIP</t>
  </si>
  <si>
    <t>Tax UoP Repair Exp-PA-Norm-Reversal-CWIP</t>
  </si>
  <si>
    <t>Tax UoP Repair Exp-PA-Norm</t>
  </si>
  <si>
    <t>Vegetation Management</t>
  </si>
  <si>
    <t>AFUDC Debt-Fed-Norm</t>
  </si>
  <si>
    <t>AFUDC debt-PA-Norm-reversal-CWIP</t>
  </si>
  <si>
    <t>AFUDC Equity/FAS 43-Fed-FT-reversal-CWIP</t>
  </si>
  <si>
    <t>AFUDC Equity/FAS 43-PA-FT-reversal-CWIP</t>
  </si>
  <si>
    <t>ARO-Fed-Norm</t>
  </si>
  <si>
    <t>Asset Retirement Obligation Liability</t>
  </si>
  <si>
    <t>Cap Vertical Tree Trimming-Fed-Norm</t>
  </si>
  <si>
    <t>Casualty Loss Fed-Norm</t>
  </si>
  <si>
    <t>CIAC-Fed-Norm</t>
  </si>
  <si>
    <t>CIAC-Fed-Norm-Incurred-CWIP</t>
  </si>
  <si>
    <t>CIAC-PA-Norm</t>
  </si>
  <si>
    <t>CIAC-PA-Norm-Incurred-CWIP</t>
  </si>
  <si>
    <t>FAS123R - Performance Shares-Fed-Norm</t>
  </si>
  <si>
    <t>FAS123R - Restricted Stock-PA-Norm</t>
  </si>
  <si>
    <t>FAS123R - RSU Capital-Fed-Norm</t>
  </si>
  <si>
    <t>G Overheads-Fed-Norm</t>
  </si>
  <si>
    <t>ITC FAS 109</t>
  </si>
  <si>
    <t>Life Insurance-PA-Norm</t>
  </si>
  <si>
    <t>OPEBs-PA-Norm</t>
  </si>
  <si>
    <t>Other Basis Differences-PA-Norm</t>
  </si>
  <si>
    <t>Pensions-PA-Norm</t>
  </si>
  <si>
    <t>PJM Payable</t>
  </si>
  <si>
    <t>Tax Interest Capitalized-Fed-Norm</t>
  </si>
  <si>
    <t>Tax Interest Capitalized-Fed-Norm-Incurred-CWIP</t>
  </si>
  <si>
    <t>Tax Interest Capitalized-PA-Norm</t>
  </si>
  <si>
    <t>Tax Interest Capitalized-PA-Norm-Incurred-CWIP</t>
  </si>
  <si>
    <t>Tax UoP Repair Exp-Fed-Norm</t>
  </si>
  <si>
    <t>Tax UoP Repair Exp-Fed-Norm-Incurred-CWIP</t>
  </si>
  <si>
    <t>Tax UoP Repair Exp-PA-Norm-Incurred-CWIP</t>
  </si>
  <si>
    <t xml:space="preserve">Vegetation Management </t>
  </si>
  <si>
    <t>Commitment Fees (Short-term debt revolving credit facilities)</t>
  </si>
  <si>
    <t>Reimbursable Project Work</t>
  </si>
  <si>
    <t>Accumulated Deferred Investment Tax Credits</t>
  </si>
  <si>
    <t>263A MSC-Fed-Norm</t>
  </si>
  <si>
    <t>263A-Fed-Norm</t>
  </si>
  <si>
    <t>Accelerated Tax Depr-PA-Norm</t>
  </si>
  <si>
    <t>AFUDC Debt-Fed-Norm-Incurred-CWIP</t>
  </si>
  <si>
    <t>AFUDC Debt-Fed-Norm-Reversal-CWIP</t>
  </si>
  <si>
    <t>AFUDC Debt-PA-Norm</t>
  </si>
  <si>
    <t>AFUDC Debt-PA-Norm-Incurred-CWIP</t>
  </si>
  <si>
    <t>AFUDC Debt-PA-Norm-Reversal-CWIP</t>
  </si>
  <si>
    <t>AFUDC Equity/FAS 43-Fed-FT-Incurred-CWIP</t>
  </si>
  <si>
    <t>AFUDC Equity/FAS 43-Fed-FT-Reversal-CWIP</t>
  </si>
  <si>
    <t>AFUDC Equity/FAS 43-PA-FT-Incurred-CWIP</t>
  </si>
  <si>
    <t>AFUDC Equity/FAS 43-PA-FT-Reversal-CWIP</t>
  </si>
  <si>
    <t>Casualty Loss-Fed-Norm</t>
  </si>
  <si>
    <t>Casualty Loss-PA-Norm</t>
  </si>
  <si>
    <t>FAS 123R - Performance Shares-Fed-Norm</t>
  </si>
  <si>
    <t>FAS 123R - Performance Shares-PA-Norm</t>
  </si>
  <si>
    <t>FAS 123R - Restricted Stock-Fed-Norm</t>
  </si>
  <si>
    <t>FAS 123R - Restricted Stock-PA-Norm</t>
  </si>
  <si>
    <t>FAS 123R - RSU Capital-Fed-Norm</t>
  </si>
  <si>
    <t>FAS 123R - RSU Capital-PA-Norm</t>
  </si>
  <si>
    <t>Sale of Property - Book Gain or (Loss)</t>
  </si>
  <si>
    <t>Tax UoP Repair Exp-PA-FT</t>
  </si>
  <si>
    <t xml:space="preserve">Dec 31, </t>
  </si>
  <si>
    <t>Federal - Other</t>
  </si>
  <si>
    <t xml:space="preserve">Germantown r p 138 115kV #1 Bk Xfmr + Upgrade 138kV 999L &amp; 115kV 998L components </t>
  </si>
  <si>
    <t>b2688.1</t>
  </si>
  <si>
    <t>December 2018</t>
  </si>
  <si>
    <t>OF 12-31-18</t>
  </si>
  <si>
    <t xml:space="preserve">Pension/OPEB : Other Deferred Credit or Debit </t>
  </si>
  <si>
    <t>State Income Tax Deductible</t>
  </si>
  <si>
    <t>Federal NOL</t>
  </si>
  <si>
    <t>NOL Deferred Tax Asset - LT PA</t>
  </si>
  <si>
    <t>4.10%, Senior Unsecured Notes</t>
  </si>
  <si>
    <t>Accumulated Depreciation</t>
  </si>
  <si>
    <t>Project Net Plant</t>
  </si>
  <si>
    <t>Ending Balance 13-Month Average</t>
  </si>
  <si>
    <t xml:space="preserve">  CWC  </t>
  </si>
  <si>
    <t>PT Rebal-Add'l Property RTA-All-Norm</t>
  </si>
  <si>
    <t>Tax Depreciation Adjustment - PA</t>
  </si>
  <si>
    <t>Seneca Transmission Facilities Charges</t>
  </si>
  <si>
    <t xml:space="preserve">Portland-Kittatinny 230kv Terminal Upgrade </t>
  </si>
  <si>
    <t>b0132.3</t>
  </si>
  <si>
    <t xml:space="preserve">South Lebanon 230/69 kv Bank 1 - Upgrade 69 kv Terminal Facilities </t>
  </si>
  <si>
    <t>b1364</t>
  </si>
  <si>
    <t>Middletown Sub - 69 kv Capacitor Bank</t>
  </si>
  <si>
    <t>b1362</t>
  </si>
  <si>
    <t xml:space="preserve">Germantown - 138kv Reactor Removal </t>
  </si>
  <si>
    <t>b1816.4</t>
  </si>
  <si>
    <t xml:space="preserve">2i </t>
  </si>
  <si>
    <t>2n</t>
  </si>
  <si>
    <t>2o</t>
  </si>
  <si>
    <t>2p</t>
  </si>
  <si>
    <t>2q</t>
  </si>
  <si>
    <t>Year 2019</t>
  </si>
  <si>
    <t>Year 2020</t>
  </si>
  <si>
    <t>An over or under collection will be recovered prorata over 2018, held for 2019 and returned prorate over 2020</t>
  </si>
  <si>
    <t>Install 25 MVAR capacitor at Lewis Run 115 kV substation</t>
  </si>
  <si>
    <t>b0550</t>
  </si>
  <si>
    <t>2i</t>
  </si>
  <si>
    <t>For the 12 months ended 12/31/2019</t>
  </si>
  <si>
    <t>2019 Quarterly Activity and Balances</t>
  </si>
  <si>
    <t>2019 Activity</t>
  </si>
  <si>
    <t>OF 12-31-19</t>
  </si>
  <si>
    <t>Dec 31, 2019</t>
  </si>
  <si>
    <t>Reconciliation Revenue Requirement For Year 2019 filed on June 1, 2020</t>
  </si>
  <si>
    <t>2019 Revenue Requirement Collected by PJM Based on Forecast filed on Oct XX, 2018</t>
  </si>
  <si>
    <t>Year 2021</t>
  </si>
  <si>
    <t>TEC Reconciliation Revenue Requirement For Year 2019 Available June 1, 2020</t>
  </si>
  <si>
    <t>TEC 2019 Revenue Requirement Collected by PJM Based on Forecast filed on Oct XX, 2018</t>
  </si>
  <si>
    <t>December 2019</t>
  </si>
  <si>
    <t>December 31, 2019</t>
  </si>
  <si>
    <t>b2688.1 &amp; b2688.2</t>
  </si>
  <si>
    <t>Lease ROU Asset &amp; Liability</t>
  </si>
  <si>
    <t>Charitable Contribution Carryforward</t>
  </si>
  <si>
    <t>Sale of Property Book Gain Loss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</si>
</sst>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2">
    <numFmt numFmtId="5" formatCode="&quot;$&quot;#,##0_);\(&quot;$&quot;#,##0\)"/>
    <numFmt numFmtId="6" formatCode="&quot;$&quot;#,##0_);[Red]\(&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000%"/>
    <numFmt numFmtId="165" formatCode="#,##0.00000"/>
    <numFmt numFmtId="166" formatCode="0.00000"/>
    <numFmt numFmtId="167" formatCode="#,##0.0000"/>
    <numFmt numFmtId="168" formatCode="#,##0.000"/>
    <numFmt numFmtId="169" formatCode="0.0000"/>
    <numFmt numFmtId="170" formatCode="&quot;$&quot;#,##0"/>
    <numFmt numFmtId="171" formatCode="0.0%"/>
    <numFmt numFmtId="172" formatCode="#,##0.0"/>
    <numFmt numFmtId="173" formatCode="&quot;$&quot;#,##0.000"/>
    <numFmt numFmtId="174" formatCode="&quot;$&quot;#,##0.00"/>
    <numFmt numFmtId="175" formatCode="_(&quot;$&quot;* #,##0_);_(&quot;$&quot;* \(#,##0\);_(&quot;$&quot;* &quot;-&quot;??_);_(@_)"/>
    <numFmt numFmtId="176" formatCode="0_);\(0\)"/>
    <numFmt numFmtId="177" formatCode="#,##0.0000000"/>
    <numFmt numFmtId="178" formatCode="_(* #,##0_);_(* \(#,##0\);_(* &quot;-&quot;??_);_(@_)"/>
    <numFmt numFmtId="179" formatCode="0.000000%"/>
    <numFmt numFmtId="180" formatCode="_(&quot;$&quot;* #,##0.0000_);_(&quot;$&quot;* \(#,##0.0000\);_(&quot;$&quot;* &quot;-&quot;??_);_(@_)"/>
    <numFmt numFmtId="181" formatCode="0.00000_);\(0.00000\)"/>
    <numFmt numFmtId="182" formatCode="0.0000%"/>
    <numFmt numFmtId="183" formatCode="_(* #,##0.0000_);_(* \(#,##0.0000\);_(* &quot;-&quot;??_);_(@_)"/>
    <numFmt numFmtId="184" formatCode="_(* #,##0.0_);_(* \(#,##0.0\);_(* &quot;-&quot;??_);_(@_)"/>
    <numFmt numFmtId="185" formatCode="0.00000%"/>
    <numFmt numFmtId="186" formatCode="&quot;$&quot;#,##0.0000"/>
    <numFmt numFmtId="187" formatCode="_(* #,##0.00000_);_(* \(#,##0.00000\);_(* &quot;-&quot;??_);_(@_)"/>
    <numFmt numFmtId="188" formatCode="0.0000000"/>
    <numFmt numFmtId="189" formatCode="&quot;$&quot;#,##0.00000"/>
  </numFmts>
  <fonts count="165">
    <font>
      <sz val="12"/>
      <name val="Arial MT"/>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8"/>
      <name val="Arial"/>
      <family val="2"/>
    </font>
    <font>
      <b/>
      <sz val="14"/>
      <name val="Arial"/>
      <family val="2"/>
    </font>
    <font>
      <sz val="10"/>
      <name val="Arial"/>
      <family val="2"/>
    </font>
    <font>
      <b/>
      <i/>
      <sz val="14"/>
      <name val="Arial"/>
      <family val="2"/>
    </font>
    <font>
      <b/>
      <sz val="12"/>
      <name val="Arial"/>
      <family val="2"/>
    </font>
    <font>
      <b/>
      <sz val="11"/>
      <name val="Arial"/>
      <family val="2"/>
    </font>
    <font>
      <b/>
      <sz val="24"/>
      <name val="Arial Narrow"/>
      <family val="2"/>
    </font>
    <font>
      <b/>
      <i/>
      <sz val="12"/>
      <name val="Arial"/>
      <family val="2"/>
    </font>
    <font>
      <i/>
      <sz val="12"/>
      <name val="Arial"/>
      <family val="2"/>
    </font>
    <font>
      <sz val="12"/>
      <name val="Arial"/>
      <family val="2"/>
    </font>
    <font>
      <sz val="9"/>
      <name val="Arial"/>
      <family val="2"/>
    </font>
    <font>
      <i/>
      <sz val="10"/>
      <name val="Arial"/>
      <family val="2"/>
    </font>
    <font>
      <sz val="10"/>
      <name val="Arial"/>
      <family val="2"/>
    </font>
    <font>
      <sz val="9"/>
      <color indexed="18"/>
      <name val="Arial"/>
      <family val="2"/>
    </font>
    <font>
      <i/>
      <sz val="10"/>
      <color indexed="18"/>
      <name val="Arial"/>
      <family val="2"/>
    </font>
    <font>
      <sz val="10"/>
      <color indexed="18"/>
      <name val="Arial"/>
      <family val="2"/>
    </font>
    <font>
      <sz val="8"/>
      <color indexed="18"/>
      <name val="Arial"/>
      <family val="2"/>
    </font>
    <font>
      <i/>
      <sz val="9"/>
      <color indexed="18"/>
      <name val="Arial"/>
      <family val="2"/>
    </font>
    <font>
      <b/>
      <sz val="18"/>
      <name val="Arial"/>
      <family val="2"/>
    </font>
    <font>
      <b/>
      <sz val="12"/>
      <name val="Arial"/>
      <family val="2"/>
    </font>
    <font>
      <b/>
      <sz val="14"/>
      <name val="Book Antiqua"/>
      <family val="1"/>
    </font>
    <font>
      <i/>
      <sz val="10"/>
      <name val="Book Antiqua"/>
      <family val="1"/>
    </font>
    <font>
      <sz val="10"/>
      <name val="MS Sans Serif"/>
    </font>
    <font>
      <b/>
      <sz val="10"/>
      <name val="MS Sans Serif"/>
    </font>
    <font>
      <sz val="8"/>
      <color indexed="38"/>
      <name val="Arial"/>
      <family val="2"/>
    </font>
    <font>
      <b/>
      <sz val="9"/>
      <name val="Arial"/>
      <family val="2"/>
    </font>
    <font>
      <b/>
      <sz val="10"/>
      <name val="Arial"/>
      <family val="2"/>
    </font>
    <font>
      <b/>
      <i/>
      <sz val="16"/>
      <name val="Arial"/>
      <family val="2"/>
    </font>
    <font>
      <b/>
      <sz val="12"/>
      <color indexed="32"/>
      <name val="Arial"/>
      <family val="2"/>
    </font>
    <font>
      <i/>
      <sz val="11"/>
      <name val="Arial"/>
      <family val="2"/>
    </font>
    <font>
      <sz val="11"/>
      <name val="Arial"/>
      <family val="2"/>
    </font>
    <font>
      <sz val="12"/>
      <name val="Times New Roman"/>
      <family val="1"/>
    </font>
    <font>
      <b/>
      <sz val="12"/>
      <name val="Times New Roman"/>
      <family val="1"/>
    </font>
    <font>
      <sz val="10"/>
      <name val="Times New Roman"/>
      <family val="1"/>
    </font>
    <font>
      <sz val="10"/>
      <name val="Arial MT"/>
    </font>
    <font>
      <u/>
      <sz val="12"/>
      <name val="Times New Roman"/>
      <family val="1"/>
    </font>
    <font>
      <sz val="8"/>
      <name val="Arial"/>
      <family val="2"/>
    </font>
    <font>
      <sz val="11"/>
      <color indexed="8"/>
      <name val="Calibri"/>
      <family val="2"/>
    </font>
    <font>
      <sz val="11"/>
      <color indexed="9"/>
      <name val="Calibri"/>
      <family val="2"/>
    </font>
    <font>
      <sz val="11"/>
      <color indexed="20"/>
      <name val="Calibri"/>
      <family val="2"/>
    </font>
    <font>
      <b/>
      <sz val="11"/>
      <color indexed="10"/>
      <name val="Calibri"/>
      <family val="2"/>
    </font>
    <font>
      <b/>
      <sz val="11"/>
      <color indexed="9"/>
      <name val="Calibri"/>
      <family val="2"/>
    </font>
    <font>
      <sz val="12"/>
      <name val="Arial MT"/>
    </font>
    <font>
      <i/>
      <sz val="11"/>
      <color indexed="23"/>
      <name val="Calibri"/>
      <family val="2"/>
    </font>
    <font>
      <sz val="11"/>
      <color indexed="17"/>
      <name val="Calibri"/>
      <family val="2"/>
    </font>
    <font>
      <b/>
      <sz val="11"/>
      <color indexed="62"/>
      <name val="Calibri"/>
      <family val="2"/>
    </font>
    <font>
      <sz val="11"/>
      <color indexed="62"/>
      <name val="Calibri"/>
      <family val="2"/>
    </font>
    <font>
      <sz val="11"/>
      <color indexed="10"/>
      <name val="Calibri"/>
      <family val="2"/>
    </font>
    <font>
      <sz val="11"/>
      <color indexed="19"/>
      <name val="Calibri"/>
      <family val="2"/>
    </font>
    <font>
      <b/>
      <sz val="11"/>
      <color indexed="63"/>
      <name val="Calibri"/>
      <family val="2"/>
    </font>
    <font>
      <sz val="10"/>
      <name val="MS Sans Serif"/>
      <family val="2"/>
    </font>
    <font>
      <b/>
      <sz val="18"/>
      <color indexed="62"/>
      <name val="Cambria"/>
      <family val="2"/>
    </font>
    <font>
      <sz val="10"/>
      <name val="Arial Narrow"/>
      <family val="2"/>
    </font>
    <font>
      <sz val="12"/>
      <name val="Calibri"/>
      <family val="2"/>
      <scheme val="minor"/>
    </font>
    <font>
      <sz val="10"/>
      <name val="Calibri"/>
      <family val="2"/>
      <scheme val="minor"/>
    </font>
    <font>
      <b/>
      <sz val="12"/>
      <name val="Calibri"/>
      <family val="2"/>
      <scheme val="minor"/>
    </font>
    <font>
      <b/>
      <sz val="10"/>
      <name val="Calibri"/>
      <family val="2"/>
      <scheme val="minor"/>
    </font>
    <font>
      <b/>
      <sz val="12"/>
      <color rgb="FFFF0000"/>
      <name val="Calibri"/>
      <family val="2"/>
      <scheme val="minor"/>
    </font>
    <font>
      <b/>
      <sz val="12"/>
      <color rgb="FFFF0000"/>
      <name val="Times New Roman"/>
      <family val="1"/>
    </font>
    <font>
      <b/>
      <sz val="12"/>
      <color theme="0"/>
      <name val="Calibri"/>
      <family val="2"/>
      <scheme val="minor"/>
    </font>
    <font>
      <sz val="12"/>
      <color theme="0"/>
      <name val="Calibri"/>
      <family val="2"/>
      <scheme val="minor"/>
    </font>
    <font>
      <sz val="12"/>
      <name val="Arial Narrow"/>
      <family val="2"/>
    </font>
    <font>
      <b/>
      <sz val="12"/>
      <name val="Arial Narrow"/>
      <family val="2"/>
    </font>
    <font>
      <b/>
      <u/>
      <sz val="12"/>
      <name val="Arial Narrow"/>
      <family val="2"/>
    </font>
    <font>
      <sz val="10"/>
      <color theme="1"/>
      <name val="Arial"/>
      <family val="2"/>
    </font>
    <font>
      <b/>
      <sz val="10"/>
      <color theme="1"/>
      <name val="Arial"/>
      <family val="2"/>
    </font>
    <font>
      <i/>
      <sz val="10"/>
      <color theme="1"/>
      <name val="Arial"/>
      <family val="2"/>
    </font>
    <font>
      <sz val="12"/>
      <color rgb="FFFF0000"/>
      <name val="Calibri"/>
      <family val="2"/>
      <scheme val="minor"/>
    </font>
    <font>
      <u/>
      <sz val="12"/>
      <name val="Calibri"/>
      <family val="2"/>
      <scheme val="minor"/>
    </font>
    <font>
      <u val="singleAccounting"/>
      <sz val="12"/>
      <name val="Calibri"/>
      <family val="2"/>
      <scheme val="minor"/>
    </font>
    <font>
      <strike/>
      <sz val="10"/>
      <name val="Arial"/>
      <family val="2"/>
    </font>
    <font>
      <b/>
      <sz val="10"/>
      <color indexed="10"/>
      <name val="Arial"/>
      <family val="2"/>
    </font>
    <font>
      <b/>
      <sz val="14"/>
      <name val="Arial Narrow"/>
      <family val="2"/>
    </font>
    <font>
      <b/>
      <sz val="12"/>
      <color indexed="10"/>
      <name val="Arial"/>
      <family val="2"/>
    </font>
    <font>
      <b/>
      <sz val="12"/>
      <color indexed="13"/>
      <name val="Helvetica"/>
      <family val="2"/>
    </font>
    <font>
      <sz val="12"/>
      <color indexed="12"/>
      <name val="Arial"/>
      <family val="2"/>
    </font>
    <font>
      <b/>
      <sz val="12"/>
      <color indexed="13"/>
      <name val="Helv"/>
    </font>
    <font>
      <b/>
      <sz val="12"/>
      <name val="Helv"/>
    </font>
    <font>
      <sz val="12"/>
      <color indexed="12"/>
      <name val="Helv"/>
    </font>
    <font>
      <sz val="12"/>
      <name val="Helv"/>
    </font>
    <font>
      <b/>
      <u/>
      <sz val="10"/>
      <name val="Arial"/>
      <family val="2"/>
    </font>
    <font>
      <sz val="10"/>
      <color indexed="12"/>
      <name val="Arial"/>
      <family val="2"/>
    </font>
    <font>
      <sz val="14"/>
      <name val="Arial"/>
      <family val="2"/>
    </font>
    <font>
      <b/>
      <sz val="10"/>
      <name val="Arial Narrow"/>
      <family val="2"/>
    </font>
    <font>
      <sz val="10"/>
      <color indexed="10"/>
      <name val="Arial"/>
      <family val="2"/>
    </font>
    <font>
      <b/>
      <sz val="10"/>
      <color indexed="10"/>
      <name val="Arial Narrow"/>
      <family val="2"/>
    </font>
    <font>
      <b/>
      <sz val="10"/>
      <color indexed="10"/>
      <name val="Helv"/>
    </font>
    <font>
      <sz val="24"/>
      <color rgb="FFFF0000"/>
      <name val="Arial"/>
      <family val="2"/>
    </font>
    <font>
      <sz val="10"/>
      <color indexed="48"/>
      <name val="Arial"/>
      <family val="2"/>
    </font>
    <font>
      <sz val="10"/>
      <color rgb="FFFF0000"/>
      <name val="Arial"/>
      <family val="2"/>
    </font>
    <font>
      <u/>
      <sz val="12"/>
      <name val="Arial"/>
      <family val="2"/>
    </font>
    <font>
      <u val="singleAccounting"/>
      <sz val="10"/>
      <name val="Arial"/>
      <family val="2"/>
    </font>
    <font>
      <sz val="10"/>
      <name val="Arial"/>
      <family val="2"/>
    </font>
    <font>
      <b/>
      <sz val="9"/>
      <color indexed="10"/>
      <name val="Arial"/>
      <family val="2"/>
    </font>
    <font>
      <sz val="9"/>
      <color indexed="10"/>
      <name val="Arial"/>
      <family val="2"/>
    </font>
    <font>
      <b/>
      <u/>
      <sz val="9"/>
      <name val="Arial"/>
      <family val="2"/>
    </font>
    <font>
      <i/>
      <sz val="9"/>
      <name val="Arial"/>
      <family val="2"/>
    </font>
    <font>
      <u/>
      <sz val="10"/>
      <name val="Arial"/>
      <family val="2"/>
    </font>
    <font>
      <b/>
      <u/>
      <sz val="12"/>
      <name val="Arial"/>
      <family val="2"/>
    </font>
    <font>
      <u/>
      <sz val="11"/>
      <name val="Arial"/>
      <family val="2"/>
    </font>
    <font>
      <sz val="11"/>
      <color indexed="10"/>
      <name val="Arial"/>
      <family val="2"/>
    </font>
    <font>
      <sz val="11"/>
      <color indexed="56"/>
      <name val="Arial"/>
      <family val="2"/>
    </font>
    <font>
      <sz val="11"/>
      <color indexed="8"/>
      <name val="Arial"/>
      <family val="2"/>
    </font>
    <font>
      <b/>
      <u/>
      <sz val="11"/>
      <name val="Arial"/>
      <family val="2"/>
    </font>
    <font>
      <vertAlign val="subscript"/>
      <sz val="9"/>
      <name val="Arial"/>
      <family val="2"/>
    </font>
    <font>
      <strike/>
      <vertAlign val="superscript"/>
      <sz val="10"/>
      <name val="Arial"/>
      <family val="2"/>
    </font>
    <font>
      <u/>
      <sz val="9"/>
      <name val="Arial"/>
      <family val="2"/>
    </font>
    <font>
      <b/>
      <sz val="11"/>
      <color theme="1"/>
      <name val="Calibri"/>
      <family val="2"/>
      <scheme val="minor"/>
    </font>
    <font>
      <sz val="12"/>
      <color indexed="10"/>
      <name val="Arial"/>
      <family val="2"/>
    </font>
    <font>
      <sz val="11"/>
      <color theme="1"/>
      <name val="Calibri"/>
      <family val="2"/>
    </font>
    <font>
      <u val="singleAccounting"/>
      <sz val="12"/>
      <name val="Arial MT"/>
    </font>
    <font>
      <u/>
      <sz val="10"/>
      <color theme="1"/>
      <name val="Arial"/>
      <family val="2"/>
    </font>
    <font>
      <b/>
      <sz val="11"/>
      <name val="Calibri"/>
      <family val="2"/>
      <scheme val="minor"/>
    </font>
    <font>
      <vertAlign val="superscript"/>
      <sz val="12"/>
      <name val="Arial Narrow"/>
      <family val="2"/>
    </font>
    <font>
      <b/>
      <u/>
      <sz val="12"/>
      <name val="Times New Roman"/>
      <family val="1"/>
    </font>
    <font>
      <b/>
      <i/>
      <sz val="12"/>
      <name val="Times New Roman"/>
      <family val="1"/>
    </font>
    <font>
      <sz val="10"/>
      <color indexed="8"/>
      <name val="Arial"/>
      <family val="2"/>
    </font>
    <font>
      <sz val="10"/>
      <color theme="1"/>
      <name val="Calibri"/>
      <family val="2"/>
      <scheme val="minor"/>
    </font>
    <font>
      <sz val="11"/>
      <name val="Calibri"/>
      <family val="2"/>
      <scheme val="minor"/>
    </font>
    <font>
      <b/>
      <sz val="10"/>
      <name val="MS Sans Serif"/>
      <family val="2"/>
    </font>
    <font>
      <sz val="12"/>
      <name val="Times New Roman"/>
      <family val="1"/>
    </font>
    <font>
      <u val="singleAccounting"/>
      <sz val="12"/>
      <name val="Times New Roman"/>
      <family val="1"/>
    </font>
    <font>
      <b/>
      <sz val="12"/>
      <name val="Times New Roman"/>
      <family val="1"/>
    </font>
    <font>
      <strike/>
      <sz val="12"/>
      <name val="Times New Roman"/>
      <family val="1"/>
    </font>
    <font>
      <sz val="12"/>
      <name val="Arial MT"/>
      <family val="1"/>
    </font>
    <font>
      <sz val="10"/>
      <name val="Times New Roman"/>
      <family val="1"/>
    </font>
    <font>
      <strike/>
      <sz val="12"/>
      <color rgb="FFFF0000"/>
      <name val="Times New Roman"/>
      <family val="1"/>
    </font>
    <font>
      <b/>
      <sz val="10"/>
      <name val="Times New Roman"/>
      <family val="1"/>
    </font>
    <font>
      <sz val="10"/>
      <name val="Arial MT"/>
    </font>
    <font>
      <strike/>
      <sz val="10"/>
      <name val="Arial MT"/>
    </font>
    <font>
      <sz val="12"/>
      <color rgb="FFFF0000"/>
      <name val="Times New Roman"/>
      <family val="1"/>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0"/>
      <name val="Calibri"/>
      <family val="2"/>
    </font>
  </fonts>
  <fills count="63">
    <fill>
      <patternFill patternType="none"/>
    </fill>
    <fill>
      <patternFill patternType="gray125"/>
    </fill>
    <fill>
      <patternFill patternType="solid">
        <fgColor indexed="44"/>
      </patternFill>
    </fill>
    <fill>
      <patternFill patternType="solid">
        <fgColor indexed="29"/>
      </patternFill>
    </fill>
    <fill>
      <patternFill patternType="solid">
        <fgColor indexed="26"/>
      </patternFill>
    </fill>
    <fill>
      <patternFill patternType="solid">
        <fgColor indexed="47"/>
      </patternFill>
    </fill>
    <fill>
      <patternFill patternType="solid">
        <fgColor indexed="27"/>
      </patternFill>
    </fill>
    <fill>
      <patternFill patternType="solid">
        <fgColor indexed="43"/>
      </patternFill>
    </fill>
    <fill>
      <patternFill patternType="solid">
        <fgColor indexed="45"/>
      </patternFill>
    </fill>
    <fill>
      <patternFill patternType="solid">
        <fgColor indexed="53"/>
      </patternFill>
    </fill>
    <fill>
      <patternFill patternType="solid">
        <fgColor indexed="51"/>
      </patternFill>
    </fill>
    <fill>
      <patternFill patternType="solid">
        <fgColor indexed="56"/>
      </patternFill>
    </fill>
    <fill>
      <patternFill patternType="solid">
        <fgColor indexed="54"/>
      </patternFill>
    </fill>
    <fill>
      <patternFill patternType="solid">
        <fgColor indexed="49"/>
      </patternFill>
    </fill>
    <fill>
      <patternFill patternType="solid">
        <fgColor indexed="10"/>
      </patternFill>
    </fill>
    <fill>
      <patternFill patternType="solid">
        <fgColor indexed="46"/>
      </patternFill>
    </fill>
    <fill>
      <patternFill patternType="solid">
        <fgColor indexed="9"/>
      </patternFill>
    </fill>
    <fill>
      <patternFill patternType="solid">
        <fgColor indexed="55"/>
      </patternFill>
    </fill>
    <fill>
      <patternFill patternType="mediumGray">
        <fgColor indexed="22"/>
      </patternFill>
    </fill>
    <fill>
      <patternFill patternType="solid">
        <fgColor indexed="22"/>
        <bgColor indexed="64"/>
      </patternFill>
    </fill>
    <fill>
      <patternFill patternType="solid">
        <fgColor indexed="43"/>
        <bgColor indexed="64"/>
      </patternFill>
    </fill>
    <fill>
      <patternFill patternType="solid">
        <fgColor theme="5" tint="0.79998168889431442"/>
        <bgColor indexed="64"/>
      </patternFill>
    </fill>
    <fill>
      <patternFill patternType="solid">
        <fgColor theme="1"/>
        <bgColor indexed="64"/>
      </patternFill>
    </fill>
    <fill>
      <patternFill patternType="solid">
        <fgColor rgb="FFFFFF00"/>
        <bgColor indexed="64"/>
      </patternFill>
    </fill>
    <fill>
      <patternFill patternType="solid">
        <fgColor indexed="8"/>
        <bgColor indexed="64"/>
      </patternFill>
    </fill>
    <fill>
      <patternFill patternType="solid">
        <fgColor theme="2" tint="-9.9978637043366805E-2"/>
        <bgColor indexed="64"/>
      </patternFill>
    </fill>
    <fill>
      <patternFill patternType="solid">
        <fgColor theme="0"/>
        <bgColor indexed="64"/>
      </patternFill>
    </fill>
    <fill>
      <patternFill patternType="solid">
        <fgColor indexed="13"/>
        <bgColor indexed="64"/>
      </patternFill>
    </fill>
    <fill>
      <patternFill patternType="solid">
        <fgColor theme="6" tint="0.59999389629810485"/>
        <bgColor indexed="64"/>
      </patternFill>
    </fill>
    <fill>
      <patternFill patternType="solid">
        <fgColor theme="7" tint="0.79998168889431442"/>
        <bgColor indexed="64"/>
      </patternFill>
    </fill>
    <fill>
      <patternFill patternType="solid">
        <fgColor theme="1" tint="4.9989318521683403E-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CE4D6"/>
        <bgColor rgb="FF000000"/>
      </patternFill>
    </fill>
  </fills>
  <borders count="61">
    <border>
      <left/>
      <right/>
      <top/>
      <bottom/>
      <diagonal/>
    </border>
    <border>
      <left/>
      <right/>
      <top style="double">
        <color indexed="64"/>
      </top>
      <bottom/>
      <diagonal/>
    </border>
    <border>
      <left/>
      <right/>
      <top style="thin">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medium">
        <color indexed="27"/>
      </bottom>
      <diagonal/>
    </border>
    <border>
      <left/>
      <right/>
      <top/>
      <bottom style="medium">
        <color indexed="64"/>
      </bottom>
      <diagonal/>
    </border>
    <border>
      <left/>
      <right/>
      <top/>
      <bottom style="double">
        <color indexed="1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double">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thin">
        <color indexed="64"/>
      </top>
      <bottom style="double">
        <color indexed="64"/>
      </bottom>
      <diagonal/>
    </border>
    <border>
      <left/>
      <right/>
      <top/>
      <bottom style="medium">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auto="1"/>
      </top>
      <bottom/>
      <diagonal/>
    </border>
    <border>
      <left/>
      <right style="thin">
        <color indexed="64"/>
      </right>
      <top/>
      <bottom style="double">
        <color indexed="64"/>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diagonal/>
    </border>
    <border>
      <left style="medium">
        <color indexed="64"/>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auto="1"/>
      </left>
      <right style="medium">
        <color auto="1"/>
      </right>
      <top style="medium">
        <color auto="1"/>
      </top>
      <bottom style="medium">
        <color auto="1"/>
      </bottom>
      <diagonal/>
    </border>
    <border>
      <left/>
      <right/>
      <top style="medium">
        <color indexed="64"/>
      </top>
      <bottom style="double">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18"/>
      </left>
      <right style="thin">
        <color indexed="18"/>
      </right>
      <top style="thin">
        <color indexed="18"/>
      </top>
      <bottom style="thin">
        <color indexed="18"/>
      </bottom>
      <diagonal/>
    </border>
    <border>
      <left style="medium">
        <color indexed="64"/>
      </left>
      <right style="medium">
        <color indexed="64"/>
      </right>
      <top style="thin">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231">
    <xf numFmtId="174" fontId="0" fillId="0" borderId="0" applyProtection="0"/>
    <xf numFmtId="0" fontId="54" fillId="2" borderId="0" applyNumberFormat="0" applyBorder="0" applyAlignment="0" applyProtection="0"/>
    <xf numFmtId="0" fontId="54" fillId="3" borderId="0" applyNumberFormat="0" applyBorder="0" applyAlignment="0" applyProtection="0"/>
    <xf numFmtId="0" fontId="54" fillId="4" borderId="0" applyNumberFormat="0" applyBorder="0" applyAlignment="0" applyProtection="0"/>
    <xf numFmtId="0" fontId="54" fillId="5" borderId="0" applyNumberFormat="0" applyBorder="0" applyAlignment="0" applyProtection="0"/>
    <xf numFmtId="0" fontId="54" fillId="6" borderId="0" applyNumberFormat="0" applyBorder="0" applyAlignment="0" applyProtection="0"/>
    <xf numFmtId="0" fontId="54" fillId="4" borderId="0" applyNumberFormat="0" applyBorder="0" applyAlignment="0" applyProtection="0"/>
    <xf numFmtId="0" fontId="54" fillId="6" borderId="0" applyNumberFormat="0" applyBorder="0" applyAlignment="0" applyProtection="0"/>
    <xf numFmtId="0" fontId="54" fillId="3" borderId="0" applyNumberFormat="0" applyBorder="0" applyAlignment="0" applyProtection="0"/>
    <xf numFmtId="0" fontId="54" fillId="7" borderId="0" applyNumberFormat="0" applyBorder="0" applyAlignment="0" applyProtection="0"/>
    <xf numFmtId="0" fontId="54" fillId="8" borderId="0" applyNumberFormat="0" applyBorder="0" applyAlignment="0" applyProtection="0"/>
    <xf numFmtId="0" fontId="54" fillId="6" borderId="0" applyNumberFormat="0" applyBorder="0" applyAlignment="0" applyProtection="0"/>
    <xf numFmtId="0" fontId="54" fillId="4" borderId="0" applyNumberFormat="0" applyBorder="0" applyAlignment="0" applyProtection="0"/>
    <xf numFmtId="0" fontId="55" fillId="6" borderId="0" applyNumberFormat="0" applyBorder="0" applyAlignment="0" applyProtection="0"/>
    <xf numFmtId="0" fontId="55" fillId="9" borderId="0" applyNumberFormat="0" applyBorder="0" applyAlignment="0" applyProtection="0"/>
    <xf numFmtId="0" fontId="55" fillId="10" borderId="0" applyNumberFormat="0" applyBorder="0" applyAlignment="0" applyProtection="0"/>
    <xf numFmtId="0" fontId="55" fillId="8" borderId="0" applyNumberFormat="0" applyBorder="0" applyAlignment="0" applyProtection="0"/>
    <xf numFmtId="0" fontId="55" fillId="6" borderId="0" applyNumberFormat="0" applyBorder="0" applyAlignment="0" applyProtection="0"/>
    <xf numFmtId="0" fontId="55" fillId="3" borderId="0" applyNumberFormat="0" applyBorder="0" applyAlignment="0" applyProtection="0"/>
    <xf numFmtId="0" fontId="55" fillId="11" borderId="0" applyNumberFormat="0" applyBorder="0" applyAlignment="0" applyProtection="0"/>
    <xf numFmtId="0" fontId="55" fillId="9" borderId="0" applyNumberFormat="0" applyBorder="0" applyAlignment="0" applyProtection="0"/>
    <xf numFmtId="0" fontId="55" fillId="10" borderId="0" applyNumberFormat="0" applyBorder="0" applyAlignment="0" applyProtection="0"/>
    <xf numFmtId="0" fontId="55" fillId="12"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6" fillId="15" borderId="0" applyNumberFormat="0" applyBorder="0" applyAlignment="0" applyProtection="0"/>
    <xf numFmtId="174" fontId="17" fillId="0" borderId="0" applyFill="0"/>
    <xf numFmtId="174" fontId="17" fillId="0" borderId="0">
      <alignment horizontal="center"/>
    </xf>
    <xf numFmtId="0" fontId="17" fillId="0" borderId="0" applyFill="0">
      <alignment horizontal="center"/>
    </xf>
    <xf numFmtId="174" fontId="18" fillId="0" borderId="1" applyFill="0"/>
    <xf numFmtId="0" fontId="19" fillId="0" borderId="0" applyFont="0" applyAlignment="0"/>
    <xf numFmtId="0" fontId="20" fillId="0" borderId="0" applyFill="0">
      <alignment vertical="top"/>
    </xf>
    <xf numFmtId="0" fontId="18" fillId="0" borderId="0" applyFill="0">
      <alignment horizontal="left" vertical="top"/>
    </xf>
    <xf numFmtId="174" fontId="21" fillId="0" borderId="2" applyFill="0"/>
    <xf numFmtId="0" fontId="19" fillId="0" borderId="0" applyNumberFormat="0" applyFont="0" applyAlignment="0"/>
    <xf numFmtId="0" fontId="20" fillId="0" borderId="0" applyFill="0">
      <alignment wrapText="1"/>
    </xf>
    <xf numFmtId="0" fontId="18" fillId="0" borderId="0" applyFill="0">
      <alignment horizontal="left" vertical="top" wrapText="1"/>
    </xf>
    <xf numFmtId="174" fontId="22" fillId="0" borderId="0" applyFill="0"/>
    <xf numFmtId="0" fontId="23" fillId="0" borderId="0" applyNumberFormat="0" applyFont="0" applyAlignment="0">
      <alignment horizontal="center"/>
    </xf>
    <xf numFmtId="0" fontId="24" fillId="0" borderId="0" applyFill="0">
      <alignment vertical="top" wrapText="1"/>
    </xf>
    <xf numFmtId="0" fontId="21" fillId="0" borderId="0" applyFill="0">
      <alignment horizontal="left" vertical="top" wrapText="1"/>
    </xf>
    <xf numFmtId="174" fontId="19" fillId="0" borderId="0" applyFill="0"/>
    <xf numFmtId="0" fontId="23" fillId="0" borderId="0" applyNumberFormat="0" applyFont="0" applyAlignment="0">
      <alignment horizontal="center"/>
    </xf>
    <xf numFmtId="0" fontId="25" fillId="0" borderId="0" applyFill="0">
      <alignment vertical="center" wrapText="1"/>
    </xf>
    <xf numFmtId="0" fontId="26" fillId="0" borderId="0">
      <alignment horizontal="left" vertical="center" wrapText="1"/>
    </xf>
    <xf numFmtId="174" fontId="27" fillId="0" borderId="0" applyFill="0"/>
    <xf numFmtId="0" fontId="23" fillId="0" borderId="0" applyNumberFormat="0" applyFont="0" applyAlignment="0">
      <alignment horizontal="center"/>
    </xf>
    <xf numFmtId="0" fontId="28" fillId="0" borderId="0" applyFill="0">
      <alignment horizontal="center" vertical="center" wrapText="1"/>
    </xf>
    <xf numFmtId="0" fontId="29" fillId="0" borderId="0" applyFill="0">
      <alignment horizontal="center" vertical="center" wrapText="1"/>
    </xf>
    <xf numFmtId="174" fontId="30" fillId="0" borderId="0" applyFill="0"/>
    <xf numFmtId="0" fontId="23" fillId="0" borderId="0" applyNumberFormat="0" applyFont="0" applyAlignment="0">
      <alignment horizontal="center"/>
    </xf>
    <xf numFmtId="0" fontId="31" fillId="0" borderId="0" applyFill="0">
      <alignment horizontal="center" vertical="center" wrapText="1"/>
    </xf>
    <xf numFmtId="0" fontId="32" fillId="0" borderId="0" applyFill="0">
      <alignment horizontal="center" vertical="center" wrapText="1"/>
    </xf>
    <xf numFmtId="174" fontId="33" fillId="0" borderId="0" applyFill="0"/>
    <xf numFmtId="0" fontId="23" fillId="0" borderId="0" applyNumberFormat="0" applyFont="0" applyAlignment="0">
      <alignment horizontal="center"/>
    </xf>
    <xf numFmtId="0" fontId="34" fillId="0" borderId="0">
      <alignment horizontal="center" wrapText="1"/>
    </xf>
    <xf numFmtId="0" fontId="30" fillId="0" borderId="0" applyFill="0">
      <alignment horizontal="center" wrapText="1"/>
    </xf>
    <xf numFmtId="0" fontId="57" fillId="16" borderId="3" applyNumberFormat="0" applyAlignment="0" applyProtection="0"/>
    <xf numFmtId="0" fontId="58" fillId="17" borderId="4" applyNumberFormat="0" applyAlignment="0" applyProtection="0"/>
    <xf numFmtId="43" fontId="19" fillId="0" borderId="0" applyFont="0" applyFill="0" applyBorder="0" applyAlignment="0" applyProtection="0"/>
    <xf numFmtId="43" fontId="67" fillId="0" borderId="0" applyFont="0" applyFill="0" applyBorder="0" applyAlignment="0" applyProtection="0"/>
    <xf numFmtId="43" fontId="29" fillId="0" borderId="0" applyFont="0" applyFill="0" applyBorder="0" applyAlignment="0" applyProtection="0"/>
    <xf numFmtId="3" fontId="19" fillId="0" borderId="0" applyFont="0" applyFill="0" applyBorder="0" applyAlignment="0" applyProtection="0"/>
    <xf numFmtId="44" fontId="19" fillId="0" borderId="0" applyFont="0" applyFill="0" applyBorder="0" applyAlignment="0" applyProtection="0"/>
    <xf numFmtId="5" fontId="19" fillId="0" borderId="0" applyFont="0" applyFill="0" applyBorder="0" applyAlignment="0" applyProtection="0"/>
    <xf numFmtId="14" fontId="19" fillId="0" borderId="0" applyFont="0" applyFill="0" applyBorder="0" applyAlignment="0" applyProtection="0"/>
    <xf numFmtId="0" fontId="60" fillId="0" borderId="0" applyNumberFormat="0" applyFill="0" applyBorder="0" applyAlignment="0" applyProtection="0"/>
    <xf numFmtId="2" fontId="19" fillId="0" borderId="0" applyFont="0" applyFill="0" applyBorder="0" applyAlignment="0" applyProtection="0"/>
    <xf numFmtId="0" fontId="61" fillId="6" borderId="0" applyNumberFormat="0" applyBorder="0" applyAlignment="0" applyProtection="0"/>
    <xf numFmtId="0" fontId="35" fillId="0" borderId="0" applyFont="0" applyFill="0" applyBorder="0" applyAlignment="0" applyProtection="0"/>
    <xf numFmtId="0" fontId="36" fillId="0" borderId="0" applyFont="0" applyFill="0" applyBorder="0" applyAlignment="0" applyProtection="0"/>
    <xf numFmtId="0" fontId="62" fillId="0" borderId="5" applyNumberFormat="0" applyFill="0" applyAlignment="0" applyProtection="0"/>
    <xf numFmtId="0" fontId="62" fillId="0" borderId="0" applyNumberFormat="0" applyFill="0" applyBorder="0" applyAlignment="0" applyProtection="0"/>
    <xf numFmtId="0" fontId="37" fillId="0" borderId="6"/>
    <xf numFmtId="0" fontId="38" fillId="0" borderId="0"/>
    <xf numFmtId="0" fontId="63" fillId="7" borderId="3" applyNumberFormat="0" applyAlignment="0" applyProtection="0"/>
    <xf numFmtId="0" fontId="64" fillId="0" borderId="7" applyNumberFormat="0" applyFill="0" applyAlignment="0" applyProtection="0"/>
    <xf numFmtId="0" fontId="65" fillId="7" borderId="0" applyNumberFormat="0" applyBorder="0" applyAlignment="0" applyProtection="0"/>
    <xf numFmtId="0" fontId="69" fillId="0" borderId="0">
      <alignment vertical="top"/>
    </xf>
    <xf numFmtId="0" fontId="29" fillId="0" borderId="0"/>
    <xf numFmtId="0" fontId="29" fillId="0" borderId="0"/>
    <xf numFmtId="0" fontId="29" fillId="0" borderId="0"/>
    <xf numFmtId="0" fontId="19" fillId="0" borderId="0"/>
    <xf numFmtId="0" fontId="59" fillId="4" borderId="8" applyNumberFormat="0" applyFont="0" applyAlignment="0" applyProtection="0"/>
    <xf numFmtId="0" fontId="66" fillId="16" borderId="9" applyNumberFormat="0" applyAlignment="0" applyProtection="0"/>
    <xf numFmtId="9" fontId="19" fillId="0" borderId="0" applyFont="0" applyFill="0" applyBorder="0" applyAlignment="0" applyProtection="0"/>
    <xf numFmtId="9" fontId="29" fillId="0" borderId="0" applyFont="0" applyFill="0" applyBorder="0" applyAlignment="0" applyProtection="0"/>
    <xf numFmtId="0" fontId="39" fillId="0" borderId="0" applyNumberFormat="0" applyFont="0" applyFill="0" applyBorder="0" applyAlignment="0" applyProtection="0">
      <alignment horizontal="left"/>
    </xf>
    <xf numFmtId="15" fontId="39" fillId="0" borderId="0" applyFont="0" applyFill="0" applyBorder="0" applyAlignment="0" applyProtection="0"/>
    <xf numFmtId="4" fontId="39" fillId="0" borderId="0" applyFont="0" applyFill="0" applyBorder="0" applyAlignment="0" applyProtection="0"/>
    <xf numFmtId="3" fontId="19" fillId="0" borderId="0">
      <alignment horizontal="left" vertical="top"/>
    </xf>
    <xf numFmtId="0" fontId="40" fillId="0" borderId="6">
      <alignment horizontal="center"/>
    </xf>
    <xf numFmtId="3" fontId="39" fillId="0" borderId="0" applyFont="0" applyFill="0" applyBorder="0" applyAlignment="0" applyProtection="0"/>
    <xf numFmtId="0" fontId="39" fillId="18" borderId="0" applyNumberFormat="0" applyFont="0" applyBorder="0" applyAlignment="0" applyProtection="0"/>
    <xf numFmtId="3" fontId="19" fillId="0" borderId="0">
      <alignment horizontal="right" vertical="top"/>
    </xf>
    <xf numFmtId="41" fontId="26" fillId="19" borderId="10" applyFill="0"/>
    <xf numFmtId="0" fontId="41" fillId="0" borderId="0">
      <alignment horizontal="left" indent="7"/>
    </xf>
    <xf numFmtId="41" fontId="26" fillId="0" borderId="10" applyFill="0">
      <alignment horizontal="left" indent="2"/>
    </xf>
    <xf numFmtId="174" fontId="42" fillId="0" borderId="11" applyFill="0">
      <alignment horizontal="right"/>
    </xf>
    <xf numFmtId="0" fontId="43" fillId="0" borderId="12" applyNumberFormat="0" applyFont="0" applyBorder="0">
      <alignment horizontal="right"/>
    </xf>
    <xf numFmtId="0" fontId="44" fillId="0" borderId="0" applyFill="0"/>
    <xf numFmtId="0" fontId="21" fillId="0" borderId="0" applyFill="0"/>
    <xf numFmtId="4" fontId="42" fillId="0" borderId="11" applyFill="0"/>
    <xf numFmtId="0" fontId="19" fillId="0" borderId="0" applyNumberFormat="0" applyFont="0" applyBorder="0" applyAlignment="0"/>
    <xf numFmtId="0" fontId="24" fillId="0" borderId="0" applyFill="0">
      <alignment horizontal="left" indent="1"/>
    </xf>
    <xf numFmtId="0" fontId="45" fillId="0" borderId="0" applyFill="0">
      <alignment horizontal="left" indent="1"/>
    </xf>
    <xf numFmtId="4" fontId="27" fillId="0" borderId="0" applyFill="0"/>
    <xf numFmtId="0" fontId="19" fillId="0" borderId="0" applyNumberFormat="0" applyFont="0" applyFill="0" applyBorder="0" applyAlignment="0"/>
    <xf numFmtId="0" fontId="24" fillId="0" borderId="0" applyFill="0">
      <alignment horizontal="left" indent="2"/>
    </xf>
    <xf numFmtId="0" fontId="21" fillId="0" borderId="0" applyFill="0">
      <alignment horizontal="left" indent="2"/>
    </xf>
    <xf numFmtId="4" fontId="27" fillId="0" borderId="0" applyFill="0"/>
    <xf numFmtId="0" fontId="19" fillId="0" borderId="0" applyNumberFormat="0" applyFont="0" applyBorder="0" applyAlignment="0"/>
    <xf numFmtId="0" fontId="46" fillId="0" borderId="0">
      <alignment horizontal="left" indent="3"/>
    </xf>
    <xf numFmtId="0" fontId="47" fillId="0" borderId="0" applyFill="0">
      <alignment horizontal="left" indent="3"/>
    </xf>
    <xf numFmtId="4" fontId="27" fillId="0" borderId="0" applyFill="0"/>
    <xf numFmtId="0" fontId="19" fillId="0" borderId="0" applyNumberFormat="0" applyFont="0" applyBorder="0" applyAlignment="0"/>
    <xf numFmtId="0" fontId="28" fillId="0" borderId="0">
      <alignment horizontal="left" indent="4"/>
    </xf>
    <xf numFmtId="0" fontId="29" fillId="0" borderId="0" applyFill="0">
      <alignment horizontal="left" indent="4"/>
    </xf>
    <xf numFmtId="4" fontId="30" fillId="0" borderId="0" applyFill="0"/>
    <xf numFmtId="0" fontId="19" fillId="0" borderId="0" applyNumberFormat="0" applyFont="0" applyBorder="0" applyAlignment="0"/>
    <xf numFmtId="0" fontId="31" fillId="0" borderId="0">
      <alignment horizontal="left" indent="5"/>
    </xf>
    <xf numFmtId="0" fontId="32" fillId="0" borderId="0" applyFill="0">
      <alignment horizontal="left" indent="5"/>
    </xf>
    <xf numFmtId="4" fontId="33" fillId="0" borderId="0" applyFill="0"/>
    <xf numFmtId="0" fontId="19" fillId="0" borderId="0" applyNumberFormat="0" applyFont="0" applyFill="0" applyBorder="0" applyAlignment="0"/>
    <xf numFmtId="0" fontId="34" fillId="0" borderId="0" applyFill="0">
      <alignment horizontal="left" indent="6"/>
    </xf>
    <xf numFmtId="0" fontId="30" fillId="0" borderId="0" applyFill="0">
      <alignment horizontal="left" indent="6"/>
    </xf>
    <xf numFmtId="0" fontId="68" fillId="0" borderId="0" applyNumberFormat="0" applyFill="0" applyBorder="0" applyAlignment="0" applyProtection="0"/>
    <xf numFmtId="0" fontId="19" fillId="0" borderId="0" applyFont="0" applyFill="0" applyBorder="0" applyAlignment="0" applyProtection="0"/>
    <xf numFmtId="0" fontId="64" fillId="0" borderId="0" applyNumberFormat="0" applyFill="0" applyBorder="0" applyAlignment="0" applyProtection="0"/>
    <xf numFmtId="0" fontId="16" fillId="0" borderId="0"/>
    <xf numFmtId="9" fontId="16" fillId="0" borderId="0" applyFont="0" applyFill="0" applyBorder="0" applyAlignment="0" applyProtection="0"/>
    <xf numFmtId="44" fontId="19" fillId="0" borderId="0" applyFont="0" applyFill="0" applyBorder="0" applyAlignment="0" applyProtection="0"/>
    <xf numFmtId="0" fontId="19" fillId="0" borderId="0"/>
    <xf numFmtId="43" fontId="19" fillId="0" borderId="0" applyFont="0" applyFill="0" applyBorder="0" applyAlignment="0" applyProtection="0"/>
    <xf numFmtId="9" fontId="19" fillId="0" borderId="0" applyFont="0" applyFill="0" applyBorder="0" applyAlignment="0" applyProtection="0"/>
    <xf numFmtId="0" fontId="59" fillId="0" borderId="0" applyProtection="0"/>
    <xf numFmtId="43" fontId="19" fillId="0" borderId="0" applyFont="0" applyFill="0" applyBorder="0" applyAlignment="0" applyProtection="0"/>
    <xf numFmtId="0" fontId="109" fillId="0" borderId="0"/>
    <xf numFmtId="44"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9" fontId="19" fillId="0" borderId="0" applyFont="0" applyFill="0" applyBorder="0" applyAlignment="0" applyProtection="0"/>
    <xf numFmtId="44" fontId="19" fillId="0" borderId="0" applyFont="0" applyFill="0" applyBorder="0" applyAlignment="0" applyProtection="0"/>
    <xf numFmtId="174" fontId="59" fillId="0" borderId="0" applyProtection="0"/>
    <xf numFmtId="0" fontId="19" fillId="0" borderId="0"/>
    <xf numFmtId="0" fontId="19" fillId="0" borderId="0"/>
    <xf numFmtId="43" fontId="19" fillId="0" borderId="0" applyFont="0" applyFill="0" applyBorder="0" applyAlignment="0" applyProtection="0"/>
    <xf numFmtId="43" fontId="19" fillId="0" borderId="0" applyFont="0" applyFill="0" applyBorder="0" applyAlignment="0" applyProtection="0"/>
    <xf numFmtId="0" fontId="14" fillId="0" borderId="0"/>
    <xf numFmtId="43" fontId="14" fillId="0" borderId="0" applyFont="0" applyFill="0" applyBorder="0" applyAlignment="0" applyProtection="0"/>
    <xf numFmtId="0" fontId="126" fillId="0" borderId="0"/>
    <xf numFmtId="43" fontId="126" fillId="0" borderId="0" applyFont="0" applyFill="0" applyBorder="0" applyAlignment="0" applyProtection="0"/>
    <xf numFmtId="0" fontId="13" fillId="0" borderId="0"/>
    <xf numFmtId="43" fontId="13" fillId="0" borderId="0" applyFont="0" applyFill="0" applyBorder="0" applyAlignment="0" applyProtection="0"/>
    <xf numFmtId="0" fontId="19" fillId="0" borderId="0"/>
    <xf numFmtId="44" fontId="19" fillId="0" borderId="0" applyFont="0" applyFill="0" applyBorder="0" applyAlignment="0" applyProtection="0"/>
    <xf numFmtId="4" fontId="17" fillId="0" borderId="50" applyNumberFormat="0" applyProtection="0">
      <alignment horizontal="right" vertical="center"/>
    </xf>
    <xf numFmtId="4" fontId="17" fillId="13" borderId="50" applyNumberFormat="0" applyProtection="0">
      <alignment horizontal="left" vertical="center" indent="1"/>
    </xf>
    <xf numFmtId="4" fontId="17" fillId="7" borderId="50" applyNumberFormat="0" applyProtection="0">
      <alignment vertical="center"/>
    </xf>
    <xf numFmtId="41" fontId="13" fillId="0" borderId="0" applyFont="0" applyFill="0" applyBorder="0" applyAlignment="0" applyProtection="0"/>
    <xf numFmtId="43" fontId="13" fillId="0" borderId="0" applyFont="0" applyFill="0" applyBorder="0" applyAlignment="0" applyProtection="0"/>
    <xf numFmtId="0" fontId="8" fillId="0" borderId="0"/>
    <xf numFmtId="43" fontId="8" fillId="0" borderId="0" applyFont="0" applyFill="0" applyBorder="0" applyAlignment="0" applyProtection="0"/>
    <xf numFmtId="0" fontId="19" fillId="0" borderId="0" applyFill="0">
      <alignment horizontal="center" vertical="center" wrapText="1"/>
    </xf>
    <xf numFmtId="43" fontId="19" fillId="0" borderId="0" applyFont="0" applyFill="0" applyBorder="0" applyAlignment="0" applyProtection="0"/>
    <xf numFmtId="0" fontId="21" fillId="0" borderId="0" applyFont="0" applyFill="0" applyBorder="0" applyAlignment="0" applyProtection="0"/>
    <xf numFmtId="0" fontId="19" fillId="0" borderId="0"/>
    <xf numFmtId="0" fontId="19" fillId="0" borderId="0"/>
    <xf numFmtId="0" fontId="19" fillId="0" borderId="0"/>
    <xf numFmtId="0" fontId="67" fillId="0" borderId="0" applyNumberFormat="0" applyFont="0" applyFill="0" applyBorder="0" applyAlignment="0" applyProtection="0">
      <alignment horizontal="left"/>
    </xf>
    <xf numFmtId="15" fontId="67" fillId="0" borderId="0" applyFont="0" applyFill="0" applyBorder="0" applyAlignment="0" applyProtection="0"/>
    <xf numFmtId="4" fontId="67" fillId="0" borderId="0" applyFont="0" applyFill="0" applyBorder="0" applyAlignment="0" applyProtection="0"/>
    <xf numFmtId="0" fontId="136" fillId="0" borderId="6">
      <alignment horizontal="center"/>
    </xf>
    <xf numFmtId="3" fontId="67" fillId="0" borderId="0" applyFont="0" applyFill="0" applyBorder="0" applyAlignment="0" applyProtection="0"/>
    <xf numFmtId="0" fontId="67" fillId="18" borderId="0" applyNumberFormat="0" applyFont="0" applyBorder="0" applyAlignment="0" applyProtection="0"/>
    <xf numFmtId="0" fontId="19" fillId="0" borderId="0" applyFill="0">
      <alignment horizontal="left" indent="4"/>
    </xf>
    <xf numFmtId="0" fontId="7" fillId="0" borderId="0"/>
    <xf numFmtId="9" fontId="7" fillId="0" borderId="0" applyFont="0" applyFill="0" applyBorder="0" applyAlignment="0" applyProtection="0"/>
    <xf numFmtId="0" fontId="19" fillId="0" borderId="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41" fontId="7" fillId="0" borderId="0" applyFont="0" applyFill="0" applyBorder="0" applyAlignment="0" applyProtection="0"/>
    <xf numFmtId="43" fontId="7" fillId="0" borderId="0" applyFont="0" applyFill="0" applyBorder="0" applyAlignment="0" applyProtection="0"/>
    <xf numFmtId="0" fontId="7" fillId="0" borderId="0"/>
    <xf numFmtId="43" fontId="7" fillId="0" borderId="0" applyFont="0" applyFill="0" applyBorder="0" applyAlignment="0" applyProtection="0"/>
    <xf numFmtId="0" fontId="148" fillId="0" borderId="0"/>
    <xf numFmtId="0" fontId="149" fillId="0" borderId="0" applyNumberFormat="0" applyFill="0" applyBorder="0" applyAlignment="0" applyProtection="0"/>
    <xf numFmtId="0" fontId="150" fillId="0" borderId="52" applyNumberFormat="0" applyFill="0" applyAlignment="0" applyProtection="0"/>
    <xf numFmtId="0" fontId="151" fillId="0" borderId="53" applyNumberFormat="0" applyFill="0" applyAlignment="0" applyProtection="0"/>
    <xf numFmtId="0" fontId="152" fillId="0" borderId="54" applyNumberFormat="0" applyFill="0" applyAlignment="0" applyProtection="0"/>
    <xf numFmtId="0" fontId="152" fillId="0" borderId="0" applyNumberFormat="0" applyFill="0" applyBorder="0" applyAlignment="0" applyProtection="0"/>
    <xf numFmtId="0" fontId="153" fillId="31" borderId="0" applyNumberFormat="0" applyBorder="0" applyAlignment="0" applyProtection="0"/>
    <xf numFmtId="0" fontId="154" fillId="32" borderId="0" applyNumberFormat="0" applyBorder="0" applyAlignment="0" applyProtection="0"/>
    <xf numFmtId="0" fontId="155" fillId="33" borderId="0" applyNumberFormat="0" applyBorder="0" applyAlignment="0" applyProtection="0"/>
    <xf numFmtId="0" fontId="156" fillId="34" borderId="55" applyNumberFormat="0" applyAlignment="0" applyProtection="0"/>
    <xf numFmtId="0" fontId="157" fillId="35" borderId="56" applyNumberFormat="0" applyAlignment="0" applyProtection="0"/>
    <xf numFmtId="0" fontId="158" fillId="35" borderId="55" applyNumberFormat="0" applyAlignment="0" applyProtection="0"/>
    <xf numFmtId="0" fontId="159" fillId="0" borderId="57" applyNumberFormat="0" applyFill="0" applyAlignment="0" applyProtection="0"/>
    <xf numFmtId="0" fontId="160" fillId="36" borderId="58" applyNumberFormat="0" applyAlignment="0" applyProtection="0"/>
    <xf numFmtId="0" fontId="161" fillId="0" borderId="0" applyNumberFormat="0" applyFill="0" applyBorder="0" applyAlignment="0" applyProtection="0"/>
    <xf numFmtId="0" fontId="4" fillId="37" borderId="59" applyNumberFormat="0" applyFont="0" applyAlignment="0" applyProtection="0"/>
    <xf numFmtId="0" fontId="162" fillId="0" borderId="0" applyNumberFormat="0" applyFill="0" applyBorder="0" applyAlignment="0" applyProtection="0"/>
    <xf numFmtId="0" fontId="124" fillId="0" borderId="60" applyNumberFormat="0" applyFill="0" applyAlignment="0" applyProtection="0"/>
    <xf numFmtId="0" fontId="163" fillId="38" borderId="0" applyNumberFormat="0" applyBorder="0" applyAlignment="0" applyProtection="0"/>
    <xf numFmtId="0" fontId="4" fillId="39" borderId="0" applyNumberFormat="0" applyBorder="0" applyAlignment="0" applyProtection="0"/>
    <xf numFmtId="0" fontId="4" fillId="40" borderId="0" applyNumberFormat="0" applyBorder="0" applyAlignment="0" applyProtection="0"/>
    <xf numFmtId="0" fontId="4" fillId="41" borderId="0" applyNumberFormat="0" applyBorder="0" applyAlignment="0" applyProtection="0"/>
    <xf numFmtId="0" fontId="163" fillId="42" borderId="0" applyNumberFormat="0" applyBorder="0" applyAlignment="0" applyProtection="0"/>
    <xf numFmtId="0" fontId="4" fillId="43" borderId="0" applyNumberFormat="0" applyBorder="0" applyAlignment="0" applyProtection="0"/>
    <xf numFmtId="0" fontId="4" fillId="44" borderId="0" applyNumberFormat="0" applyBorder="0" applyAlignment="0" applyProtection="0"/>
    <xf numFmtId="0" fontId="4" fillId="45" borderId="0" applyNumberFormat="0" applyBorder="0" applyAlignment="0" applyProtection="0"/>
    <xf numFmtId="0" fontId="163" fillId="46" borderId="0" applyNumberFormat="0" applyBorder="0" applyAlignment="0" applyProtection="0"/>
    <xf numFmtId="0" fontId="4" fillId="47" borderId="0" applyNumberFormat="0" applyBorder="0" applyAlignment="0" applyProtection="0"/>
    <xf numFmtId="0" fontId="4" fillId="48" borderId="0" applyNumberFormat="0" applyBorder="0" applyAlignment="0" applyProtection="0"/>
    <xf numFmtId="0" fontId="4" fillId="49" borderId="0" applyNumberFormat="0" applyBorder="0" applyAlignment="0" applyProtection="0"/>
    <xf numFmtId="0" fontId="163" fillId="50" borderId="0" applyNumberFormat="0" applyBorder="0" applyAlignment="0" applyProtection="0"/>
    <xf numFmtId="0" fontId="4" fillId="51" borderId="0" applyNumberFormat="0" applyBorder="0" applyAlignment="0" applyProtection="0"/>
    <xf numFmtId="0" fontId="4" fillId="52" borderId="0" applyNumberFormat="0" applyBorder="0" applyAlignment="0" applyProtection="0"/>
    <xf numFmtId="0" fontId="4" fillId="53" borderId="0" applyNumberFormat="0" applyBorder="0" applyAlignment="0" applyProtection="0"/>
    <xf numFmtId="0" fontId="163" fillId="54" borderId="0" applyNumberFormat="0" applyBorder="0" applyAlignment="0" applyProtection="0"/>
    <xf numFmtId="0" fontId="4" fillId="55" borderId="0" applyNumberFormat="0" applyBorder="0" applyAlignment="0" applyProtection="0"/>
    <xf numFmtId="0" fontId="4" fillId="56" borderId="0" applyNumberFormat="0" applyBorder="0" applyAlignment="0" applyProtection="0"/>
    <xf numFmtId="0" fontId="4" fillId="57" borderId="0" applyNumberFormat="0" applyBorder="0" applyAlignment="0" applyProtection="0"/>
    <xf numFmtId="0" fontId="163" fillId="58" borderId="0" applyNumberFormat="0" applyBorder="0" applyAlignment="0" applyProtection="0"/>
    <xf numFmtId="0" fontId="4" fillId="59" borderId="0" applyNumberFormat="0" applyBorder="0" applyAlignment="0" applyProtection="0"/>
    <xf numFmtId="0" fontId="4" fillId="60" borderId="0" applyNumberFormat="0" applyBorder="0" applyAlignment="0" applyProtection="0"/>
    <xf numFmtId="0" fontId="4" fillId="61" borderId="0" applyNumberFormat="0" applyBorder="0" applyAlignment="0" applyProtection="0"/>
    <xf numFmtId="43" fontId="148" fillId="0" borderId="0" applyFont="0" applyFill="0" applyBorder="0" applyAlignment="0" applyProtection="0"/>
    <xf numFmtId="43" fontId="148" fillId="0" borderId="0" applyFont="0" applyFill="0" applyBorder="0" applyAlignment="0" applyProtection="0"/>
  </cellStyleXfs>
  <cellXfs count="1379">
    <xf numFmtId="174" fontId="0" fillId="0" borderId="0" xfId="0" applyAlignment="1"/>
    <xf numFmtId="0" fontId="48" fillId="0" borderId="0" xfId="0" applyNumberFormat="1" applyFont="1" applyAlignment="1">
      <alignment horizontal="center"/>
    </xf>
    <xf numFmtId="174" fontId="48" fillId="0" borderId="0" xfId="0" applyFont="1" applyAlignment="1"/>
    <xf numFmtId="174" fontId="48" fillId="0" borderId="0" xfId="0" applyFont="1" applyFill="1" applyAlignment="1"/>
    <xf numFmtId="0" fontId="48" fillId="0" borderId="0" xfId="0" applyNumberFormat="1" applyFont="1" applyAlignment="1"/>
    <xf numFmtId="0" fontId="48" fillId="0" borderId="0" xfId="0" applyNumberFormat="1" applyFont="1"/>
    <xf numFmtId="0" fontId="48" fillId="0" borderId="0" xfId="0" applyNumberFormat="1" applyFont="1" applyAlignment="1">
      <alignment horizontal="right"/>
    </xf>
    <xf numFmtId="0" fontId="48" fillId="0" borderId="0" xfId="0" applyNumberFormat="1" applyFont="1" applyFill="1"/>
    <xf numFmtId="3" fontId="48" fillId="0" borderId="0" xfId="0" applyNumberFormat="1" applyFont="1" applyAlignment="1">
      <alignment horizontal="center"/>
    </xf>
    <xf numFmtId="0" fontId="48" fillId="0" borderId="0" xfId="0" applyNumberFormat="1" applyFont="1" applyFill="1" applyAlignment="1">
      <alignment horizontal="right"/>
    </xf>
    <xf numFmtId="0" fontId="48" fillId="0" borderId="0" xfId="0" applyNumberFormat="1" applyFont="1" applyFill="1" applyBorder="1"/>
    <xf numFmtId="174" fontId="48" fillId="0" borderId="0" xfId="0" applyFont="1" applyFill="1" applyBorder="1" applyAlignment="1"/>
    <xf numFmtId="3" fontId="48" fillId="0" borderId="0" xfId="82" applyNumberFormat="1" applyFont="1" applyAlignment="1"/>
    <xf numFmtId="0" fontId="19" fillId="0" borderId="0" xfId="82"/>
    <xf numFmtId="0" fontId="50" fillId="0" borderId="0" xfId="82" applyFont="1" applyAlignment="1"/>
    <xf numFmtId="3" fontId="50" fillId="0" borderId="0" xfId="82" applyNumberFormat="1" applyFont="1" applyAlignment="1"/>
    <xf numFmtId="3" fontId="48" fillId="0" borderId="0" xfId="82" applyNumberFormat="1" applyFont="1" applyBorder="1" applyAlignment="1"/>
    <xf numFmtId="0" fontId="48" fillId="0" borderId="0" xfId="82" applyFont="1" applyBorder="1" applyAlignment="1"/>
    <xf numFmtId="3" fontId="48" fillId="0" borderId="0" xfId="82" applyNumberFormat="1" applyFont="1" applyFill="1" applyBorder="1" applyAlignment="1"/>
    <xf numFmtId="175" fontId="48" fillId="0" borderId="0" xfId="63" applyNumberFormat="1" applyFont="1" applyFill="1" applyBorder="1" applyAlignment="1"/>
    <xf numFmtId="0" fontId="48" fillId="0" borderId="0" xfId="82" applyNumberFormat="1" applyFont="1" applyBorder="1" applyAlignment="1"/>
    <xf numFmtId="0" fontId="52" fillId="0" borderId="0" xfId="82" applyFont="1" applyBorder="1"/>
    <xf numFmtId="0" fontId="48" fillId="0" borderId="0" xfId="82" applyFont="1" applyBorder="1"/>
    <xf numFmtId="175" fontId="48" fillId="0" borderId="0" xfId="63" applyNumberFormat="1" applyFont="1" applyBorder="1" applyAlignment="1"/>
    <xf numFmtId="0" fontId="48" fillId="0" borderId="0" xfId="82" applyFont="1"/>
    <xf numFmtId="180" fontId="48" fillId="0" borderId="0" xfId="63" applyNumberFormat="1" applyFont="1" applyBorder="1"/>
    <xf numFmtId="0" fontId="48" fillId="0" borderId="0" xfId="82" applyFont="1" applyAlignment="1">
      <alignment horizontal="left" wrapText="1"/>
    </xf>
    <xf numFmtId="0" fontId="48" fillId="0" borderId="0" xfId="82" applyFont="1" applyAlignment="1">
      <alignment horizontal="left"/>
    </xf>
    <xf numFmtId="0" fontId="52" fillId="0" borderId="0" xfId="82" applyFont="1" applyAlignment="1">
      <alignment horizontal="center"/>
    </xf>
    <xf numFmtId="174" fontId="48" fillId="0" borderId="0" xfId="0" applyFont="1" applyFill="1" applyBorder="1" applyAlignment="1">
      <alignment horizontal="right"/>
    </xf>
    <xf numFmtId="174" fontId="48" fillId="0" borderId="0" xfId="0" applyFont="1" applyFill="1" applyBorder="1" applyAlignment="1">
      <alignment horizontal="center"/>
    </xf>
    <xf numFmtId="174" fontId="49" fillId="0" borderId="0" xfId="0" applyFont="1" applyFill="1" applyBorder="1" applyAlignment="1"/>
    <xf numFmtId="174" fontId="49" fillId="0" borderId="13" xfId="0" applyFont="1" applyFill="1" applyBorder="1" applyAlignment="1">
      <alignment horizontal="center" wrapText="1"/>
    </xf>
    <xf numFmtId="174" fontId="49" fillId="0" borderId="14" xfId="0" applyFont="1" applyFill="1" applyBorder="1" applyAlignment="1"/>
    <xf numFmtId="174" fontId="49" fillId="0" borderId="14" xfId="0" applyFont="1" applyFill="1" applyBorder="1" applyAlignment="1">
      <alignment horizontal="center" wrapText="1"/>
    </xf>
    <xf numFmtId="0" fontId="49" fillId="0" borderId="14" xfId="0" applyNumberFormat="1" applyFont="1" applyFill="1" applyBorder="1" applyAlignment="1">
      <alignment horizontal="center" wrapText="1"/>
    </xf>
    <xf numFmtId="0" fontId="48" fillId="0" borderId="13" xfId="0" applyNumberFormat="1" applyFont="1" applyFill="1" applyBorder="1"/>
    <xf numFmtId="0" fontId="48" fillId="0" borderId="14" xfId="0" applyNumberFormat="1" applyFont="1" applyFill="1" applyBorder="1"/>
    <xf numFmtId="0" fontId="48" fillId="0" borderId="14" xfId="0" applyNumberFormat="1" applyFont="1" applyFill="1" applyBorder="1" applyAlignment="1">
      <alignment horizontal="center"/>
    </xf>
    <xf numFmtId="0" fontId="48" fillId="0" borderId="16" xfId="0" applyNumberFormat="1" applyFont="1" applyFill="1" applyBorder="1"/>
    <xf numFmtId="1" fontId="48" fillId="0" borderId="0" xfId="0" applyNumberFormat="1" applyFont="1" applyFill="1" applyBorder="1" applyAlignment="1">
      <alignment horizontal="center"/>
    </xf>
    <xf numFmtId="174" fontId="50" fillId="0" borderId="0" xfId="0" applyFont="1" applyFill="1" applyBorder="1" applyAlignment="1"/>
    <xf numFmtId="174" fontId="52" fillId="0" borderId="0" xfId="0" applyFont="1" applyFill="1" applyBorder="1" applyAlignment="1"/>
    <xf numFmtId="174" fontId="49" fillId="0" borderId="14" xfId="0" applyFont="1" applyFill="1" applyBorder="1" applyAlignment="1">
      <alignment horizontal="center"/>
    </xf>
    <xf numFmtId="0" fontId="48" fillId="0" borderId="0" xfId="82" applyFont="1" applyAlignment="1">
      <alignment horizontal="center" vertical="top"/>
    </xf>
    <xf numFmtId="174" fontId="48" fillId="21" borderId="0" xfId="0" applyFont="1" applyFill="1" applyAlignment="1"/>
    <xf numFmtId="174" fontId="70" fillId="0" borderId="0" xfId="0" applyFont="1" applyAlignment="1">
      <alignment vertical="center"/>
    </xf>
    <xf numFmtId="43" fontId="70" fillId="0" borderId="0" xfId="59" applyFont="1" applyAlignment="1">
      <alignment vertical="center"/>
    </xf>
    <xf numFmtId="0" fontId="70" fillId="0" borderId="0" xfId="0" applyNumberFormat="1" applyFont="1" applyAlignment="1">
      <alignment vertical="center"/>
    </xf>
    <xf numFmtId="0" fontId="70" fillId="21" borderId="0" xfId="0" applyNumberFormat="1" applyFont="1" applyFill="1" applyAlignment="1">
      <alignment vertical="center"/>
    </xf>
    <xf numFmtId="174" fontId="71" fillId="0" borderId="0" xfId="0" applyFont="1" applyAlignment="1">
      <alignment horizontal="right" vertical="center"/>
    </xf>
    <xf numFmtId="174" fontId="71" fillId="0" borderId="0" xfId="0" applyFont="1" applyAlignment="1">
      <alignment vertical="center"/>
    </xf>
    <xf numFmtId="174" fontId="70" fillId="0" borderId="0" xfId="0" applyFont="1" applyAlignment="1">
      <alignment horizontal="center" vertical="center"/>
    </xf>
    <xf numFmtId="174" fontId="71" fillId="0" borderId="0" xfId="0" applyFont="1" applyAlignment="1">
      <alignment horizontal="center" vertical="center"/>
    </xf>
    <xf numFmtId="174" fontId="72" fillId="0" borderId="0" xfId="0" applyFont="1" applyAlignment="1">
      <alignment horizontal="center" vertical="center"/>
    </xf>
    <xf numFmtId="174" fontId="74" fillId="0" borderId="0" xfId="0" applyFont="1" applyAlignment="1">
      <alignment horizontal="left" vertical="center"/>
    </xf>
    <xf numFmtId="0" fontId="71" fillId="0" borderId="0" xfId="0" applyNumberFormat="1" applyFont="1" applyAlignment="1">
      <alignment horizontal="center" vertical="center"/>
    </xf>
    <xf numFmtId="174" fontId="72" fillId="0" borderId="0" xfId="0" applyFont="1" applyAlignment="1">
      <alignment vertical="center"/>
    </xf>
    <xf numFmtId="43" fontId="70" fillId="0" borderId="0" xfId="59" applyFont="1" applyAlignment="1">
      <alignment horizontal="center" vertical="center"/>
    </xf>
    <xf numFmtId="49" fontId="70" fillId="0" borderId="0" xfId="0" applyNumberFormat="1" applyFont="1" applyAlignment="1">
      <alignment vertical="center"/>
    </xf>
    <xf numFmtId="174" fontId="73" fillId="0" borderId="0" xfId="0" applyFont="1" applyAlignment="1">
      <alignment horizontal="center" vertical="center"/>
    </xf>
    <xf numFmtId="174" fontId="70" fillId="0" borderId="0" xfId="0" applyFont="1" applyFill="1" applyAlignment="1">
      <alignment horizontal="center" vertical="center"/>
    </xf>
    <xf numFmtId="174" fontId="72" fillId="0" borderId="0" xfId="0" applyFont="1" applyFill="1" applyAlignment="1">
      <alignment horizontal="center" vertical="center"/>
    </xf>
    <xf numFmtId="174" fontId="71" fillId="0" borderId="0" xfId="0" applyFont="1" applyAlignment="1">
      <alignment horizontal="left" vertical="center"/>
    </xf>
    <xf numFmtId="0" fontId="73" fillId="0" borderId="0" xfId="0" applyNumberFormat="1" applyFont="1" applyFill="1" applyAlignment="1">
      <alignment horizontal="right" vertical="center"/>
    </xf>
    <xf numFmtId="174" fontId="73" fillId="0" borderId="0" xfId="0" applyFont="1" applyAlignment="1">
      <alignment horizontal="right" vertical="center"/>
    </xf>
    <xf numFmtId="49" fontId="70" fillId="0" borderId="0" xfId="0" applyNumberFormat="1" applyFont="1" applyAlignment="1">
      <alignment horizontal="center" vertical="center"/>
    </xf>
    <xf numFmtId="49" fontId="71" fillId="0" borderId="0" xfId="0" applyNumberFormat="1" applyFont="1" applyAlignment="1">
      <alignment horizontal="center" vertical="center"/>
    </xf>
    <xf numFmtId="164" fontId="70" fillId="0" borderId="0" xfId="85" applyNumberFormat="1" applyFont="1" applyAlignment="1">
      <alignment horizontal="center" vertical="center"/>
    </xf>
    <xf numFmtId="174" fontId="76" fillId="22" borderId="15" xfId="0" applyFont="1" applyFill="1" applyBorder="1" applyAlignment="1">
      <alignment vertical="center"/>
    </xf>
    <xf numFmtId="174" fontId="77" fillId="22" borderId="2" xfId="0" applyFont="1" applyFill="1" applyBorder="1" applyAlignment="1">
      <alignment vertical="center"/>
    </xf>
    <xf numFmtId="174" fontId="77" fillId="22" borderId="2" xfId="0" applyFont="1" applyFill="1" applyBorder="1" applyAlignment="1">
      <alignment horizontal="center" vertical="center"/>
    </xf>
    <xf numFmtId="174" fontId="70" fillId="0" borderId="16" xfId="0" applyFont="1" applyBorder="1" applyAlignment="1">
      <alignment vertical="center"/>
    </xf>
    <xf numFmtId="174" fontId="70" fillId="0" borderId="0" xfId="0" applyFont="1" applyBorder="1" applyAlignment="1">
      <alignment vertical="center"/>
    </xf>
    <xf numFmtId="174" fontId="72" fillId="0" borderId="0" xfId="0" applyFont="1" applyBorder="1" applyAlignment="1">
      <alignment horizontal="center" vertical="center"/>
    </xf>
    <xf numFmtId="174" fontId="70" fillId="0" borderId="21" xfId="0" applyFont="1" applyBorder="1" applyAlignment="1">
      <alignment vertical="center"/>
    </xf>
    <xf numFmtId="174" fontId="71" fillId="0" borderId="0" xfId="0" applyFont="1" applyBorder="1" applyAlignment="1">
      <alignment horizontal="right" vertical="center"/>
    </xf>
    <xf numFmtId="174" fontId="71" fillId="0" borderId="0" xfId="0" applyFont="1" applyBorder="1" applyAlignment="1">
      <alignment horizontal="center" vertical="center"/>
    </xf>
    <xf numFmtId="0" fontId="70" fillId="0" borderId="0" xfId="0" applyNumberFormat="1" applyFont="1" applyBorder="1" applyAlignment="1">
      <alignment vertical="center"/>
    </xf>
    <xf numFmtId="174" fontId="70" fillId="0" borderId="17" xfId="0" applyFont="1" applyBorder="1" applyAlignment="1">
      <alignment vertical="center"/>
    </xf>
    <xf numFmtId="174" fontId="70" fillId="0" borderId="11" xfId="0" applyFont="1" applyBorder="1" applyAlignment="1">
      <alignment vertical="center"/>
    </xf>
    <xf numFmtId="0" fontId="48" fillId="0" borderId="23" xfId="0" applyNumberFormat="1" applyFont="1" applyFill="1" applyBorder="1" applyAlignment="1">
      <alignment horizontal="center"/>
    </xf>
    <xf numFmtId="174" fontId="77" fillId="0" borderId="0" xfId="0" applyFont="1" applyFill="1" applyBorder="1" applyAlignment="1">
      <alignment horizontal="center" vertical="center"/>
    </xf>
    <xf numFmtId="174" fontId="77" fillId="0" borderId="0" xfId="0" applyFont="1" applyFill="1" applyBorder="1" applyAlignment="1">
      <alignment vertical="center"/>
    </xf>
    <xf numFmtId="174" fontId="75" fillId="0" borderId="0" xfId="0" applyFont="1" applyAlignment="1">
      <alignment horizontal="left" vertical="center"/>
    </xf>
    <xf numFmtId="174" fontId="48" fillId="0" borderId="0" xfId="0" applyFont="1" applyAlignment="1">
      <alignment vertical="center"/>
    </xf>
    <xf numFmtId="174" fontId="48" fillId="0" borderId="0" xfId="0" applyFont="1" applyAlignment="1">
      <alignment horizontal="right" vertical="center"/>
    </xf>
    <xf numFmtId="174" fontId="48" fillId="0" borderId="0" xfId="0" applyFont="1" applyAlignment="1">
      <alignment horizontal="center" vertical="center"/>
    </xf>
    <xf numFmtId="174" fontId="78" fillId="0" borderId="0" xfId="0" applyFont="1" applyFill="1" applyProtection="1">
      <protection locked="0"/>
    </xf>
    <xf numFmtId="174" fontId="26" fillId="0" borderId="0" xfId="0" applyFont="1" applyFill="1" applyProtection="1">
      <protection locked="0"/>
    </xf>
    <xf numFmtId="174" fontId="78" fillId="0" borderId="25" xfId="0" applyFont="1" applyFill="1" applyBorder="1" applyAlignment="1" applyProtection="1">
      <alignment horizontal="center" wrapText="1"/>
      <protection locked="0"/>
    </xf>
    <xf numFmtId="174" fontId="78" fillId="0" borderId="25" xfId="0" applyFont="1" applyFill="1" applyBorder="1" applyProtection="1">
      <protection locked="0"/>
    </xf>
    <xf numFmtId="174" fontId="78" fillId="0" borderId="0" xfId="0" applyFont="1" applyFill="1" applyAlignment="1" applyProtection="1">
      <alignment horizontal="center"/>
      <protection locked="0"/>
    </xf>
    <xf numFmtId="178" fontId="78" fillId="0" borderId="0" xfId="0" applyNumberFormat="1" applyFont="1" applyFill="1" applyProtection="1">
      <protection locked="0"/>
    </xf>
    <xf numFmtId="174" fontId="79" fillId="0" borderId="0" xfId="0" applyFont="1" applyFill="1" applyAlignment="1" applyProtection="1">
      <alignment horizontal="center"/>
      <protection locked="0"/>
    </xf>
    <xf numFmtId="5" fontId="78" fillId="0" borderId="26" xfId="0" applyNumberFormat="1" applyFont="1" applyFill="1" applyBorder="1" applyAlignment="1" applyProtection="1">
      <alignment horizontal="center"/>
      <protection locked="0"/>
    </xf>
    <xf numFmtId="178" fontId="78" fillId="0" borderId="6" xfId="0" applyNumberFormat="1" applyFont="1" applyFill="1" applyBorder="1" applyProtection="1">
      <protection locked="0"/>
    </xf>
    <xf numFmtId="174" fontId="78" fillId="0" borderId="6" xfId="0" applyFont="1" applyFill="1" applyBorder="1" applyAlignment="1" applyProtection="1">
      <alignment horizontal="center"/>
      <protection locked="0"/>
    </xf>
    <xf numFmtId="174" fontId="26" fillId="0" borderId="6" xfId="0" applyFont="1" applyFill="1" applyBorder="1" applyProtection="1">
      <protection locked="0"/>
    </xf>
    <xf numFmtId="178" fontId="78" fillId="0" borderId="0" xfId="0" applyNumberFormat="1" applyFont="1" applyFill="1" applyAlignment="1" applyProtection="1">
      <alignment horizontal="left"/>
      <protection locked="0"/>
    </xf>
    <xf numFmtId="0" fontId="79" fillId="0" borderId="0" xfId="0" applyNumberFormat="1" applyFont="1" applyFill="1" applyAlignment="1" applyProtection="1">
      <alignment horizontal="left"/>
      <protection locked="0"/>
    </xf>
    <xf numFmtId="174" fontId="79" fillId="0" borderId="0" xfId="0" applyFont="1" applyFill="1" applyAlignment="1" applyProtection="1">
      <alignment horizontal="center" wrapText="1"/>
      <protection locked="0"/>
    </xf>
    <xf numFmtId="178" fontId="79" fillId="0" borderId="0" xfId="0" applyNumberFormat="1" applyFont="1" applyFill="1" applyAlignment="1" applyProtection="1">
      <alignment horizontal="center" wrapText="1"/>
      <protection locked="0"/>
    </xf>
    <xf numFmtId="182" fontId="78" fillId="0" borderId="0" xfId="85" applyNumberFormat="1" applyFont="1" applyFill="1" applyProtection="1">
      <protection locked="0"/>
    </xf>
    <xf numFmtId="178" fontId="78" fillId="0" borderId="0" xfId="0" applyNumberFormat="1" applyFont="1" applyFill="1" applyAlignment="1" applyProtection="1">
      <alignment horizontal="center"/>
      <protection locked="0"/>
    </xf>
    <xf numFmtId="178" fontId="78" fillId="0" borderId="0" xfId="59" applyNumberFormat="1" applyFont="1" applyFill="1" applyProtection="1">
      <protection locked="0"/>
    </xf>
    <xf numFmtId="182" fontId="78" fillId="0" borderId="0" xfId="0" applyNumberFormat="1" applyFont="1" applyFill="1" applyProtection="1">
      <protection locked="0"/>
    </xf>
    <xf numFmtId="0" fontId="78" fillId="0" borderId="0" xfId="0" applyNumberFormat="1" applyFont="1" applyFill="1" applyProtection="1">
      <protection locked="0"/>
    </xf>
    <xf numFmtId="0" fontId="78" fillId="0" borderId="0" xfId="0" applyNumberFormat="1" applyFont="1" applyFill="1"/>
    <xf numFmtId="178" fontId="78" fillId="0" borderId="11" xfId="59" applyNumberFormat="1" applyFont="1" applyFill="1" applyBorder="1" applyProtection="1">
      <protection locked="0"/>
    </xf>
    <xf numFmtId="178" fontId="79" fillId="0" borderId="0" xfId="59" applyNumberFormat="1" applyFont="1" applyFill="1" applyProtection="1">
      <protection locked="0"/>
    </xf>
    <xf numFmtId="174" fontId="26" fillId="0" borderId="0" xfId="0" applyFont="1" applyFill="1"/>
    <xf numFmtId="178" fontId="79" fillId="0" borderId="0" xfId="59" applyNumberFormat="1" applyFont="1" applyFill="1" applyAlignment="1" applyProtection="1">
      <alignment horizontal="center"/>
      <protection locked="0"/>
    </xf>
    <xf numFmtId="174" fontId="80" fillId="0" borderId="0" xfId="0" applyFont="1" applyFill="1" applyProtection="1">
      <protection locked="0"/>
    </xf>
    <xf numFmtId="178" fontId="79" fillId="0" borderId="0" xfId="0" applyNumberFormat="1" applyFont="1" applyFill="1" applyProtection="1">
      <protection locked="0"/>
    </xf>
    <xf numFmtId="175" fontId="26" fillId="0" borderId="0" xfId="63" applyNumberFormat="1" applyFont="1" applyFill="1"/>
    <xf numFmtId="174" fontId="26" fillId="0" borderId="0" xfId="0" applyFont="1" applyFill="1" applyAlignment="1" applyProtection="1">
      <alignment wrapText="1"/>
      <protection locked="0"/>
    </xf>
    <xf numFmtId="174" fontId="48" fillId="0" borderId="0" xfId="0" applyFont="1" applyAlignment="1">
      <alignment vertical="center" wrapText="1"/>
    </xf>
    <xf numFmtId="174" fontId="78" fillId="0" borderId="24" xfId="0" applyFont="1" applyFill="1" applyBorder="1" applyAlignment="1" applyProtection="1">
      <alignment horizontal="center" vertical="center" wrapText="1"/>
      <protection locked="0"/>
    </xf>
    <xf numFmtId="174" fontId="78" fillId="0" borderId="0" xfId="0" applyFont="1" applyFill="1" applyAlignment="1" applyProtection="1">
      <alignment horizontal="center" vertical="center" wrapText="1"/>
      <protection locked="0"/>
    </xf>
    <xf numFmtId="174" fontId="80" fillId="0" borderId="0" xfId="0" applyFont="1" applyFill="1" applyAlignment="1" applyProtection="1">
      <alignment horizontal="left"/>
      <protection locked="0"/>
    </xf>
    <xf numFmtId="0" fontId="78" fillId="0" borderId="0" xfId="0" applyNumberFormat="1" applyFont="1" applyFill="1" applyAlignment="1" applyProtection="1">
      <alignment horizontal="left"/>
      <protection locked="0"/>
    </xf>
    <xf numFmtId="0" fontId="70" fillId="0" borderId="0" xfId="0" applyNumberFormat="1" applyFont="1" applyFill="1" applyAlignment="1">
      <alignment vertical="center"/>
    </xf>
    <xf numFmtId="178" fontId="71" fillId="21" borderId="0" xfId="59" applyNumberFormat="1" applyFont="1" applyFill="1" applyAlignment="1">
      <alignment horizontal="center" vertical="center"/>
    </xf>
    <xf numFmtId="178" fontId="71" fillId="0" borderId="0" xfId="59" applyNumberFormat="1" applyFont="1" applyAlignment="1">
      <alignment vertical="center"/>
    </xf>
    <xf numFmtId="178" fontId="71" fillId="0" borderId="0" xfId="59" applyNumberFormat="1" applyFont="1" applyAlignment="1">
      <alignment horizontal="center" vertical="center"/>
    </xf>
    <xf numFmtId="178" fontId="71" fillId="0" borderId="0" xfId="59" applyNumberFormat="1" applyFont="1" applyBorder="1" applyAlignment="1">
      <alignment horizontal="center" vertical="center"/>
    </xf>
    <xf numFmtId="178" fontId="71" fillId="0" borderId="11" xfId="59" applyNumberFormat="1" applyFont="1" applyBorder="1" applyAlignment="1">
      <alignment horizontal="center" vertical="center"/>
    </xf>
    <xf numFmtId="178" fontId="71" fillId="21" borderId="6" xfId="59" applyNumberFormat="1" applyFont="1" applyFill="1" applyBorder="1" applyAlignment="1">
      <alignment horizontal="center" vertical="center"/>
    </xf>
    <xf numFmtId="178" fontId="71" fillId="0" borderId="0" xfId="59" applyNumberFormat="1" applyFont="1" applyFill="1" applyAlignment="1">
      <alignment horizontal="center" vertical="center"/>
    </xf>
    <xf numFmtId="183" fontId="48" fillId="0" borderId="0" xfId="59" applyNumberFormat="1" applyFont="1" applyFill="1" applyAlignment="1">
      <alignment horizontal="right"/>
    </xf>
    <xf numFmtId="0" fontId="81" fillId="0" borderId="0" xfId="129" applyFont="1"/>
    <xf numFmtId="0" fontId="82" fillId="0" borderId="0" xfId="129" applyFont="1"/>
    <xf numFmtId="0" fontId="81" fillId="0" borderId="0" xfId="129" applyFont="1" applyAlignment="1">
      <alignment horizontal="left" vertical="center"/>
    </xf>
    <xf numFmtId="0" fontId="81" fillId="0" borderId="0" xfId="129" applyFont="1" applyFill="1"/>
    <xf numFmtId="174" fontId="70" fillId="0" borderId="0" xfId="0" applyFont="1" applyFill="1" applyAlignment="1">
      <alignment vertical="center"/>
    </xf>
    <xf numFmtId="174" fontId="71" fillId="0" borderId="0" xfId="0" applyFont="1" applyFill="1" applyAlignment="1">
      <alignment vertical="center"/>
    </xf>
    <xf numFmtId="174" fontId="48" fillId="0" borderId="0" xfId="0" applyFont="1" applyFill="1" applyAlignment="1">
      <alignment vertical="center"/>
    </xf>
    <xf numFmtId="0" fontId="19" fillId="0" borderId="0" xfId="82" applyFill="1"/>
    <xf numFmtId="0" fontId="16" fillId="0" borderId="0" xfId="129" applyAlignment="1">
      <alignment vertical="center"/>
    </xf>
    <xf numFmtId="3" fontId="48" fillId="21" borderId="0" xfId="82" applyNumberFormat="1" applyFont="1" applyFill="1" applyBorder="1" applyAlignment="1"/>
    <xf numFmtId="174" fontId="70" fillId="0" borderId="0" xfId="0" applyFont="1" applyAlignment="1">
      <alignment horizontal="left" vertical="center"/>
    </xf>
    <xf numFmtId="174" fontId="84" fillId="0" borderId="0" xfId="0" applyFont="1" applyAlignment="1">
      <alignment vertical="center"/>
    </xf>
    <xf numFmtId="174" fontId="70" fillId="0" borderId="0" xfId="0" applyFont="1" applyAlignment="1">
      <alignment horizontal="center" vertical="top" wrapText="1"/>
    </xf>
    <xf numFmtId="174" fontId="85" fillId="0" borderId="0" xfId="0" applyFont="1" applyAlignment="1">
      <alignment horizontal="center" vertical="center"/>
    </xf>
    <xf numFmtId="1" fontId="70" fillId="0" borderId="0" xfId="0" applyNumberFormat="1" applyFont="1" applyAlignment="1">
      <alignment horizontal="right" vertical="center"/>
    </xf>
    <xf numFmtId="178" fontId="70" fillId="0" borderId="0" xfId="59" applyNumberFormat="1" applyFont="1" applyAlignment="1">
      <alignment horizontal="left" vertical="center"/>
    </xf>
    <xf numFmtId="174" fontId="86" fillId="0" borderId="0" xfId="0" applyFont="1" applyAlignment="1">
      <alignment horizontal="center" vertical="center"/>
    </xf>
    <xf numFmtId="0" fontId="43" fillId="0" borderId="0" xfId="129" applyFont="1"/>
    <xf numFmtId="0" fontId="81" fillId="0" borderId="0" xfId="129" applyFont="1" applyAlignment="1">
      <alignment horizontal="center"/>
    </xf>
    <xf numFmtId="0" fontId="81" fillId="0" borderId="0" xfId="129" applyFont="1" applyAlignment="1">
      <alignment horizontal="center" wrapText="1"/>
    </xf>
    <xf numFmtId="0" fontId="82" fillId="0" borderId="6" xfId="129" applyFont="1" applyBorder="1"/>
    <xf numFmtId="10" fontId="81" fillId="21" borderId="0" xfId="129" applyNumberFormat="1" applyFont="1" applyFill="1"/>
    <xf numFmtId="0" fontId="81" fillId="0" borderId="0" xfId="129" applyFont="1" applyAlignment="1">
      <alignment horizontal="right" wrapText="1"/>
    </xf>
    <xf numFmtId="164" fontId="81" fillId="0" borderId="27" xfId="129" applyNumberFormat="1" applyFont="1" applyBorder="1"/>
    <xf numFmtId="0" fontId="82" fillId="0" borderId="0" xfId="129" applyFont="1" applyBorder="1"/>
    <xf numFmtId="174" fontId="70" fillId="0" borderId="0" xfId="0" applyFont="1" applyAlignment="1">
      <alignment horizontal="center" vertical="top"/>
    </xf>
    <xf numFmtId="178" fontId="71" fillId="21" borderId="0" xfId="59" applyNumberFormat="1" applyFont="1" applyFill="1" applyAlignment="1">
      <alignment horizontal="left" vertical="center"/>
    </xf>
    <xf numFmtId="0" fontId="15" fillId="0" borderId="0" xfId="129" applyFont="1" applyAlignment="1">
      <alignment vertical="center"/>
    </xf>
    <xf numFmtId="0" fontId="19" fillId="0" borderId="0" xfId="132"/>
    <xf numFmtId="0" fontId="88" fillId="0" borderId="0" xfId="132" applyFont="1"/>
    <xf numFmtId="0" fontId="26" fillId="0" borderId="0" xfId="132" applyFont="1"/>
    <xf numFmtId="0" fontId="26" fillId="0" borderId="0" xfId="132" applyFont="1" applyAlignment="1">
      <alignment horizontal="center"/>
    </xf>
    <xf numFmtId="3" fontId="26" fillId="0" borderId="0" xfId="132" applyNumberFormat="1" applyFont="1" applyFill="1" applyBorder="1" applyAlignment="1"/>
    <xf numFmtId="178" fontId="26" fillId="0" borderId="0" xfId="133" applyNumberFormat="1" applyFont="1" applyFill="1"/>
    <xf numFmtId="0" fontId="26" fillId="0" borderId="0" xfId="132" applyFont="1" applyFill="1"/>
    <xf numFmtId="0" fontId="91" fillId="24" borderId="0" xfId="132" applyFont="1" applyFill="1"/>
    <xf numFmtId="0" fontId="26" fillId="24" borderId="0" xfId="132" applyFont="1" applyFill="1"/>
    <xf numFmtId="0" fontId="91" fillId="0" borderId="0" xfId="132" applyFont="1" applyFill="1"/>
    <xf numFmtId="0" fontId="21" fillId="0" borderId="0" xfId="132" applyFont="1" applyFill="1" applyAlignment="1">
      <alignment horizontal="center"/>
    </xf>
    <xf numFmtId="0" fontId="26" fillId="0" borderId="0" xfId="132" applyFont="1" applyFill="1" applyAlignment="1">
      <alignment wrapText="1"/>
    </xf>
    <xf numFmtId="0" fontId="26" fillId="0" borderId="0" xfId="132" applyFont="1" applyFill="1" applyAlignment="1">
      <alignment horizontal="center"/>
    </xf>
    <xf numFmtId="0" fontId="26" fillId="0" borderId="0" xfId="132" applyFont="1" applyAlignment="1">
      <alignment horizontal="left"/>
    </xf>
    <xf numFmtId="0" fontId="26" fillId="0" borderId="0" xfId="132" applyFont="1" applyFill="1" applyAlignment="1">
      <alignment horizontal="left"/>
    </xf>
    <xf numFmtId="3" fontId="26" fillId="0" borderId="0" xfId="132" applyNumberFormat="1" applyFont="1" applyBorder="1" applyAlignment="1">
      <alignment horizontal="left"/>
    </xf>
    <xf numFmtId="0" fontId="26" fillId="0" borderId="0" xfId="132" applyFont="1" applyAlignment="1">
      <alignment wrapText="1"/>
    </xf>
    <xf numFmtId="0" fontId="26" fillId="0" borderId="0" xfId="132" applyNumberFormat="1" applyFont="1" applyFill="1" applyAlignment="1">
      <alignment horizontal="center"/>
    </xf>
    <xf numFmtId="0" fontId="26" fillId="0" borderId="0" xfId="132" applyNumberFormat="1" applyFont="1" applyAlignment="1">
      <alignment horizontal="left"/>
    </xf>
    <xf numFmtId="0" fontId="26" fillId="0" borderId="0" xfId="132" applyFont="1" applyAlignment="1"/>
    <xf numFmtId="3" fontId="26" fillId="0" borderId="0" xfId="132" applyNumberFormat="1" applyFont="1" applyAlignment="1"/>
    <xf numFmtId="3" fontId="26" fillId="0" borderId="0" xfId="132" applyNumberFormat="1" applyFont="1" applyFill="1" applyAlignment="1"/>
    <xf numFmtId="3" fontId="21" fillId="0" borderId="0" xfId="132" applyNumberFormat="1" applyFont="1" applyAlignment="1">
      <alignment horizontal="left"/>
    </xf>
    <xf numFmtId="0" fontId="26" fillId="0" borderId="0" xfId="132" applyNumberFormat="1" applyFont="1" applyAlignment="1"/>
    <xf numFmtId="3" fontId="26" fillId="0" borderId="0" xfId="132" applyNumberFormat="1" applyFont="1" applyAlignment="1">
      <alignment horizontal="left"/>
    </xf>
    <xf numFmtId="0" fontId="21" fillId="0" borderId="0" xfId="132" applyNumberFormat="1" applyFont="1" applyAlignment="1">
      <alignment horizontal="left"/>
    </xf>
    <xf numFmtId="0" fontId="26" fillId="0" borderId="0" xfId="132" applyNumberFormat="1" applyFont="1" applyBorder="1" applyAlignment="1">
      <alignment horizontal="left"/>
    </xf>
    <xf numFmtId="3" fontId="26" fillId="0" borderId="11" xfId="132" applyNumberFormat="1" applyFont="1" applyBorder="1" applyAlignment="1"/>
    <xf numFmtId="3" fontId="26" fillId="0" borderId="11" xfId="132" applyNumberFormat="1" applyFont="1" applyFill="1" applyBorder="1" applyAlignment="1"/>
    <xf numFmtId="3" fontId="26" fillId="0" borderId="11" xfId="132" applyNumberFormat="1" applyFont="1" applyBorder="1" applyAlignment="1">
      <alignment horizontal="left"/>
    </xf>
    <xf numFmtId="0" fontId="26" fillId="0" borderId="0" xfId="132" applyNumberFormat="1" applyFont="1" applyFill="1" applyAlignment="1">
      <alignment horizontal="left"/>
    </xf>
    <xf numFmtId="0" fontId="26" fillId="0" borderId="0" xfId="132" applyFont="1" applyFill="1" applyAlignment="1"/>
    <xf numFmtId="0" fontId="26" fillId="0" borderId="0" xfId="132" applyNumberFormat="1" applyFont="1" applyFill="1" applyAlignment="1"/>
    <xf numFmtId="0" fontId="26" fillId="0" borderId="2" xfId="132" applyFont="1" applyBorder="1" applyAlignment="1"/>
    <xf numFmtId="0" fontId="21" fillId="0" borderId="2" xfId="132" applyNumberFormat="1" applyFont="1" applyBorder="1" applyAlignment="1"/>
    <xf numFmtId="3" fontId="26" fillId="0" borderId="2" xfId="132" applyNumberFormat="1" applyFont="1" applyBorder="1" applyAlignment="1"/>
    <xf numFmtId="3" fontId="26" fillId="0" borderId="2" xfId="132" applyNumberFormat="1" applyFont="1" applyFill="1" applyBorder="1" applyAlignment="1"/>
    <xf numFmtId="3" fontId="26" fillId="0" borderId="0" xfId="132" applyNumberFormat="1" applyFont="1" applyFill="1" applyAlignment="1">
      <alignment horizontal="center"/>
    </xf>
    <xf numFmtId="0" fontId="26" fillId="0" borderId="0" xfId="132" applyNumberFormat="1" applyFont="1" applyFill="1" applyBorder="1" applyAlignment="1"/>
    <xf numFmtId="182" fontId="26" fillId="0" borderId="0" xfId="134" applyNumberFormat="1" applyFont="1" applyFill="1" applyBorder="1" applyAlignment="1"/>
    <xf numFmtId="169" fontId="26" fillId="0" borderId="0" xfId="132" applyNumberFormat="1" applyFont="1" applyFill="1" applyAlignment="1"/>
    <xf numFmtId="0" fontId="26" fillId="0" borderId="0" xfId="132" applyFont="1" applyBorder="1"/>
    <xf numFmtId="169" fontId="26" fillId="0" borderId="0" xfId="132" applyNumberFormat="1" applyFont="1" applyBorder="1"/>
    <xf numFmtId="3" fontId="26" fillId="0" borderId="0" xfId="132" applyNumberFormat="1" applyFont="1" applyFill="1" applyAlignment="1">
      <alignment horizontal="left"/>
    </xf>
    <xf numFmtId="10" fontId="92" fillId="0" borderId="0" xfId="132" applyNumberFormat="1" applyFont="1" applyFill="1" applyAlignment="1"/>
    <xf numFmtId="169" fontId="26" fillId="20" borderId="0" xfId="133" applyNumberFormat="1" applyFont="1" applyFill="1" applyBorder="1" applyAlignment="1"/>
    <xf numFmtId="3" fontId="26" fillId="0" borderId="0" xfId="132" quotePrefix="1" applyNumberFormat="1" applyFont="1" applyAlignment="1">
      <alignment horizontal="right"/>
    </xf>
    <xf numFmtId="169" fontId="26" fillId="0" borderId="0" xfId="132" applyNumberFormat="1" applyFont="1" applyAlignment="1"/>
    <xf numFmtId="0" fontId="26" fillId="0" borderId="0" xfId="132" applyFont="1" applyAlignment="1">
      <alignment horizontal="right"/>
    </xf>
    <xf numFmtId="0" fontId="26" fillId="0" borderId="11" xfId="132" applyNumberFormat="1" applyFont="1" applyBorder="1" applyAlignment="1">
      <alignment horizontal="left"/>
    </xf>
    <xf numFmtId="0" fontId="26" fillId="0" borderId="11" xfId="132" applyNumberFormat="1" applyFont="1" applyBorder="1" applyAlignment="1"/>
    <xf numFmtId="0" fontId="26" fillId="0" borderId="11" xfId="132" applyFont="1" applyBorder="1" applyAlignment="1">
      <alignment horizontal="left"/>
    </xf>
    <xf numFmtId="3" fontId="26" fillId="0" borderId="11" xfId="132" applyNumberFormat="1" applyFont="1" applyBorder="1" applyAlignment="1">
      <alignment horizontal="right"/>
    </xf>
    <xf numFmtId="169" fontId="26" fillId="0" borderId="11" xfId="132" applyNumberFormat="1" applyFont="1" applyBorder="1" applyAlignment="1"/>
    <xf numFmtId="0" fontId="21" fillId="0" borderId="0" xfId="132" applyFont="1" applyBorder="1" applyAlignment="1"/>
    <xf numFmtId="0" fontId="21" fillId="0" borderId="0" xfId="132" applyNumberFormat="1" applyFont="1" applyBorder="1" applyAlignment="1"/>
    <xf numFmtId="3" fontId="21" fillId="0" borderId="0" xfId="132" quotePrefix="1" applyNumberFormat="1" applyFont="1" applyBorder="1" applyAlignment="1">
      <alignment horizontal="right"/>
    </xf>
    <xf numFmtId="169" fontId="21" fillId="0" borderId="0" xfId="132" applyNumberFormat="1" applyFont="1" applyAlignment="1"/>
    <xf numFmtId="0" fontId="21" fillId="0" borderId="0" xfId="132" applyNumberFormat="1" applyFont="1" applyFill="1" applyAlignment="1">
      <alignment horizontal="center"/>
    </xf>
    <xf numFmtId="0" fontId="21" fillId="0" borderId="0" xfId="132" applyFont="1" applyBorder="1" applyAlignment="1">
      <alignment horizontal="left"/>
    </xf>
    <xf numFmtId="0" fontId="21" fillId="0" borderId="27" xfId="132" applyFont="1" applyBorder="1" applyAlignment="1"/>
    <xf numFmtId="0" fontId="26" fillId="0" borderId="27" xfId="132" applyFont="1" applyBorder="1"/>
    <xf numFmtId="3" fontId="21" fillId="0" borderId="27" xfId="132" applyNumberFormat="1" applyFont="1" applyBorder="1" applyAlignment="1">
      <alignment horizontal="left"/>
    </xf>
    <xf numFmtId="166" fontId="21" fillId="0" borderId="27" xfId="132" applyNumberFormat="1" applyFont="1" applyBorder="1" applyAlignment="1">
      <alignment horizontal="center"/>
    </xf>
    <xf numFmtId="3" fontId="21" fillId="0" borderId="27" xfId="132" applyNumberFormat="1" applyFont="1" applyBorder="1" applyAlignment="1"/>
    <xf numFmtId="0" fontId="26" fillId="0" borderId="0" xfId="132" applyNumberFormat="1" applyFont="1" applyAlignment="1">
      <alignment horizontal="center"/>
    </xf>
    <xf numFmtId="0" fontId="93" fillId="24" borderId="0" xfId="132" applyNumberFormat="1" applyFont="1" applyFill="1" applyAlignment="1">
      <alignment horizontal="left"/>
    </xf>
    <xf numFmtId="0" fontId="93" fillId="24" borderId="0" xfId="132" applyFont="1" applyFill="1" applyAlignment="1">
      <alignment horizontal="left"/>
    </xf>
    <xf numFmtId="0" fontId="93" fillId="24" borderId="0" xfId="132" applyFont="1" applyFill="1" applyAlignment="1"/>
    <xf numFmtId="0" fontId="94" fillId="24" borderId="0" xfId="132" applyNumberFormat="1" applyFont="1" applyFill="1" applyAlignment="1">
      <alignment horizontal="left"/>
    </xf>
    <xf numFmtId="0" fontId="26" fillId="24" borderId="0" xfId="132" applyFont="1" applyFill="1" applyAlignment="1"/>
    <xf numFmtId="0" fontId="94" fillId="24" borderId="0" xfId="132" applyNumberFormat="1" applyFont="1" applyFill="1" applyAlignment="1">
      <alignment horizontal="center"/>
    </xf>
    <xf numFmtId="0" fontId="26" fillId="24" borderId="0" xfId="132" applyFont="1" applyFill="1" applyBorder="1" applyAlignment="1">
      <alignment horizontal="center" wrapText="1"/>
    </xf>
    <xf numFmtId="0" fontId="21" fillId="0" borderId="0" xfId="132" applyNumberFormat="1" applyFont="1" applyFill="1" applyAlignment="1"/>
    <xf numFmtId="3" fontId="26" fillId="0" borderId="0" xfId="132" applyNumberFormat="1" applyFont="1" applyAlignment="1">
      <alignment horizontal="center"/>
    </xf>
    <xf numFmtId="182" fontId="21" fillId="0" borderId="0" xfId="134" applyNumberFormat="1" applyFont="1" applyAlignment="1"/>
    <xf numFmtId="3" fontId="26" fillId="0" borderId="0" xfId="132" applyNumberFormat="1" applyFont="1"/>
    <xf numFmtId="164" fontId="21" fillId="0" borderId="0" xfId="132" applyNumberFormat="1" applyFont="1" applyBorder="1" applyAlignment="1">
      <alignment horizontal="left"/>
    </xf>
    <xf numFmtId="166" fontId="26" fillId="0" borderId="0" xfId="132" applyNumberFormat="1" applyFont="1" applyAlignment="1">
      <alignment horizontal="center"/>
    </xf>
    <xf numFmtId="3" fontId="26" fillId="0" borderId="0" xfId="132" applyNumberFormat="1" applyFont="1" applyFill="1" applyBorder="1" applyAlignment="1">
      <alignment horizontal="left"/>
    </xf>
    <xf numFmtId="0" fontId="59" fillId="0" borderId="0" xfId="132" applyNumberFormat="1" applyFont="1" applyFill="1"/>
    <xf numFmtId="10" fontId="59" fillId="0" borderId="0" xfId="132" applyNumberFormat="1" applyFont="1" applyFill="1"/>
    <xf numFmtId="174" fontId="26" fillId="0" borderId="0" xfId="132" applyNumberFormat="1" applyFont="1" applyFill="1" applyAlignment="1"/>
    <xf numFmtId="43" fontId="59" fillId="0" borderId="0" xfId="132" applyNumberFormat="1" applyFont="1" applyFill="1"/>
    <xf numFmtId="164" fontId="26" fillId="0" borderId="0" xfId="132" applyNumberFormat="1" applyFont="1" applyFill="1" applyAlignment="1">
      <alignment horizontal="left"/>
    </xf>
    <xf numFmtId="174" fontId="26" fillId="0" borderId="0" xfId="132" applyNumberFormat="1" applyFont="1" applyAlignment="1"/>
    <xf numFmtId="10" fontId="26" fillId="0" borderId="0" xfId="132" applyNumberFormat="1" applyFont="1"/>
    <xf numFmtId="164" fontId="26" fillId="0" borderId="0" xfId="132" applyNumberFormat="1" applyFont="1" applyAlignment="1">
      <alignment horizontal="center"/>
    </xf>
    <xf numFmtId="164" fontId="26" fillId="0" borderId="0" xfId="132" applyNumberFormat="1" applyFont="1" applyAlignment="1">
      <alignment horizontal="left"/>
    </xf>
    <xf numFmtId="10" fontId="26" fillId="0" borderId="0" xfId="132" applyNumberFormat="1" applyFont="1" applyFill="1" applyAlignment="1">
      <alignment horizontal="right"/>
    </xf>
    <xf numFmtId="10" fontId="90" fillId="0" borderId="0" xfId="132" applyNumberFormat="1" applyFont="1" applyFill="1" applyAlignment="1">
      <alignment horizontal="right"/>
    </xf>
    <xf numFmtId="3" fontId="26" fillId="0" borderId="0" xfId="132" applyNumberFormat="1" applyFont="1" applyBorder="1" applyAlignment="1"/>
    <xf numFmtId="0" fontId="26" fillId="0" borderId="0" xfId="132" applyFont="1" applyFill="1" applyBorder="1" applyAlignment="1"/>
    <xf numFmtId="0" fontId="26" fillId="0" borderId="0" xfId="132" applyNumberFormat="1" applyFont="1" applyFill="1" applyBorder="1" applyAlignment="1">
      <alignment horizontal="center"/>
    </xf>
    <xf numFmtId="3" fontId="95" fillId="0" borderId="0" xfId="132" applyNumberFormat="1" applyFont="1" applyBorder="1" applyAlignment="1">
      <alignment horizontal="right"/>
    </xf>
    <xf numFmtId="3" fontId="96" fillId="0" borderId="0" xfId="132" applyNumberFormat="1" applyFont="1" applyBorder="1" applyAlignment="1">
      <alignment horizontal="right"/>
    </xf>
    <xf numFmtId="3" fontId="26" fillId="0" borderId="0" xfId="132" applyNumberFormat="1" applyFont="1" applyFill="1" applyAlignment="1">
      <alignment horizontal="right"/>
    </xf>
    <xf numFmtId="166" fontId="26" fillId="0" borderId="0" xfId="132" applyNumberFormat="1" applyFont="1" applyAlignment="1"/>
    <xf numFmtId="185" fontId="26" fillId="0" borderId="0" xfId="134" applyNumberFormat="1" applyFont="1" applyFill="1" applyAlignment="1">
      <alignment horizontal="right"/>
    </xf>
    <xf numFmtId="0" fontId="19" fillId="0" borderId="0" xfId="132" applyFill="1"/>
    <xf numFmtId="0" fontId="19" fillId="0" borderId="0" xfId="132" applyFill="1" applyBorder="1"/>
    <xf numFmtId="0" fontId="89" fillId="0" borderId="0" xfId="132" applyFont="1" applyAlignment="1"/>
    <xf numFmtId="174" fontId="72" fillId="0" borderId="0" xfId="0" applyFont="1" applyAlignment="1">
      <alignment horizontal="center" vertical="center"/>
    </xf>
    <xf numFmtId="0" fontId="26" fillId="23" borderId="0" xfId="132" applyFont="1" applyFill="1"/>
    <xf numFmtId="43" fontId="26" fillId="0" borderId="0" xfId="59" applyFont="1" applyFill="1" applyAlignment="1">
      <alignment horizontal="right"/>
    </xf>
    <xf numFmtId="43" fontId="26" fillId="0" borderId="28" xfId="59" applyFont="1" applyFill="1" applyBorder="1" applyAlignment="1">
      <alignment horizontal="right"/>
    </xf>
    <xf numFmtId="10" fontId="59" fillId="0" borderId="0" xfId="85" applyNumberFormat="1" applyFont="1" applyFill="1"/>
    <xf numFmtId="0" fontId="26" fillId="0" borderId="0" xfId="132" applyNumberFormat="1" applyFont="1" applyBorder="1" applyAlignment="1">
      <alignment horizontal="center"/>
    </xf>
    <xf numFmtId="174" fontId="70" fillId="25" borderId="0" xfId="0" applyFont="1" applyFill="1" applyAlignment="1">
      <alignment horizontal="center" vertical="center"/>
    </xf>
    <xf numFmtId="174" fontId="70" fillId="25" borderId="0" xfId="0" applyFont="1" applyFill="1" applyAlignment="1">
      <alignment vertical="center"/>
    </xf>
    <xf numFmtId="174" fontId="72" fillId="25" borderId="0" xfId="0" applyFont="1" applyFill="1" applyAlignment="1">
      <alignment horizontal="center" vertical="center"/>
    </xf>
    <xf numFmtId="174" fontId="73" fillId="25" borderId="0" xfId="0" applyFont="1" applyFill="1" applyAlignment="1">
      <alignment horizontal="center" vertical="center"/>
    </xf>
    <xf numFmtId="174" fontId="71" fillId="25" borderId="0" xfId="0" applyFont="1" applyFill="1" applyAlignment="1">
      <alignment horizontal="right" vertical="center"/>
    </xf>
    <xf numFmtId="174" fontId="71" fillId="25" borderId="0" xfId="0" applyFont="1" applyFill="1" applyAlignment="1">
      <alignment horizontal="center" vertical="center"/>
    </xf>
    <xf numFmtId="49" fontId="70" fillId="25" borderId="0" xfId="0" applyNumberFormat="1" applyFont="1" applyFill="1" applyAlignment="1">
      <alignment vertical="center"/>
    </xf>
    <xf numFmtId="0" fontId="70" fillId="25" borderId="0" xfId="0" applyNumberFormat="1" applyFont="1" applyFill="1" applyAlignment="1">
      <alignment vertical="center"/>
    </xf>
    <xf numFmtId="0" fontId="73" fillId="25" borderId="0" xfId="0" applyNumberFormat="1" applyFont="1" applyFill="1" applyAlignment="1">
      <alignment horizontal="center" vertical="center"/>
    </xf>
    <xf numFmtId="174" fontId="72" fillId="25" borderId="0" xfId="0" applyFont="1" applyFill="1" applyAlignment="1">
      <alignment vertical="center"/>
    </xf>
    <xf numFmtId="174" fontId="73" fillId="25" borderId="0" xfId="0" applyFont="1" applyFill="1" applyAlignment="1">
      <alignment horizontal="right" vertical="center"/>
    </xf>
    <xf numFmtId="178" fontId="73" fillId="25" borderId="0" xfId="59" applyNumberFormat="1" applyFont="1" applyFill="1" applyAlignment="1">
      <alignment horizontal="center" vertical="center"/>
    </xf>
    <xf numFmtId="0" fontId="71" fillId="0" borderId="0" xfId="0" applyNumberFormat="1" applyFont="1" applyFill="1" applyAlignment="1">
      <alignment horizontal="center" vertical="center"/>
    </xf>
    <xf numFmtId="0" fontId="73" fillId="0" borderId="0" xfId="0" applyNumberFormat="1" applyFont="1" applyFill="1" applyAlignment="1">
      <alignment horizontal="center" vertical="center"/>
    </xf>
    <xf numFmtId="0" fontId="19" fillId="0" borderId="0" xfId="80" applyNumberFormat="1" applyFont="1" applyFill="1" applyBorder="1" applyAlignment="1"/>
    <xf numFmtId="0" fontId="97" fillId="0" borderId="0" xfId="80" applyFont="1" applyBorder="1" applyAlignment="1">
      <alignment horizontal="left"/>
    </xf>
    <xf numFmtId="0" fontId="19" fillId="0" borderId="0" xfId="80" applyFont="1" applyBorder="1" applyAlignment="1"/>
    <xf numFmtId="0" fontId="19" fillId="0" borderId="0" xfId="80" applyFont="1" applyBorder="1" applyAlignment="1">
      <alignment horizontal="center"/>
    </xf>
    <xf numFmtId="0" fontId="19" fillId="0" borderId="0" xfId="80" applyFont="1" applyBorder="1"/>
    <xf numFmtId="0" fontId="97" fillId="0" borderId="0" xfId="80" applyFont="1" applyFill="1" applyBorder="1"/>
    <xf numFmtId="3" fontId="26" fillId="0" borderId="0" xfId="80" applyNumberFormat="1" applyFont="1" applyFill="1" applyBorder="1" applyAlignment="1"/>
    <xf numFmtId="174" fontId="19" fillId="0" borderId="0" xfId="0" applyFont="1" applyBorder="1" applyAlignment="1"/>
    <xf numFmtId="174" fontId="47" fillId="0" borderId="0" xfId="0" applyFont="1" applyBorder="1" applyAlignment="1"/>
    <xf numFmtId="43" fontId="19" fillId="0" borderId="0" xfId="59" applyFont="1" applyFill="1" applyBorder="1" applyAlignment="1"/>
    <xf numFmtId="174" fontId="19" fillId="0" borderId="0" xfId="0" applyFont="1" applyFill="1" applyBorder="1" applyAlignment="1"/>
    <xf numFmtId="178" fontId="19" fillId="0" borderId="0" xfId="59" applyNumberFormat="1" applyFont="1" applyFill="1" applyBorder="1" applyAlignment="1"/>
    <xf numFmtId="186" fontId="19" fillId="0" borderId="0" xfId="0" applyNumberFormat="1" applyFont="1" applyFill="1" applyBorder="1" applyAlignment="1">
      <alignment horizontal="right"/>
    </xf>
    <xf numFmtId="43" fontId="98" fillId="0" borderId="0" xfId="59" applyFont="1" applyFill="1" applyBorder="1" applyAlignment="1">
      <alignment horizontal="right"/>
    </xf>
    <xf numFmtId="187" fontId="26" fillId="0" borderId="0" xfId="59" applyNumberFormat="1" applyFont="1" applyFill="1" applyAlignment="1">
      <alignment horizontal="right"/>
    </xf>
    <xf numFmtId="174" fontId="70" fillId="0" borderId="0" xfId="0" applyFont="1" applyAlignment="1"/>
    <xf numFmtId="174" fontId="71" fillId="0" borderId="0" xfId="0" applyFont="1" applyAlignment="1">
      <alignment horizontal="center" vertical="top"/>
    </xf>
    <xf numFmtId="0" fontId="18" fillId="0" borderId="0" xfId="132" applyFont="1" applyAlignment="1">
      <alignment horizontal="center"/>
    </xf>
    <xf numFmtId="0" fontId="93" fillId="0" borderId="0" xfId="132" applyNumberFormat="1" applyFont="1" applyFill="1" applyAlignment="1">
      <alignment horizontal="left"/>
    </xf>
    <xf numFmtId="0" fontId="93" fillId="0" borderId="0" xfId="132" applyFont="1" applyFill="1" applyAlignment="1">
      <alignment horizontal="left"/>
    </xf>
    <xf numFmtId="0" fontId="93" fillId="0" borderId="0" xfId="132" applyFont="1" applyFill="1" applyAlignment="1"/>
    <xf numFmtId="0" fontId="94" fillId="0" borderId="0" xfId="132" applyNumberFormat="1" applyFont="1" applyFill="1" applyAlignment="1">
      <alignment horizontal="left"/>
    </xf>
    <xf numFmtId="0" fontId="94" fillId="0" borderId="0" xfId="132" applyNumberFormat="1" applyFont="1" applyFill="1" applyAlignment="1">
      <alignment horizontal="center"/>
    </xf>
    <xf numFmtId="0" fontId="26" fillId="0" borderId="0" xfId="132" applyFont="1" applyFill="1" applyBorder="1" applyAlignment="1">
      <alignment horizontal="center" wrapText="1"/>
    </xf>
    <xf numFmtId="0" fontId="19" fillId="26" borderId="0" xfId="81" applyFont="1" applyFill="1" applyBorder="1"/>
    <xf numFmtId="1" fontId="19" fillId="26" borderId="0" xfId="81" applyNumberFormat="1" applyFont="1" applyFill="1" applyBorder="1" applyAlignment="1">
      <alignment horizontal="center"/>
    </xf>
    <xf numFmtId="178" fontId="26" fillId="26" borderId="0" xfId="61" applyNumberFormat="1" applyFont="1" applyFill="1" applyBorder="1" applyAlignment="1"/>
    <xf numFmtId="43" fontId="59" fillId="26" borderId="0" xfId="59" applyFont="1" applyFill="1" applyBorder="1" applyAlignment="1"/>
    <xf numFmtId="49" fontId="19" fillId="26" borderId="0" xfId="81" applyNumberFormat="1" applyFont="1" applyFill="1" applyBorder="1" applyAlignment="1">
      <alignment horizontal="left"/>
    </xf>
    <xf numFmtId="0" fontId="19" fillId="26" borderId="0" xfId="81" applyFont="1" applyFill="1" applyBorder="1" applyAlignment="1"/>
    <xf numFmtId="0" fontId="19" fillId="26" borderId="0" xfId="81" applyFont="1" applyFill="1" applyBorder="1" applyAlignment="1">
      <alignment wrapText="1"/>
    </xf>
    <xf numFmtId="0" fontId="43" fillId="26" borderId="0" xfId="81" applyNumberFormat="1" applyFont="1" applyFill="1" applyBorder="1" applyAlignment="1">
      <alignment horizontal="left"/>
    </xf>
    <xf numFmtId="174" fontId="59" fillId="26" borderId="0" xfId="0" applyFont="1" applyFill="1" applyBorder="1" applyAlignment="1"/>
    <xf numFmtId="0" fontId="19" fillId="26" borderId="0" xfId="135" applyNumberFormat="1" applyFont="1" applyFill="1" applyBorder="1" applyAlignment="1" applyProtection="1">
      <alignment horizontal="center"/>
      <protection locked="0"/>
    </xf>
    <xf numFmtId="0" fontId="97" fillId="26" borderId="0" xfId="81" applyFont="1" applyFill="1" applyBorder="1" applyAlignment="1">
      <alignment horizontal="left"/>
    </xf>
    <xf numFmtId="0" fontId="19" fillId="26" borderId="0" xfId="81" applyFont="1" applyFill="1" applyBorder="1" applyAlignment="1">
      <alignment horizontal="center" wrapText="1"/>
    </xf>
    <xf numFmtId="0" fontId="19" fillId="26" borderId="0" xfId="81" applyFont="1" applyFill="1" applyBorder="1" applyAlignment="1">
      <alignment horizontal="center"/>
    </xf>
    <xf numFmtId="174" fontId="51" fillId="26" borderId="0" xfId="0" applyFont="1" applyFill="1" applyBorder="1" applyAlignment="1">
      <alignment horizontal="center" wrapText="1"/>
    </xf>
    <xf numFmtId="174" fontId="51" fillId="26" borderId="0" xfId="0" applyFont="1" applyFill="1" applyBorder="1" applyAlignment="1">
      <alignment horizontal="center"/>
    </xf>
    <xf numFmtId="3" fontId="26" fillId="26" borderId="0" xfId="135" applyNumberFormat="1" applyFont="1" applyFill="1" applyBorder="1" applyAlignment="1">
      <alignment horizontal="right"/>
    </xf>
    <xf numFmtId="3" fontId="26" fillId="26" borderId="0" xfId="135" applyNumberFormat="1" applyFont="1" applyFill="1" applyBorder="1" applyAlignment="1"/>
    <xf numFmtId="174" fontId="72" fillId="0" borderId="0" xfId="0" applyFont="1" applyFill="1" applyAlignment="1">
      <alignment horizontal="center" vertical="center" wrapText="1"/>
    </xf>
    <xf numFmtId="174" fontId="71" fillId="0" borderId="0" xfId="0" applyFont="1" applyFill="1" applyAlignment="1">
      <alignment horizontal="center" vertical="center"/>
    </xf>
    <xf numFmtId="164" fontId="26" fillId="0" borderId="0" xfId="132" applyNumberFormat="1" applyFont="1" applyFill="1" applyAlignment="1">
      <alignment horizontal="center"/>
    </xf>
    <xf numFmtId="166" fontId="26" fillId="0" borderId="0" xfId="132" applyNumberFormat="1" applyFont="1" applyFill="1" applyAlignment="1">
      <alignment horizontal="center"/>
    </xf>
    <xf numFmtId="43" fontId="26" fillId="0" borderId="0" xfId="132" applyNumberFormat="1" applyFont="1" applyFill="1" applyAlignment="1">
      <alignment horizontal="right"/>
    </xf>
    <xf numFmtId="164" fontId="26" fillId="0" borderId="0" xfId="0" applyNumberFormat="1" applyFont="1" applyAlignment="1">
      <alignment horizontal="left"/>
    </xf>
    <xf numFmtId="174" fontId="26" fillId="0" borderId="0" xfId="0" applyFont="1" applyAlignment="1"/>
    <xf numFmtId="0" fontId="26" fillId="0" borderId="0" xfId="0" applyNumberFormat="1" applyFont="1" applyAlignment="1"/>
    <xf numFmtId="0" fontId="26" fillId="0" borderId="0" xfId="0" applyNumberFormat="1" applyFont="1" applyFill="1" applyAlignment="1"/>
    <xf numFmtId="164" fontId="26" fillId="0" borderId="0" xfId="0" applyNumberFormat="1" applyFont="1" applyFill="1" applyAlignment="1">
      <alignment horizontal="left"/>
    </xf>
    <xf numFmtId="174" fontId="26" fillId="0" borderId="0" xfId="0" applyFont="1" applyFill="1" applyAlignment="1"/>
    <xf numFmtId="0" fontId="19" fillId="0" borderId="0" xfId="132" applyFont="1"/>
    <xf numFmtId="0" fontId="43" fillId="0" borderId="0" xfId="132" applyFont="1" applyAlignment="1">
      <alignment horizontal="center"/>
    </xf>
    <xf numFmtId="0" fontId="99" fillId="0" borderId="0" xfId="132" applyFont="1" applyAlignment="1"/>
    <xf numFmtId="0" fontId="19" fillId="0" borderId="0" xfId="132" applyFont="1" applyFill="1" applyAlignment="1">
      <alignment horizontal="centerContinuous"/>
    </xf>
    <xf numFmtId="0" fontId="43" fillId="0" borderId="0" xfId="132" applyFont="1" applyFill="1"/>
    <xf numFmtId="0" fontId="43" fillId="0" borderId="0" xfId="132" applyFont="1"/>
    <xf numFmtId="0" fontId="43" fillId="0" borderId="0" xfId="132" applyFont="1" applyBorder="1" applyAlignment="1">
      <alignment horizontal="center"/>
    </xf>
    <xf numFmtId="0" fontId="19" fillId="0" borderId="0" xfId="132" applyFont="1" applyFill="1"/>
    <xf numFmtId="0" fontId="43" fillId="0" borderId="0" xfId="132" applyFont="1" applyFill="1" applyAlignment="1">
      <alignment horizontal="center"/>
    </xf>
    <xf numFmtId="0" fontId="43" fillId="0" borderId="0" xfId="132" applyFont="1" applyFill="1" applyBorder="1" applyAlignment="1">
      <alignment horizontal="center" wrapText="1"/>
    </xf>
    <xf numFmtId="178" fontId="19" fillId="0" borderId="0" xfId="59" applyNumberFormat="1" applyFont="1" applyBorder="1"/>
    <xf numFmtId="178" fontId="19" fillId="0" borderId="0" xfId="59" applyNumberFormat="1" applyFont="1"/>
    <xf numFmtId="178" fontId="19" fillId="0" borderId="0" xfId="132" applyNumberFormat="1" applyFont="1" applyBorder="1"/>
    <xf numFmtId="178" fontId="19" fillId="0" borderId="11" xfId="59" applyNumberFormat="1" applyFont="1" applyBorder="1"/>
    <xf numFmtId="178" fontId="19" fillId="0" borderId="0" xfId="59" applyNumberFormat="1" applyFont="1" applyFill="1" applyBorder="1"/>
    <xf numFmtId="0" fontId="19" fillId="0" borderId="0" xfId="132" applyFont="1" applyFill="1" applyBorder="1" applyAlignment="1">
      <alignment horizontal="center"/>
    </xf>
    <xf numFmtId="0" fontId="19" fillId="0" borderId="0" xfId="132" applyFont="1" applyFill="1" applyBorder="1"/>
    <xf numFmtId="0" fontId="19" fillId="0" borderId="0" xfId="132" applyFont="1" applyFill="1" applyAlignment="1">
      <alignment horizontal="left"/>
    </xf>
    <xf numFmtId="0" fontId="43" fillId="0" borderId="0" xfId="132" applyFont="1" applyFill="1" applyAlignment="1">
      <alignment horizontal="left"/>
    </xf>
    <xf numFmtId="0" fontId="21" fillId="0" borderId="0" xfId="132" applyFont="1" applyAlignment="1">
      <alignment horizontal="center"/>
    </xf>
    <xf numFmtId="0" fontId="43" fillId="0" borderId="0" xfId="132" applyFont="1" applyFill="1" applyBorder="1" applyAlignment="1">
      <alignment horizontal="center"/>
    </xf>
    <xf numFmtId="0" fontId="43" fillId="27" borderId="0" xfId="132" applyFont="1" applyFill="1" applyAlignment="1">
      <alignment horizontal="center"/>
    </xf>
    <xf numFmtId="0" fontId="69" fillId="0" borderId="0" xfId="132" applyFont="1"/>
    <xf numFmtId="178" fontId="100" fillId="0" borderId="0" xfId="59" applyNumberFormat="1" applyFont="1" applyBorder="1"/>
    <xf numFmtId="178" fontId="19" fillId="0" borderId="0" xfId="59" applyNumberFormat="1" applyFont="1" applyFill="1"/>
    <xf numFmtId="0" fontId="101" fillId="0" borderId="0" xfId="132" applyFont="1" applyFill="1"/>
    <xf numFmtId="178" fontId="100" fillId="0" borderId="0" xfId="59" applyNumberFormat="1" applyFont="1" applyFill="1" applyBorder="1"/>
    <xf numFmtId="178" fontId="19" fillId="0" borderId="0" xfId="59" applyNumberFormat="1" applyFont="1" applyFill="1" applyAlignment="1">
      <alignment horizontal="center"/>
    </xf>
    <xf numFmtId="178" fontId="19" fillId="0" borderId="0" xfId="59" applyNumberFormat="1" applyFont="1" applyFill="1" applyBorder="1" applyAlignment="1">
      <alignment horizontal="center"/>
    </xf>
    <xf numFmtId="178" fontId="19" fillId="0" borderId="0" xfId="132" applyNumberFormat="1" applyFont="1" applyFill="1"/>
    <xf numFmtId="178" fontId="19" fillId="0" borderId="0" xfId="132" applyNumberFormat="1" applyFont="1"/>
    <xf numFmtId="178" fontId="102" fillId="0" borderId="0" xfId="59" applyNumberFormat="1" applyFont="1" applyFill="1" applyBorder="1"/>
    <xf numFmtId="178" fontId="103" fillId="0" borderId="0" xfId="59" applyNumberFormat="1" applyFont="1" applyFill="1" applyBorder="1"/>
    <xf numFmtId="178" fontId="100" fillId="0" borderId="0" xfId="59" applyNumberFormat="1" applyFont="1" applyFill="1" applyBorder="1" applyAlignment="1">
      <alignment horizontal="left"/>
    </xf>
    <xf numFmtId="178" fontId="103" fillId="0" borderId="0" xfId="59" applyNumberFormat="1" applyFont="1" applyFill="1" applyBorder="1" applyAlignment="1">
      <alignment horizontal="left"/>
    </xf>
    <xf numFmtId="178" fontId="19" fillId="0" borderId="0" xfId="59" applyNumberFormat="1" applyFont="1" applyAlignment="1">
      <alignment wrapText="1"/>
    </xf>
    <xf numFmtId="0" fontId="21" fillId="0" borderId="0" xfId="132" applyFont="1" applyFill="1" applyAlignment="1">
      <alignment horizontal="left"/>
    </xf>
    <xf numFmtId="178" fontId="43" fillId="0" borderId="0" xfId="59" applyNumberFormat="1" applyFont="1"/>
    <xf numFmtId="178" fontId="104" fillId="0" borderId="0" xfId="59" applyNumberFormat="1" applyFont="1"/>
    <xf numFmtId="178" fontId="43" fillId="0" borderId="0" xfId="59" applyNumberFormat="1" applyFont="1" applyFill="1" applyAlignment="1">
      <alignment horizontal="center"/>
    </xf>
    <xf numFmtId="178" fontId="69" fillId="0" borderId="0" xfId="59" applyNumberFormat="1" applyFont="1"/>
    <xf numFmtId="43" fontId="19" fillId="0" borderId="0" xfId="132" applyNumberFormat="1" applyFont="1"/>
    <xf numFmtId="0" fontId="98" fillId="0" borderId="0" xfId="132" applyFont="1"/>
    <xf numFmtId="178" fontId="102" fillId="0" borderId="0" xfId="59" applyNumberFormat="1" applyFont="1" applyFill="1" applyBorder="1" applyAlignment="1">
      <alignment horizontal="left"/>
    </xf>
    <xf numFmtId="0" fontId="43" fillId="0" borderId="0" xfId="132" applyFont="1" applyAlignment="1">
      <alignment horizontal="left"/>
    </xf>
    <xf numFmtId="178" fontId="43" fillId="0" borderId="0" xfId="59" applyNumberFormat="1" applyFont="1" applyFill="1" applyBorder="1"/>
    <xf numFmtId="37" fontId="19" fillId="0" borderId="0" xfId="132" applyNumberFormat="1" applyFont="1" applyFill="1"/>
    <xf numFmtId="0" fontId="43" fillId="0" borderId="0" xfId="132" applyNumberFormat="1" applyFont="1" applyFill="1" applyAlignment="1"/>
    <xf numFmtId="43" fontId="26" fillId="0" borderId="0" xfId="132" applyNumberFormat="1" applyFont="1"/>
    <xf numFmtId="174" fontId="70" fillId="0" borderId="0" xfId="0" applyFont="1" applyAlignment="1">
      <alignment horizontal="left" vertical="center"/>
    </xf>
    <xf numFmtId="0" fontId="43" fillId="0" borderId="0" xfId="132" applyFont="1" applyAlignment="1">
      <alignment horizontal="center"/>
    </xf>
    <xf numFmtId="174" fontId="72" fillId="0" borderId="0" xfId="0" applyFont="1" applyAlignment="1">
      <alignment horizontal="center" vertical="center"/>
    </xf>
    <xf numFmtId="174" fontId="72" fillId="0" borderId="0" xfId="0" applyFont="1" applyAlignment="1">
      <alignment horizontal="center" vertical="center"/>
    </xf>
    <xf numFmtId="3" fontId="48" fillId="0" borderId="0" xfId="0" applyNumberFormat="1" applyFont="1" applyFill="1" applyBorder="1" applyAlignment="1" applyProtection="1">
      <protection locked="0"/>
    </xf>
    <xf numFmtId="0" fontId="48" fillId="0" borderId="0" xfId="0" applyNumberFormat="1" applyFont="1" applyFill="1" applyBorder="1" applyAlignment="1" applyProtection="1">
      <protection locked="0"/>
    </xf>
    <xf numFmtId="17" fontId="49" fillId="0" borderId="14" xfId="0" applyNumberFormat="1" applyFont="1" applyFill="1" applyBorder="1" applyAlignment="1">
      <alignment horizontal="center" wrapText="1"/>
    </xf>
    <xf numFmtId="17" fontId="49" fillId="22" borderId="14" xfId="0" applyNumberFormat="1" applyFont="1" applyFill="1" applyBorder="1" applyAlignment="1">
      <alignment horizontal="center" wrapText="1"/>
    </xf>
    <xf numFmtId="0" fontId="48" fillId="22" borderId="0" xfId="0" applyNumberFormat="1" applyFont="1" applyFill="1" applyBorder="1"/>
    <xf numFmtId="175" fontId="48" fillId="22" borderId="0" xfId="63" applyNumberFormat="1" applyFont="1" applyFill="1" applyBorder="1" applyAlignment="1"/>
    <xf numFmtId="0" fontId="48" fillId="22" borderId="14" xfId="0" applyNumberFormat="1" applyFont="1" applyFill="1" applyBorder="1" applyAlignment="1">
      <alignment horizontal="center"/>
    </xf>
    <xf numFmtId="174" fontId="0" fillId="22" borderId="14" xfId="0" applyFill="1" applyBorder="1" applyAlignment="1"/>
    <xf numFmtId="17" fontId="49" fillId="0" borderId="0" xfId="0" applyNumberFormat="1" applyFont="1" applyFill="1" applyBorder="1" applyAlignment="1">
      <alignment horizontal="center" wrapText="1"/>
    </xf>
    <xf numFmtId="174" fontId="0" fillId="0" borderId="0" xfId="0" applyBorder="1" applyAlignment="1"/>
    <xf numFmtId="0" fontId="49" fillId="0" borderId="23" xfId="0" applyNumberFormat="1" applyFont="1" applyFill="1" applyBorder="1" applyAlignment="1">
      <alignment horizontal="center" wrapText="1"/>
    </xf>
    <xf numFmtId="174" fontId="0" fillId="22" borderId="0" xfId="0" applyFill="1" applyBorder="1" applyAlignment="1"/>
    <xf numFmtId="174" fontId="0" fillId="0" borderId="21" xfId="0" applyBorder="1" applyAlignment="1"/>
    <xf numFmtId="174" fontId="0" fillId="0" borderId="16" xfId="0" applyBorder="1" applyAlignment="1"/>
    <xf numFmtId="174" fontId="0" fillId="0" borderId="17" xfId="0" applyBorder="1" applyAlignment="1"/>
    <xf numFmtId="174" fontId="0" fillId="0" borderId="11" xfId="0" applyBorder="1" applyAlignment="1"/>
    <xf numFmtId="174" fontId="0" fillId="0" borderId="22" xfId="0" applyBorder="1" applyAlignment="1"/>
    <xf numFmtId="182" fontId="19" fillId="0" borderId="0" xfId="85" applyNumberFormat="1" applyFont="1" applyFill="1"/>
    <xf numFmtId="174" fontId="70" fillId="0" borderId="0" xfId="0" applyFont="1" applyAlignment="1">
      <alignment horizontal="center" vertical="center"/>
    </xf>
    <xf numFmtId="10" fontId="19" fillId="0" borderId="0" xfId="85" applyNumberFormat="1" applyFont="1"/>
    <xf numFmtId="43" fontId="19" fillId="0" borderId="0" xfId="132" applyNumberFormat="1" applyFont="1" applyFill="1"/>
    <xf numFmtId="43" fontId="108" fillId="0" borderId="0" xfId="132" applyNumberFormat="1" applyFont="1"/>
    <xf numFmtId="178" fontId="108" fillId="0" borderId="0" xfId="132" applyNumberFormat="1" applyFont="1" applyBorder="1"/>
    <xf numFmtId="43" fontId="108" fillId="0" borderId="0" xfId="132" applyNumberFormat="1" applyFont="1" applyFill="1"/>
    <xf numFmtId="0" fontId="19" fillId="0" borderId="0" xfId="132" applyFont="1" applyFill="1" applyAlignment="1">
      <alignment horizontal="center" vertical="center"/>
    </xf>
    <xf numFmtId="0" fontId="19" fillId="0" borderId="0" xfId="132" applyFont="1" applyAlignment="1">
      <alignment horizontal="center"/>
    </xf>
    <xf numFmtId="0" fontId="43" fillId="28" borderId="0" xfId="132" applyFont="1" applyFill="1" applyAlignment="1">
      <alignment horizontal="center"/>
    </xf>
    <xf numFmtId="0" fontId="19" fillId="28" borderId="0" xfId="132" applyFont="1" applyFill="1" applyBorder="1" applyAlignment="1">
      <alignment horizontal="center" wrapText="1"/>
    </xf>
    <xf numFmtId="0" fontId="19" fillId="28" borderId="0" xfId="132" applyFont="1" applyFill="1"/>
    <xf numFmtId="43" fontId="19" fillId="28" borderId="0" xfId="132" applyNumberFormat="1" applyFont="1" applyFill="1"/>
    <xf numFmtId="43" fontId="108" fillId="28" borderId="0" xfId="132" applyNumberFormat="1" applyFont="1" applyFill="1"/>
    <xf numFmtId="0" fontId="19" fillId="0" borderId="0" xfId="132" applyNumberFormat="1" applyFont="1" applyFill="1" applyAlignment="1"/>
    <xf numFmtId="174" fontId="85" fillId="0" borderId="0" xfId="0" applyFont="1" applyAlignment="1">
      <alignment horizontal="center" vertical="center" wrapText="1"/>
    </xf>
    <xf numFmtId="0" fontId="109" fillId="0" borderId="0" xfId="137"/>
    <xf numFmtId="0" fontId="18" fillId="0" borderId="0" xfId="137" applyFont="1"/>
    <xf numFmtId="0" fontId="21" fillId="0" borderId="0" xfId="137" applyFont="1"/>
    <xf numFmtId="0" fontId="21" fillId="0" borderId="0" xfId="137" applyFont="1" applyAlignment="1">
      <alignment horizontal="left"/>
    </xf>
    <xf numFmtId="0" fontId="109" fillId="0" borderId="15" xfId="137" applyBorder="1"/>
    <xf numFmtId="0" fontId="21" fillId="0" borderId="32" xfId="137" applyFont="1" applyBorder="1" applyAlignment="1">
      <alignment horizontal="left"/>
    </xf>
    <xf numFmtId="0" fontId="42" fillId="0" borderId="32" xfId="137" applyFont="1" applyBorder="1" applyAlignment="1">
      <alignment horizontal="left"/>
    </xf>
    <xf numFmtId="0" fontId="42" fillId="0" borderId="20" xfId="137" applyFont="1" applyBorder="1" applyAlignment="1">
      <alignment horizontal="left"/>
    </xf>
    <xf numFmtId="0" fontId="42" fillId="0" borderId="0" xfId="137" applyFont="1" applyBorder="1" applyAlignment="1">
      <alignment horizontal="left"/>
    </xf>
    <xf numFmtId="0" fontId="27" fillId="0" borderId="0" xfId="137" applyFont="1"/>
    <xf numFmtId="0" fontId="109" fillId="0" borderId="16" xfId="137" applyBorder="1"/>
    <xf numFmtId="0" fontId="109" fillId="0" borderId="0" xfId="137" applyBorder="1"/>
    <xf numFmtId="0" fontId="110" fillId="0" borderId="0" xfId="137" applyFont="1" applyFill="1" applyBorder="1" applyAlignment="1">
      <alignment horizontal="left"/>
    </xf>
    <xf numFmtId="0" fontId="42" fillId="0" borderId="0" xfId="137" applyFont="1" applyFill="1" applyBorder="1" applyAlignment="1">
      <alignment horizontal="left"/>
    </xf>
    <xf numFmtId="0" fontId="42" fillId="0" borderId="21" xfId="137" applyFont="1" applyBorder="1" applyAlignment="1">
      <alignment horizontal="left"/>
    </xf>
    <xf numFmtId="0" fontId="22" fillId="0" borderId="29" xfId="137" applyFont="1" applyBorder="1"/>
    <xf numFmtId="14" fontId="22" fillId="0" borderId="31" xfId="137" applyNumberFormat="1" applyFont="1" applyBorder="1"/>
    <xf numFmtId="0" fontId="27" fillId="0" borderId="0" xfId="137" applyFont="1" applyFill="1" applyBorder="1" applyAlignment="1">
      <alignment horizontal="left"/>
    </xf>
    <xf numFmtId="0" fontId="88" fillId="0" borderId="0" xfId="137" applyFont="1" applyBorder="1" applyAlignment="1">
      <alignment horizontal="left"/>
    </xf>
    <xf numFmtId="0" fontId="27" fillId="0" borderId="0" xfId="137" applyFont="1" applyBorder="1"/>
    <xf numFmtId="0" fontId="43" fillId="0" borderId="16" xfId="137" applyFont="1" applyBorder="1" applyAlignment="1">
      <alignment horizontal="center"/>
    </xf>
    <xf numFmtId="0" fontId="21" fillId="0" borderId="0" xfId="137" applyFont="1" applyBorder="1" applyAlignment="1">
      <alignment horizontal="center"/>
    </xf>
    <xf numFmtId="0" fontId="42" fillId="0" borderId="0" xfId="137" applyFont="1" applyFill="1" applyBorder="1" applyAlignment="1">
      <alignment horizontal="center"/>
    </xf>
    <xf numFmtId="0" fontId="42" fillId="0" borderId="0" xfId="137" applyFont="1" applyBorder="1" applyAlignment="1">
      <alignment horizontal="center"/>
    </xf>
    <xf numFmtId="0" fontId="42" fillId="0" borderId="0" xfId="137" quotePrefix="1" applyFont="1" applyFill="1" applyBorder="1" applyAlignment="1">
      <alignment horizontal="center"/>
    </xf>
    <xf numFmtId="0" fontId="42" fillId="0" borderId="21" xfId="137" applyFont="1" applyBorder="1" applyAlignment="1">
      <alignment horizontal="center"/>
    </xf>
    <xf numFmtId="0" fontId="43" fillId="0" borderId="0" xfId="137" applyFont="1" applyAlignment="1">
      <alignment horizontal="center"/>
    </xf>
    <xf numFmtId="0" fontId="42" fillId="0" borderId="0" xfId="137" applyFont="1" applyAlignment="1">
      <alignment horizontal="center"/>
    </xf>
    <xf numFmtId="0" fontId="109" fillId="0" borderId="0" xfId="137" applyBorder="1" applyAlignment="1">
      <alignment horizontal="center"/>
    </xf>
    <xf numFmtId="0" fontId="27" fillId="0" borderId="0" xfId="137" applyFont="1" applyFill="1" applyBorder="1"/>
    <xf numFmtId="0" fontId="47" fillId="0" borderId="0" xfId="137" applyFont="1" applyBorder="1" applyAlignment="1">
      <alignment horizontal="center"/>
    </xf>
    <xf numFmtId="0" fontId="111" fillId="0" borderId="0" xfId="137" applyFont="1" applyFill="1" applyBorder="1"/>
    <xf numFmtId="0" fontId="27" fillId="0" borderId="21" xfId="137" applyFont="1" applyBorder="1"/>
    <xf numFmtId="175" fontId="27" fillId="0" borderId="0" xfId="137" applyNumberFormat="1" applyFont="1" applyBorder="1"/>
    <xf numFmtId="10" fontId="112" fillId="0" borderId="0" xfId="137" applyNumberFormat="1" applyFont="1" applyBorder="1" applyAlignment="1">
      <alignment horizontal="left"/>
    </xf>
    <xf numFmtId="0" fontId="47" fillId="0" borderId="0" xfId="137" applyFont="1" applyFill="1" applyBorder="1" applyAlignment="1">
      <alignment horizontal="center"/>
    </xf>
    <xf numFmtId="0" fontId="47" fillId="0" borderId="0" xfId="137" applyFont="1" applyBorder="1"/>
    <xf numFmtId="0" fontId="47" fillId="0" borderId="21" xfId="137" applyFont="1" applyBorder="1"/>
    <xf numFmtId="175" fontId="47" fillId="0" borderId="0" xfId="137" applyNumberFormat="1" applyFont="1" applyBorder="1"/>
    <xf numFmtId="0" fontId="47" fillId="0" borderId="0" xfId="137" applyFont="1"/>
    <xf numFmtId="10" fontId="113" fillId="0" borderId="0" xfId="137" applyNumberFormat="1" applyFont="1" applyBorder="1" applyAlignment="1">
      <alignment horizontal="left"/>
    </xf>
    <xf numFmtId="0" fontId="114" fillId="0" borderId="0" xfId="137" applyFont="1" applyBorder="1" applyAlignment="1">
      <alignment horizontal="center"/>
    </xf>
    <xf numFmtId="0" fontId="43" fillId="0" borderId="0" xfId="137" applyFont="1" applyBorder="1" applyAlignment="1">
      <alignment horizontal="left"/>
    </xf>
    <xf numFmtId="17" fontId="27" fillId="0" borderId="0" xfId="137" applyNumberFormat="1" applyFont="1" applyBorder="1" applyAlignment="1">
      <alignment horizontal="left"/>
    </xf>
    <xf numFmtId="41" fontId="109" fillId="0" borderId="0" xfId="137" applyNumberFormat="1" applyBorder="1"/>
    <xf numFmtId="0" fontId="22" fillId="0" borderId="0" xfId="137" applyFont="1" applyBorder="1" applyAlignment="1">
      <alignment horizontal="center"/>
    </xf>
    <xf numFmtId="0" fontId="115" fillId="0" borderId="0" xfId="137" applyFont="1" applyBorder="1"/>
    <xf numFmtId="14" fontId="22" fillId="0" borderId="0" xfId="137" applyNumberFormat="1" applyFont="1" applyFill="1" applyBorder="1" applyAlignment="1">
      <alignment horizontal="left"/>
    </xf>
    <xf numFmtId="0" fontId="116" fillId="0" borderId="0" xfId="137" applyFont="1" applyBorder="1"/>
    <xf numFmtId="6" fontId="47" fillId="0" borderId="0" xfId="137" applyNumberFormat="1" applyFont="1" applyBorder="1" applyAlignment="1">
      <alignment horizontal="center"/>
    </xf>
    <xf numFmtId="6" fontId="47" fillId="0" borderId="0" xfId="137" applyNumberFormat="1" applyFont="1" applyFill="1" applyBorder="1" applyAlignment="1">
      <alignment horizontal="center"/>
    </xf>
    <xf numFmtId="0" fontId="109" fillId="0" borderId="16" xfId="137" quotePrefix="1" applyBorder="1"/>
    <xf numFmtId="164" fontId="27" fillId="0" borderId="0" xfId="137" applyNumberFormat="1" applyFont="1" applyBorder="1" applyAlignment="1">
      <alignment horizontal="left"/>
    </xf>
    <xf numFmtId="0" fontId="117" fillId="0" borderId="0" xfId="137" applyFont="1" applyBorder="1"/>
    <xf numFmtId="14" fontId="47" fillId="0" borderId="0" xfId="137" applyNumberFormat="1" applyFont="1" applyBorder="1" applyAlignment="1">
      <alignment horizontal="center"/>
    </xf>
    <xf numFmtId="175" fontId="47" fillId="0" borderId="0" xfId="138" applyNumberFormat="1" applyFont="1" applyBorder="1" applyAlignment="1">
      <alignment horizontal="center"/>
    </xf>
    <xf numFmtId="44" fontId="47" fillId="0" borderId="0" xfId="138" applyNumberFormat="1" applyFont="1" applyFill="1" applyBorder="1" applyAlignment="1">
      <alignment horizontal="center"/>
    </xf>
    <xf numFmtId="10" fontId="109" fillId="0" borderId="0" xfId="137" applyNumberFormat="1" applyBorder="1"/>
    <xf numFmtId="10" fontId="47" fillId="0" borderId="0" xfId="137" applyNumberFormat="1" applyFont="1" applyFill="1" applyBorder="1" applyAlignment="1"/>
    <xf numFmtId="10" fontId="47" fillId="0" borderId="0" xfId="137" applyNumberFormat="1" applyFont="1" applyBorder="1"/>
    <xf numFmtId="44" fontId="47" fillId="0" borderId="0" xfId="137" applyNumberFormat="1" applyFont="1" applyBorder="1"/>
    <xf numFmtId="0" fontId="118" fillId="0" borderId="0" xfId="137" applyFont="1" applyFill="1" applyBorder="1"/>
    <xf numFmtId="178" fontId="118" fillId="0" borderId="0" xfId="139" applyNumberFormat="1" applyFont="1" applyFill="1" applyBorder="1"/>
    <xf numFmtId="14" fontId="119" fillId="0" borderId="0" xfId="137" quotePrefix="1" applyNumberFormat="1" applyFont="1" applyBorder="1" applyAlignment="1">
      <alignment horizontal="center"/>
    </xf>
    <xf numFmtId="175" fontId="118" fillId="0" borderId="0" xfId="138" applyNumberFormat="1" applyFont="1" applyFill="1" applyBorder="1"/>
    <xf numFmtId="178" fontId="118" fillId="0" borderId="0" xfId="137" applyNumberFormat="1" applyFont="1" applyFill="1" applyBorder="1"/>
    <xf numFmtId="0" fontId="118" fillId="0" borderId="0" xfId="137" applyFont="1" applyFill="1" applyBorder="1" applyAlignment="1">
      <alignment horizontal="center"/>
    </xf>
    <xf numFmtId="164" fontId="118" fillId="0" borderId="0" xfId="137" applyNumberFormat="1" applyFont="1" applyFill="1" applyBorder="1"/>
    <xf numFmtId="0" fontId="118" fillId="0" borderId="0" xfId="137" quotePrefix="1" applyFont="1" applyBorder="1" applyAlignment="1">
      <alignment horizontal="center"/>
    </xf>
    <xf numFmtId="14" fontId="118" fillId="0" borderId="0" xfId="137" quotePrefix="1" applyNumberFormat="1" applyFont="1" applyBorder="1" applyAlignment="1">
      <alignment horizontal="center"/>
    </xf>
    <xf numFmtId="175" fontId="47" fillId="0" borderId="0" xfId="138" applyNumberFormat="1" applyFont="1" applyFill="1" applyBorder="1"/>
    <xf numFmtId="164" fontId="118" fillId="0" borderId="0" xfId="139" applyNumberFormat="1" applyFont="1" applyFill="1" applyBorder="1" applyAlignment="1"/>
    <xf numFmtId="182" fontId="47" fillId="0" borderId="0" xfId="137" applyNumberFormat="1" applyFont="1" applyBorder="1"/>
    <xf numFmtId="164" fontId="116" fillId="0" borderId="0" xfId="137" applyNumberFormat="1" applyFont="1" applyBorder="1"/>
    <xf numFmtId="49" fontId="47" fillId="0" borderId="0" xfId="137" applyNumberFormat="1" applyFont="1" applyFill="1" applyBorder="1" applyAlignment="1" applyProtection="1">
      <alignment horizontal="center"/>
    </xf>
    <xf numFmtId="178" fontId="47" fillId="0" borderId="0" xfId="139" applyNumberFormat="1" applyFont="1" applyFill="1" applyBorder="1"/>
    <xf numFmtId="178" fontId="47" fillId="0" borderId="0" xfId="137" applyNumberFormat="1" applyFont="1" applyFill="1" applyBorder="1"/>
    <xf numFmtId="164" fontId="47" fillId="0" borderId="0" xfId="137" applyNumberFormat="1" applyFont="1" applyFill="1" applyBorder="1"/>
    <xf numFmtId="0" fontId="47" fillId="0" borderId="0" xfId="137" applyFont="1" applyFill="1" applyBorder="1"/>
    <xf numFmtId="164" fontId="47" fillId="0" borderId="0" xfId="139" applyNumberFormat="1" applyFont="1" applyBorder="1" applyAlignment="1"/>
    <xf numFmtId="44" fontId="47" fillId="0" borderId="0" xfId="137" applyNumberFormat="1" applyFont="1" applyFill="1" applyBorder="1"/>
    <xf numFmtId="175" fontId="47" fillId="0" borderId="0" xfId="138" applyNumberFormat="1" applyFont="1" applyFill="1" applyBorder="1" applyAlignment="1">
      <alignment horizontal="center"/>
    </xf>
    <xf numFmtId="164" fontId="47" fillId="0" borderId="0" xfId="137" applyNumberFormat="1" applyFont="1" applyFill="1" applyBorder="1" applyAlignment="1"/>
    <xf numFmtId="0" fontId="19" fillId="0" borderId="0" xfId="137" applyFont="1" applyBorder="1"/>
    <xf numFmtId="41" fontId="27" fillId="0" borderId="0" xfId="137" applyNumberFormat="1" applyFont="1" applyBorder="1"/>
    <xf numFmtId="175" fontId="47" fillId="0" borderId="11" xfId="138" applyNumberFormat="1" applyFont="1" applyFill="1" applyBorder="1"/>
    <xf numFmtId="0" fontId="47" fillId="0" borderId="11" xfId="137" applyFont="1" applyFill="1" applyBorder="1"/>
    <xf numFmtId="0" fontId="47" fillId="0" borderId="11" xfId="137" applyFont="1" applyBorder="1"/>
    <xf numFmtId="44" fontId="47" fillId="0" borderId="0" xfId="137" applyNumberFormat="1" applyFont="1" applyBorder="1" applyAlignment="1">
      <alignment horizontal="right"/>
    </xf>
    <xf numFmtId="175" fontId="47" fillId="0" borderId="0" xfId="138" applyNumberFormat="1" applyFont="1" applyBorder="1"/>
    <xf numFmtId="164" fontId="47" fillId="0" borderId="0" xfId="137" applyNumberFormat="1" applyFont="1" applyBorder="1"/>
    <xf numFmtId="44" fontId="117" fillId="0" borderId="0" xfId="137" applyNumberFormat="1" applyFont="1" applyBorder="1"/>
    <xf numFmtId="44" fontId="47" fillId="0" borderId="21" xfId="137" applyNumberFormat="1" applyFont="1" applyBorder="1"/>
    <xf numFmtId="0" fontId="47" fillId="0" borderId="34" xfId="137" applyFont="1" applyBorder="1"/>
    <xf numFmtId="41" fontId="27" fillId="0" borderId="0" xfId="137" applyNumberFormat="1" applyFont="1" applyFill="1" applyBorder="1"/>
    <xf numFmtId="164" fontId="27" fillId="0" borderId="0" xfId="137" applyNumberFormat="1" applyFont="1" applyBorder="1"/>
    <xf numFmtId="164" fontId="27" fillId="0" borderId="0" xfId="137" applyNumberFormat="1" applyFont="1" applyFill="1" applyBorder="1"/>
    <xf numFmtId="0" fontId="109" fillId="0" borderId="17" xfId="137" applyBorder="1"/>
    <xf numFmtId="164" fontId="27" fillId="0" borderId="11" xfId="137" applyNumberFormat="1" applyFont="1" applyBorder="1"/>
    <xf numFmtId="44" fontId="47" fillId="0" borderId="11" xfId="137" applyNumberFormat="1" applyFont="1" applyBorder="1"/>
    <xf numFmtId="44" fontId="47" fillId="0" borderId="22" xfId="137" applyNumberFormat="1" applyFont="1" applyBorder="1"/>
    <xf numFmtId="44" fontId="21" fillId="0" borderId="0" xfId="137" applyNumberFormat="1" applyFont="1" applyBorder="1"/>
    <xf numFmtId="0" fontId="115" fillId="0" borderId="32" xfId="137" applyFont="1" applyBorder="1"/>
    <xf numFmtId="44" fontId="47" fillId="0" borderId="32" xfId="137" applyNumberFormat="1" applyFont="1" applyBorder="1"/>
    <xf numFmtId="44" fontId="47" fillId="0" borderId="20" xfId="137" applyNumberFormat="1" applyFont="1" applyBorder="1"/>
    <xf numFmtId="0" fontId="109" fillId="0" borderId="20" xfId="137" applyBorder="1"/>
    <xf numFmtId="0" fontId="109" fillId="0" borderId="21" xfId="137" applyBorder="1"/>
    <xf numFmtId="0" fontId="43" fillId="0" borderId="0" xfId="137" applyFont="1" applyBorder="1" applyAlignment="1">
      <alignment horizontal="center"/>
    </xf>
    <xf numFmtId="0" fontId="22" fillId="0" borderId="0" xfId="137" quotePrefix="1" applyFont="1" applyBorder="1" applyAlignment="1">
      <alignment horizontal="center"/>
    </xf>
    <xf numFmtId="0" fontId="22" fillId="0" borderId="21" xfId="137" applyFont="1" applyBorder="1" applyAlignment="1">
      <alignment horizontal="center"/>
    </xf>
    <xf numFmtId="0" fontId="43" fillId="0" borderId="0" xfId="137" quotePrefix="1" applyFont="1" applyBorder="1" applyAlignment="1">
      <alignment horizontal="center"/>
    </xf>
    <xf numFmtId="0" fontId="22" fillId="0" borderId="0" xfId="137" applyFont="1" applyAlignment="1">
      <alignment horizontal="center"/>
    </xf>
    <xf numFmtId="42" fontId="42" fillId="0" borderId="0" xfId="137" applyNumberFormat="1" applyFont="1" applyBorder="1" applyAlignment="1">
      <alignment horizontal="center"/>
    </xf>
    <xf numFmtId="44" fontId="22" fillId="0" borderId="0" xfId="137" applyNumberFormat="1" applyFont="1" applyFill="1" applyBorder="1"/>
    <xf numFmtId="0" fontId="19" fillId="0" borderId="0" xfId="137" applyFont="1" applyBorder="1" applyAlignment="1">
      <alignment horizontal="center"/>
    </xf>
    <xf numFmtId="0" fontId="109" fillId="0" borderId="21" xfId="137" applyBorder="1" applyAlignment="1">
      <alignment horizontal="center"/>
    </xf>
    <xf numFmtId="0" fontId="47" fillId="0" borderId="21" xfId="137" applyFont="1" applyBorder="1" applyAlignment="1">
      <alignment horizontal="center"/>
    </xf>
    <xf numFmtId="0" fontId="101" fillId="0" borderId="0" xfId="137" applyFont="1" applyBorder="1"/>
    <xf numFmtId="0" fontId="120" fillId="0" borderId="0" xfId="137" applyFont="1" applyBorder="1"/>
    <xf numFmtId="0" fontId="116" fillId="0" borderId="0" xfId="137" applyFont="1" applyBorder="1" applyAlignment="1">
      <alignment horizontal="center"/>
    </xf>
    <xf numFmtId="164" fontId="116" fillId="0" borderId="0" xfId="137" applyNumberFormat="1" applyFont="1" applyFill="1" applyBorder="1"/>
    <xf numFmtId="0" fontId="116" fillId="0" borderId="21" xfId="137" applyFont="1" applyBorder="1" applyAlignment="1">
      <alignment horizontal="center"/>
    </xf>
    <xf numFmtId="0" fontId="109" fillId="0" borderId="16" xfId="137" quotePrefix="1" applyBorder="1" applyAlignment="1">
      <alignment horizontal="center"/>
    </xf>
    <xf numFmtId="42" fontId="47" fillId="0" borderId="0" xfId="137" applyNumberFormat="1" applyFont="1" applyBorder="1"/>
    <xf numFmtId="42" fontId="47" fillId="0" borderId="21" xfId="139" applyNumberFormat="1" applyFont="1" applyBorder="1"/>
    <xf numFmtId="169" fontId="47" fillId="0" borderId="0" xfId="137" applyNumberFormat="1" applyFont="1" applyBorder="1"/>
    <xf numFmtId="166" fontId="47" fillId="0" borderId="0" xfId="137" applyNumberFormat="1" applyFont="1" applyBorder="1"/>
    <xf numFmtId="10" fontId="47" fillId="0" borderId="21" xfId="139" applyNumberFormat="1" applyFont="1" applyBorder="1" applyAlignment="1">
      <alignment horizontal="center"/>
    </xf>
    <xf numFmtId="188" fontId="47" fillId="0" borderId="0" xfId="137" applyNumberFormat="1" applyFont="1" applyBorder="1"/>
    <xf numFmtId="188" fontId="47" fillId="0" borderId="0" xfId="137" applyNumberFormat="1" applyFont="1"/>
    <xf numFmtId="166" fontId="47" fillId="0" borderId="0" xfId="137" applyNumberFormat="1" applyFont="1"/>
    <xf numFmtId="164" fontId="47" fillId="0" borderId="0" xfId="137" applyNumberFormat="1" applyFont="1"/>
    <xf numFmtId="0" fontId="109" fillId="0" borderId="16" xfId="137" applyBorder="1" applyAlignment="1">
      <alignment horizontal="center"/>
    </xf>
    <xf numFmtId="178" fontId="47" fillId="0" borderId="0" xfId="139" applyNumberFormat="1" applyFont="1" applyBorder="1"/>
    <xf numFmtId="1" fontId="47" fillId="0" borderId="21" xfId="139" applyNumberFormat="1" applyFont="1" applyBorder="1"/>
    <xf numFmtId="164" fontId="47" fillId="0" borderId="21" xfId="139" applyNumberFormat="1" applyFont="1" applyBorder="1" applyAlignment="1">
      <alignment horizontal="center"/>
    </xf>
    <xf numFmtId="0" fontId="47" fillId="0" borderId="0" xfId="137" quotePrefix="1" applyFont="1" applyBorder="1" applyAlignment="1">
      <alignment horizontal="center"/>
    </xf>
    <xf numFmtId="14" fontId="47" fillId="0" borderId="0" xfId="137" quotePrefix="1" applyNumberFormat="1" applyFont="1" applyBorder="1" applyAlignment="1">
      <alignment horizontal="center"/>
    </xf>
    <xf numFmtId="178" fontId="47" fillId="0" borderId="11" xfId="139" applyNumberFormat="1" applyFont="1" applyBorder="1"/>
    <xf numFmtId="0" fontId="19" fillId="0" borderId="11" xfId="137" applyFont="1" applyBorder="1"/>
    <xf numFmtId="0" fontId="47" fillId="0" borderId="22" xfId="137" applyFont="1" applyBorder="1"/>
    <xf numFmtId="175" fontId="47" fillId="0" borderId="11" xfId="137" applyNumberFormat="1" applyFont="1" applyBorder="1"/>
    <xf numFmtId="164" fontId="47" fillId="0" borderId="0" xfId="137" applyNumberFormat="1" applyFont="1" applyBorder="1" applyAlignment="1">
      <alignment horizontal="right"/>
    </xf>
    <xf numFmtId="42" fontId="47" fillId="0" borderId="0" xfId="139" applyNumberFormat="1" applyFont="1" applyBorder="1"/>
    <xf numFmtId="42" fontId="47" fillId="0" borderId="21" xfId="137" applyNumberFormat="1" applyFont="1" applyBorder="1"/>
    <xf numFmtId="169" fontId="47" fillId="0" borderId="21" xfId="137" applyNumberFormat="1" applyFont="1" applyBorder="1"/>
    <xf numFmtId="175" fontId="47" fillId="0" borderId="0" xfId="137" applyNumberFormat="1" applyFont="1"/>
    <xf numFmtId="43" fontId="47" fillId="0" borderId="11" xfId="139" applyFont="1" applyBorder="1"/>
    <xf numFmtId="188" fontId="47" fillId="0" borderId="22" xfId="137" applyNumberFormat="1" applyFont="1" applyBorder="1"/>
    <xf numFmtId="43" fontId="47" fillId="0" borderId="0" xfId="139" applyFont="1"/>
    <xf numFmtId="178" fontId="47" fillId="0" borderId="0" xfId="137" applyNumberFormat="1" applyFont="1"/>
    <xf numFmtId="0" fontId="122" fillId="0" borderId="0" xfId="137" applyFont="1" applyFill="1"/>
    <xf numFmtId="43" fontId="47" fillId="0" borderId="0" xfId="137" applyNumberFormat="1" applyFont="1" applyBorder="1"/>
    <xf numFmtId="10" fontId="47" fillId="0" borderId="0" xfId="141" applyNumberFormat="1" applyFont="1" applyBorder="1"/>
    <xf numFmtId="175" fontId="47" fillId="0" borderId="0" xfId="142" applyNumberFormat="1" applyFont="1" applyBorder="1"/>
    <xf numFmtId="0" fontId="47" fillId="0" borderId="0" xfId="137" applyFont="1" applyBorder="1" applyAlignment="1">
      <alignment horizontal="right"/>
    </xf>
    <xf numFmtId="0" fontId="120" fillId="0" borderId="0" xfId="137" applyFont="1" applyBorder="1" applyAlignment="1">
      <alignment horizontal="left"/>
    </xf>
    <xf numFmtId="0" fontId="22" fillId="0" borderId="0" xfId="137" applyFont="1" applyBorder="1" applyAlignment="1">
      <alignment horizontal="left"/>
    </xf>
    <xf numFmtId="164" fontId="47" fillId="0" borderId="0" xfId="137" applyNumberFormat="1" applyFont="1" applyBorder="1" applyAlignment="1">
      <alignment horizontal="center"/>
    </xf>
    <xf numFmtId="42" fontId="27" fillId="0" borderId="0" xfId="137" applyNumberFormat="1" applyFont="1" applyBorder="1"/>
    <xf numFmtId="164" fontId="27" fillId="0" borderId="0" xfId="137" applyNumberFormat="1" applyFont="1" applyBorder="1" applyAlignment="1">
      <alignment horizontal="center"/>
    </xf>
    <xf numFmtId="0" fontId="42" fillId="0" borderId="0" xfId="137" applyFont="1" applyBorder="1"/>
    <xf numFmtId="0" fontId="112" fillId="0" borderId="0" xfId="137" applyFont="1" applyBorder="1"/>
    <xf numFmtId="0" fontId="27" fillId="0" borderId="0" xfId="137" applyFont="1" applyBorder="1" applyAlignment="1">
      <alignment horizontal="center"/>
    </xf>
    <xf numFmtId="0" fontId="123" fillId="0" borderId="0" xfId="137" applyFont="1" applyBorder="1"/>
    <xf numFmtId="44" fontId="27" fillId="0" borderId="0" xfId="137" applyNumberFormat="1" applyFont="1" applyBorder="1"/>
    <xf numFmtId="0" fontId="17" fillId="0" borderId="0" xfId="137" applyFont="1" applyFill="1" applyBorder="1" applyAlignment="1">
      <alignment horizontal="left"/>
    </xf>
    <xf numFmtId="164" fontId="123" fillId="0" borderId="0" xfId="137" applyNumberFormat="1" applyFont="1" applyBorder="1"/>
    <xf numFmtId="44" fontId="42" fillId="0" borderId="0" xfId="137" applyNumberFormat="1" applyFont="1" applyBorder="1"/>
    <xf numFmtId="175" fontId="19" fillId="0" borderId="0" xfId="142" applyNumberFormat="1" applyFont="1" applyBorder="1"/>
    <xf numFmtId="175" fontId="19" fillId="0" borderId="0" xfId="137" applyNumberFormat="1" applyFont="1" applyBorder="1"/>
    <xf numFmtId="10" fontId="19" fillId="0" borderId="0" xfId="141" applyNumberFormat="1" applyFont="1" applyBorder="1"/>
    <xf numFmtId="178" fontId="19" fillId="0" borderId="0" xfId="139" applyNumberFormat="1" applyFont="1" applyBorder="1"/>
    <xf numFmtId="43" fontId="27" fillId="0" borderId="0" xfId="139" applyFont="1" applyBorder="1"/>
    <xf numFmtId="0" fontId="27" fillId="0" borderId="0" xfId="137" applyFont="1" applyBorder="1" applyAlignment="1">
      <alignment horizontal="right"/>
    </xf>
    <xf numFmtId="0" fontId="112" fillId="0" borderId="0" xfId="137" applyFont="1" applyBorder="1" applyAlignment="1">
      <alignment horizontal="left"/>
    </xf>
    <xf numFmtId="164" fontId="27" fillId="0" borderId="0" xfId="141" applyNumberFormat="1" applyFont="1" applyBorder="1"/>
    <xf numFmtId="0" fontId="70" fillId="0" borderId="0" xfId="0" applyNumberFormat="1" applyFont="1" applyFill="1" applyBorder="1" applyAlignment="1">
      <alignment vertical="center"/>
    </xf>
    <xf numFmtId="178" fontId="47" fillId="21" borderId="0" xfId="140" applyNumberFormat="1" applyFont="1" applyFill="1" applyBorder="1" applyAlignment="1">
      <alignment horizontal="center"/>
    </xf>
    <xf numFmtId="0" fontId="47" fillId="21" borderId="0" xfId="137" applyFont="1" applyFill="1" applyBorder="1" applyAlignment="1">
      <alignment horizontal="center"/>
    </xf>
    <xf numFmtId="175" fontId="47" fillId="21" borderId="0" xfId="138" applyNumberFormat="1" applyFont="1" applyFill="1" applyBorder="1" applyAlignment="1">
      <alignment horizontal="center"/>
    </xf>
    <xf numFmtId="175" fontId="118" fillId="21" borderId="0" xfId="138" applyNumberFormat="1" applyFont="1" applyFill="1" applyBorder="1"/>
    <xf numFmtId="0" fontId="118" fillId="21" borderId="0" xfId="137" applyFont="1" applyFill="1" applyBorder="1" applyAlignment="1">
      <alignment horizontal="center"/>
    </xf>
    <xf numFmtId="0" fontId="47" fillId="21" borderId="0" xfId="137" applyFont="1" applyFill="1" applyBorder="1" applyAlignment="1"/>
    <xf numFmtId="174" fontId="85" fillId="0" borderId="0" xfId="0" applyFont="1" applyAlignment="1">
      <alignment horizontal="left" vertical="center"/>
    </xf>
    <xf numFmtId="174" fontId="0" fillId="0" borderId="0" xfId="0" applyFill="1" applyAlignment="1"/>
    <xf numFmtId="174" fontId="70" fillId="0" borderId="0" xfId="0" applyFont="1" applyAlignment="1">
      <alignment horizontal="center"/>
    </xf>
    <xf numFmtId="0" fontId="14" fillId="0" borderId="0" xfId="148"/>
    <xf numFmtId="0" fontId="14" fillId="0" borderId="0" xfId="148" applyFill="1"/>
    <xf numFmtId="0" fontId="124" fillId="0" borderId="0" xfId="148" applyFont="1" applyFill="1" applyBorder="1" applyAlignment="1">
      <alignment horizontal="center"/>
    </xf>
    <xf numFmtId="0" fontId="14" fillId="0" borderId="43" xfId="148" applyBorder="1"/>
    <xf numFmtId="0" fontId="14" fillId="0" borderId="44" xfId="148" applyBorder="1"/>
    <xf numFmtId="0" fontId="14" fillId="0" borderId="45" xfId="148" applyFill="1" applyBorder="1"/>
    <xf numFmtId="0" fontId="14" fillId="0" borderId="11" xfId="148" applyBorder="1" applyAlignment="1">
      <alignment horizontal="center" wrapText="1"/>
    </xf>
    <xf numFmtId="0" fontId="124" fillId="0" borderId="11" xfId="148" applyFont="1" applyFill="1" applyBorder="1" applyAlignment="1">
      <alignment horizontal="left" indent="2"/>
    </xf>
    <xf numFmtId="0" fontId="14" fillId="0" borderId="35" xfId="148" applyBorder="1" applyAlignment="1">
      <alignment horizontal="center" wrapText="1"/>
    </xf>
    <xf numFmtId="0" fontId="14" fillId="0" borderId="11" xfId="148" applyBorder="1"/>
    <xf numFmtId="0" fontId="124" fillId="0" borderId="11" xfId="148" applyFont="1" applyBorder="1" applyAlignment="1">
      <alignment horizontal="left" indent="2"/>
    </xf>
    <xf numFmtId="37" fontId="14" fillId="0" borderId="0" xfId="148" applyNumberFormat="1"/>
    <xf numFmtId="37" fontId="14" fillId="0" borderId="0" xfId="148" applyNumberFormat="1" applyFill="1"/>
    <xf numFmtId="37" fontId="14" fillId="0" borderId="40" xfId="148" applyNumberFormat="1" applyBorder="1"/>
    <xf numFmtId="37" fontId="14" fillId="0" borderId="0" xfId="148" applyNumberFormat="1" applyBorder="1"/>
    <xf numFmtId="37" fontId="14" fillId="0" borderId="37" xfId="148" applyNumberFormat="1" applyBorder="1"/>
    <xf numFmtId="37" fontId="14" fillId="0" borderId="37" xfId="148" applyNumberFormat="1" applyFill="1" applyBorder="1"/>
    <xf numFmtId="0" fontId="14" fillId="0" borderId="37" xfId="148" applyBorder="1"/>
    <xf numFmtId="0" fontId="14" fillId="0" borderId="0" xfId="148" applyBorder="1"/>
    <xf numFmtId="37" fontId="14" fillId="0" borderId="0" xfId="148" applyNumberFormat="1" applyFill="1" applyBorder="1"/>
    <xf numFmtId="37" fontId="124" fillId="0" borderId="0" xfId="148" applyNumberFormat="1" applyFont="1" applyFill="1" applyBorder="1"/>
    <xf numFmtId="37" fontId="124" fillId="0" borderId="40" xfId="148" applyNumberFormat="1" applyFont="1" applyFill="1" applyBorder="1"/>
    <xf numFmtId="0" fontId="14" fillId="0" borderId="27" xfId="148" applyBorder="1"/>
    <xf numFmtId="37" fontId="14" fillId="0" borderId="27" xfId="148" applyNumberFormat="1" applyFill="1" applyBorder="1"/>
    <xf numFmtId="37" fontId="14" fillId="21" borderId="37" xfId="148" applyNumberFormat="1" applyFill="1" applyBorder="1"/>
    <xf numFmtId="37" fontId="14" fillId="21" borderId="38" xfId="148" applyNumberFormat="1" applyFill="1" applyBorder="1"/>
    <xf numFmtId="0" fontId="124" fillId="0" borderId="11" xfId="148" applyFont="1" applyFill="1" applyBorder="1" applyAlignment="1">
      <alignment horizontal="center" wrapText="1"/>
    </xf>
    <xf numFmtId="0" fontId="14" fillId="0" borderId="0" xfId="148" applyFill="1" applyBorder="1"/>
    <xf numFmtId="0" fontId="124" fillId="0" borderId="36" xfId="148" applyFont="1" applyFill="1" applyBorder="1" applyAlignment="1">
      <alignment horizontal="center" wrapText="1"/>
    </xf>
    <xf numFmtId="37" fontId="14" fillId="0" borderId="34" xfId="148" applyNumberFormat="1" applyFill="1" applyBorder="1"/>
    <xf numFmtId="37" fontId="14" fillId="0" borderId="39" xfId="148" applyNumberFormat="1" applyFill="1" applyBorder="1"/>
    <xf numFmtId="0" fontId="14" fillId="0" borderId="42" xfId="148" applyFill="1" applyBorder="1"/>
    <xf numFmtId="37" fontId="14" fillId="21" borderId="40" xfId="148" applyNumberFormat="1" applyFill="1" applyBorder="1"/>
    <xf numFmtId="37" fontId="14" fillId="21" borderId="0" xfId="148" applyNumberFormat="1" applyFill="1" applyBorder="1"/>
    <xf numFmtId="37" fontId="124" fillId="0" borderId="0" xfId="148" applyNumberFormat="1" applyFont="1" applyFill="1"/>
    <xf numFmtId="0" fontId="124" fillId="0" borderId="0" xfId="148" applyFont="1" applyFill="1" applyAlignment="1">
      <alignment wrapText="1"/>
    </xf>
    <xf numFmtId="37" fontId="14" fillId="0" borderId="38" xfId="148" applyNumberFormat="1" applyFill="1" applyBorder="1"/>
    <xf numFmtId="37" fontId="14" fillId="0" borderId="40" xfId="148" applyNumberFormat="1" applyFill="1" applyBorder="1"/>
    <xf numFmtId="37" fontId="14" fillId="0" borderId="41" xfId="148" applyNumberFormat="1" applyFill="1" applyBorder="1"/>
    <xf numFmtId="178" fontId="124" fillId="0" borderId="0" xfId="149" applyNumberFormat="1" applyFont="1" applyFill="1"/>
    <xf numFmtId="37" fontId="14" fillId="21" borderId="0" xfId="148" applyNumberFormat="1" applyFill="1"/>
    <xf numFmtId="0" fontId="124" fillId="0" borderId="0" xfId="148" applyFont="1" applyFill="1"/>
    <xf numFmtId="37" fontId="124" fillId="0" borderId="37" xfId="148" applyNumberFormat="1" applyFont="1" applyFill="1" applyBorder="1"/>
    <xf numFmtId="0" fontId="124" fillId="0" borderId="31" xfId="148" applyFont="1" applyBorder="1" applyAlignment="1">
      <alignment horizontal="center"/>
    </xf>
    <xf numFmtId="0" fontId="124" fillId="0" borderId="46" xfId="148" applyFont="1" applyBorder="1" applyAlignment="1">
      <alignment horizontal="center" wrapText="1"/>
    </xf>
    <xf numFmtId="37" fontId="124" fillId="0" borderId="0" xfId="148" applyNumberFormat="1" applyFont="1" applyBorder="1"/>
    <xf numFmtId="0" fontId="124" fillId="0" borderId="0" xfId="148" applyFont="1" applyBorder="1"/>
    <xf numFmtId="174" fontId="48" fillId="0" borderId="16" xfId="0" quotePrefix="1" applyFont="1" applyFill="1" applyBorder="1" applyAlignment="1">
      <alignment horizontal="center"/>
    </xf>
    <xf numFmtId="174" fontId="70" fillId="0" borderId="0" xfId="0" applyFont="1" applyAlignment="1">
      <alignment horizontal="center" vertical="center"/>
    </xf>
    <xf numFmtId="174" fontId="72" fillId="0" borderId="0" xfId="0" applyFont="1" applyAlignment="1">
      <alignment horizontal="center" vertical="center"/>
    </xf>
    <xf numFmtId="178" fontId="48" fillId="0" borderId="0" xfId="59" applyNumberFormat="1" applyFont="1" applyAlignment="1">
      <alignment horizontal="center" vertical="center"/>
    </xf>
    <xf numFmtId="174" fontId="0" fillId="0" borderId="21" xfId="0" applyFill="1" applyBorder="1" applyAlignment="1"/>
    <xf numFmtId="0" fontId="43" fillId="0" borderId="0" xfId="132" applyFont="1" applyAlignment="1">
      <alignment horizontal="center"/>
    </xf>
    <xf numFmtId="0" fontId="100" fillId="0" borderId="0" xfId="132" applyFont="1" applyFill="1" applyBorder="1" applyAlignment="1">
      <alignment horizontal="left" wrapText="1"/>
    </xf>
    <xf numFmtId="178" fontId="21" fillId="0" borderId="0" xfId="59" applyNumberFormat="1" applyFont="1" applyAlignment="1">
      <alignment horizontal="center"/>
    </xf>
    <xf numFmtId="174" fontId="72" fillId="0" borderId="0" xfId="0" applyFont="1" applyAlignment="1">
      <alignment horizontal="center" vertical="center"/>
    </xf>
    <xf numFmtId="174" fontId="72" fillId="21" borderId="0" xfId="0" quotePrefix="1" applyFont="1" applyFill="1" applyAlignment="1">
      <alignment horizontal="center" vertical="center"/>
    </xf>
    <xf numFmtId="1" fontId="19" fillId="21" borderId="0" xfId="81" applyNumberFormat="1" applyFont="1" applyFill="1" applyBorder="1" applyAlignment="1">
      <alignment horizontal="center"/>
    </xf>
    <xf numFmtId="178" fontId="26" fillId="21" borderId="0" xfId="61" applyNumberFormat="1" applyFont="1" applyFill="1" applyBorder="1" applyAlignment="1"/>
    <xf numFmtId="43" fontId="59" fillId="21" borderId="0" xfId="59" applyFont="1" applyFill="1" applyBorder="1" applyAlignment="1"/>
    <xf numFmtId="174" fontId="19" fillId="0" borderId="0" xfId="0" applyFont="1" applyAlignment="1"/>
    <xf numFmtId="0" fontId="43" fillId="0" borderId="0" xfId="81" applyNumberFormat="1" applyFont="1" applyFill="1" applyBorder="1" applyAlignment="1">
      <alignment horizontal="left"/>
    </xf>
    <xf numFmtId="0" fontId="19" fillId="0" borderId="0" xfId="81" applyFont="1" applyFill="1" applyBorder="1" applyAlignment="1"/>
    <xf numFmtId="174" fontId="59" fillId="0" borderId="0" xfId="0" applyFont="1" applyFill="1" applyBorder="1" applyAlignment="1"/>
    <xf numFmtId="3" fontId="26" fillId="0" borderId="0" xfId="135" applyNumberFormat="1" applyFont="1" applyFill="1" applyBorder="1" applyAlignment="1">
      <alignment horizontal="right"/>
    </xf>
    <xf numFmtId="174" fontId="26" fillId="0" borderId="0" xfId="0" applyFont="1" applyAlignment="1">
      <alignment horizontal="center" vertical="top"/>
    </xf>
    <xf numFmtId="178" fontId="19" fillId="21" borderId="0" xfId="59" applyNumberFormat="1" applyFont="1" applyFill="1" applyAlignment="1">
      <alignment horizontal="right"/>
    </xf>
    <xf numFmtId="0" fontId="14" fillId="0" borderId="45" xfId="148" applyBorder="1"/>
    <xf numFmtId="0" fontId="124" fillId="0" borderId="36" xfId="148" applyFont="1" applyFill="1" applyBorder="1" applyAlignment="1">
      <alignment horizontal="left" indent="2"/>
    </xf>
    <xf numFmtId="37" fontId="14" fillId="21" borderId="39" xfId="148" applyNumberFormat="1" applyFill="1" applyBorder="1"/>
    <xf numFmtId="37" fontId="124" fillId="0" borderId="34" xfId="148" applyNumberFormat="1" applyFont="1" applyFill="1" applyBorder="1"/>
    <xf numFmtId="37" fontId="124" fillId="0" borderId="42" xfId="148" applyNumberFormat="1" applyFont="1" applyFill="1" applyBorder="1"/>
    <xf numFmtId="174" fontId="26" fillId="0" borderId="0" xfId="0" applyFont="1" applyFill="1" applyBorder="1" applyAlignment="1"/>
    <xf numFmtId="0" fontId="26" fillId="0" borderId="0" xfId="0" applyNumberFormat="1" applyFont="1" applyAlignment="1">
      <alignment horizontal="right"/>
    </xf>
    <xf numFmtId="174" fontId="21" fillId="0" borderId="0" xfId="0" applyFont="1" applyFill="1" applyBorder="1" applyAlignment="1"/>
    <xf numFmtId="0" fontId="26" fillId="0" borderId="0" xfId="0" applyNumberFormat="1" applyFont="1" applyFill="1" applyAlignment="1">
      <alignment horizontal="right"/>
    </xf>
    <xf numFmtId="0" fontId="26" fillId="0" borderId="0" xfId="0" applyNumberFormat="1" applyFont="1" applyFill="1" applyBorder="1" applyAlignment="1" applyProtection="1">
      <alignment horizontal="center"/>
      <protection locked="0"/>
    </xf>
    <xf numFmtId="0" fontId="26" fillId="0" borderId="0" xfId="0" applyNumberFormat="1" applyFont="1" applyFill="1" applyBorder="1"/>
    <xf numFmtId="49" fontId="26" fillId="0" borderId="0" xfId="0" applyNumberFormat="1" applyFont="1" applyFill="1" applyBorder="1"/>
    <xf numFmtId="174" fontId="26" fillId="0" borderId="16" xfId="0" applyFont="1" applyFill="1" applyBorder="1" applyAlignment="1"/>
    <xf numFmtId="3" fontId="26" fillId="0" borderId="0" xfId="0" applyNumberFormat="1" applyFont="1" applyFill="1" applyBorder="1"/>
    <xf numFmtId="174" fontId="26" fillId="0" borderId="21" xfId="0" applyFont="1" applyFill="1" applyBorder="1" applyAlignment="1"/>
    <xf numFmtId="0" fontId="26" fillId="0" borderId="0" xfId="0" applyNumberFormat="1" applyFont="1" applyFill="1" applyBorder="1" applyAlignment="1">
      <alignment horizontal="center"/>
    </xf>
    <xf numFmtId="49" fontId="26" fillId="0" borderId="0" xfId="0" applyNumberFormat="1" applyFont="1" applyFill="1" applyBorder="1" applyAlignment="1">
      <alignment horizontal="center"/>
    </xf>
    <xf numFmtId="49" fontId="26" fillId="0" borderId="16" xfId="0" applyNumberFormat="1" applyFont="1" applyFill="1" applyBorder="1" applyAlignment="1">
      <alignment horizontal="center"/>
    </xf>
    <xf numFmtId="49" fontId="26" fillId="0" borderId="21" xfId="0" applyNumberFormat="1" applyFont="1" applyFill="1" applyBorder="1" applyAlignment="1">
      <alignment horizontal="center"/>
    </xf>
    <xf numFmtId="0" fontId="26" fillId="0" borderId="0" xfId="0" applyNumberFormat="1" applyFont="1" applyFill="1" applyBorder="1" applyAlignment="1"/>
    <xf numFmtId="3" fontId="21" fillId="0" borderId="0" xfId="0" applyNumberFormat="1" applyFont="1" applyFill="1" applyBorder="1" applyAlignment="1">
      <alignment horizontal="center"/>
    </xf>
    <xf numFmtId="3" fontId="26" fillId="0" borderId="0" xfId="0" applyNumberFormat="1" applyFont="1" applyFill="1" applyBorder="1" applyAlignment="1"/>
    <xf numFmtId="174" fontId="21" fillId="0" borderId="0" xfId="0" applyFont="1" applyFill="1" applyBorder="1" applyAlignment="1">
      <alignment horizontal="center"/>
    </xf>
    <xf numFmtId="0" fontId="21" fillId="0" borderId="0" xfId="0" applyNumberFormat="1" applyFont="1" applyFill="1" applyBorder="1" applyAlignment="1" applyProtection="1">
      <alignment horizontal="center"/>
      <protection locked="0"/>
    </xf>
    <xf numFmtId="174" fontId="26" fillId="0" borderId="16" xfId="0" applyFont="1" applyFill="1" applyBorder="1" applyAlignment="1">
      <alignment horizontal="center"/>
    </xf>
    <xf numFmtId="174" fontId="21" fillId="0" borderId="21" xfId="0" applyFont="1" applyFill="1" applyBorder="1" applyAlignment="1">
      <alignment horizontal="center"/>
    </xf>
    <xf numFmtId="0" fontId="21" fillId="0" borderId="0" xfId="0" applyNumberFormat="1" applyFont="1" applyFill="1" applyBorder="1" applyAlignment="1"/>
    <xf numFmtId="0" fontId="115" fillId="0" borderId="0" xfId="0" applyNumberFormat="1" applyFont="1" applyFill="1" applyBorder="1" applyAlignment="1" applyProtection="1">
      <alignment horizontal="center"/>
      <protection locked="0"/>
    </xf>
    <xf numFmtId="3" fontId="26" fillId="0" borderId="0" xfId="0" applyNumberFormat="1" applyFont="1" applyFill="1" applyBorder="1" applyAlignment="1">
      <alignment horizontal="center"/>
    </xf>
    <xf numFmtId="175" fontId="26" fillId="0" borderId="0" xfId="63" applyNumberFormat="1" applyFont="1" applyFill="1" applyBorder="1" applyAlignment="1"/>
    <xf numFmtId="179" fontId="26" fillId="0" borderId="0" xfId="0" applyNumberFormat="1" applyFont="1" applyFill="1" applyBorder="1" applyAlignment="1"/>
    <xf numFmtId="179" fontId="26" fillId="0" borderId="0" xfId="85" applyNumberFormat="1" applyFont="1" applyFill="1" applyBorder="1" applyAlignment="1"/>
    <xf numFmtId="174" fontId="26" fillId="0" borderId="0" xfId="0" applyFont="1" applyFill="1" applyBorder="1" applyAlignment="1">
      <alignment horizontal="center"/>
    </xf>
    <xf numFmtId="49" fontId="21" fillId="0" borderId="0" xfId="0" applyNumberFormat="1" applyFont="1" applyFill="1" applyBorder="1" applyAlignment="1">
      <alignment horizontal="center"/>
    </xf>
    <xf numFmtId="3" fontId="21" fillId="0" borderId="0" xfId="0" applyNumberFormat="1" applyFont="1" applyFill="1" applyBorder="1" applyAlignment="1"/>
    <xf numFmtId="179" fontId="21" fillId="0" borderId="0" xfId="85" applyNumberFormat="1" applyFont="1" applyFill="1" applyBorder="1" applyAlignment="1"/>
    <xf numFmtId="179" fontId="26" fillId="0" borderId="21" xfId="0" applyNumberFormat="1" applyFont="1" applyFill="1" applyBorder="1" applyAlignment="1"/>
    <xf numFmtId="179" fontId="26" fillId="0" borderId="21" xfId="85" applyNumberFormat="1" applyFont="1" applyFill="1" applyBorder="1" applyAlignment="1"/>
    <xf numFmtId="164" fontId="26" fillId="0" borderId="0" xfId="0" applyNumberFormat="1" applyFont="1" applyFill="1" applyBorder="1" applyAlignment="1">
      <alignment horizontal="center"/>
    </xf>
    <xf numFmtId="49" fontId="21" fillId="0" borderId="16" xfId="0" applyNumberFormat="1" applyFont="1" applyFill="1" applyBorder="1" applyAlignment="1">
      <alignment horizontal="center"/>
    </xf>
    <xf numFmtId="179" fontId="21" fillId="0" borderId="21" xfId="85" applyNumberFormat="1" applyFont="1" applyFill="1" applyBorder="1" applyAlignment="1"/>
    <xf numFmtId="49" fontId="21" fillId="0" borderId="17" xfId="0" applyNumberFormat="1" applyFont="1" applyFill="1" applyBorder="1" applyAlignment="1">
      <alignment horizontal="center"/>
    </xf>
    <xf numFmtId="174" fontId="21" fillId="0" borderId="11" xfId="0" applyFont="1" applyFill="1" applyBorder="1" applyAlignment="1"/>
    <xf numFmtId="174" fontId="26" fillId="0" borderId="11" xfId="0" applyFont="1" applyFill="1" applyBorder="1" applyAlignment="1"/>
    <xf numFmtId="3" fontId="21" fillId="0" borderId="11" xfId="0" applyNumberFormat="1" applyFont="1" applyFill="1" applyBorder="1" applyAlignment="1">
      <alignment horizontal="center"/>
    </xf>
    <xf numFmtId="174" fontId="26" fillId="0" borderId="0" xfId="0" applyFont="1" applyFill="1" applyBorder="1" applyAlignment="1">
      <alignment horizontal="right"/>
    </xf>
    <xf numFmtId="176" fontId="21" fillId="0" borderId="0" xfId="0" applyNumberFormat="1" applyFont="1" applyFill="1" applyBorder="1" applyAlignment="1">
      <alignment horizontal="center"/>
    </xf>
    <xf numFmtId="174" fontId="21" fillId="0" borderId="13" xfId="0" applyFont="1" applyFill="1" applyBorder="1" applyAlignment="1">
      <alignment horizontal="center" wrapText="1"/>
    </xf>
    <xf numFmtId="174" fontId="21" fillId="0" borderId="14" xfId="0" applyFont="1" applyFill="1" applyBorder="1" applyAlignment="1"/>
    <xf numFmtId="174" fontId="21" fillId="0" borderId="14" xfId="0" applyFont="1" applyFill="1" applyBorder="1" applyAlignment="1">
      <alignment horizontal="center"/>
    </xf>
    <xf numFmtId="174" fontId="21" fillId="0" borderId="14" xfId="0" applyFont="1" applyFill="1" applyBorder="1" applyAlignment="1">
      <alignment horizontal="center" wrapText="1"/>
    </xf>
    <xf numFmtId="0" fontId="21" fillId="0" borderId="14" xfId="0" applyNumberFormat="1" applyFont="1" applyFill="1" applyBorder="1" applyAlignment="1">
      <alignment horizontal="center" wrapText="1"/>
    </xf>
    <xf numFmtId="174" fontId="21" fillId="0" borderId="12" xfId="0" applyFont="1" applyFill="1" applyBorder="1" applyAlignment="1">
      <alignment horizontal="center" wrapText="1"/>
    </xf>
    <xf numFmtId="3" fontId="21" fillId="0" borderId="12" xfId="0" applyNumberFormat="1" applyFont="1" applyFill="1" applyBorder="1" applyAlignment="1">
      <alignment horizontal="center" wrapText="1"/>
    </xf>
    <xf numFmtId="0" fontId="26" fillId="0" borderId="13" xfId="0" applyNumberFormat="1" applyFont="1" applyFill="1" applyBorder="1"/>
    <xf numFmtId="0" fontId="26" fillId="0" borderId="14" xfId="0" applyNumberFormat="1" applyFont="1" applyFill="1" applyBorder="1"/>
    <xf numFmtId="0" fontId="26" fillId="0" borderId="14" xfId="0" applyNumberFormat="1" applyFont="1" applyFill="1" applyBorder="1" applyAlignment="1">
      <alignment horizontal="center"/>
    </xf>
    <xf numFmtId="0" fontId="26" fillId="0" borderId="12" xfId="0" applyNumberFormat="1" applyFont="1" applyFill="1" applyBorder="1" applyAlignment="1">
      <alignment horizontal="center"/>
    </xf>
    <xf numFmtId="0" fontId="26" fillId="0" borderId="12" xfId="0" applyNumberFormat="1" applyFont="1" applyFill="1" applyBorder="1" applyAlignment="1">
      <alignment horizontal="center" wrapText="1"/>
    </xf>
    <xf numFmtId="0" fontId="26" fillId="0" borderId="16" xfId="0" applyNumberFormat="1" applyFont="1" applyFill="1" applyBorder="1" applyAlignment="1">
      <alignment horizontal="center" wrapText="1"/>
    </xf>
    <xf numFmtId="0" fontId="26" fillId="0" borderId="10" xfId="0" applyNumberFormat="1" applyFont="1" applyFill="1" applyBorder="1"/>
    <xf numFmtId="170" fontId="26" fillId="0" borderId="10" xfId="0" applyNumberFormat="1" applyFont="1" applyFill="1" applyBorder="1" applyAlignment="1"/>
    <xf numFmtId="170" fontId="26" fillId="0" borderId="10" xfId="59" applyNumberFormat="1" applyFont="1" applyFill="1" applyBorder="1" applyAlignment="1"/>
    <xf numFmtId="43" fontId="26" fillId="21" borderId="10" xfId="59" applyFont="1" applyFill="1" applyBorder="1" applyAlignment="1"/>
    <xf numFmtId="174" fontId="19" fillId="0" borderId="10" xfId="0" applyFont="1" applyFill="1" applyBorder="1" applyAlignment="1"/>
    <xf numFmtId="174" fontId="26" fillId="0" borderId="17" xfId="0" applyFont="1" applyFill="1" applyBorder="1" applyAlignment="1"/>
    <xf numFmtId="174" fontId="19" fillId="0" borderId="11" xfId="0" applyFont="1" applyFill="1" applyBorder="1" applyAlignment="1"/>
    <xf numFmtId="174" fontId="19" fillId="0" borderId="19" xfId="0" applyFont="1" applyFill="1" applyBorder="1" applyAlignment="1"/>
    <xf numFmtId="43" fontId="26" fillId="0" borderId="0" xfId="59" applyFont="1" applyFill="1" applyBorder="1" applyAlignment="1"/>
    <xf numFmtId="174" fontId="26" fillId="0" borderId="0" xfId="0" quotePrefix="1" applyFont="1" applyFill="1" applyBorder="1" applyAlignment="1">
      <alignment horizontal="center"/>
    </xf>
    <xf numFmtId="174" fontId="107" fillId="0" borderId="0" xfId="0" applyFont="1" applyFill="1" applyBorder="1" applyAlignment="1"/>
    <xf numFmtId="174" fontId="26" fillId="0" borderId="0" xfId="0" applyFont="1" applyFill="1" applyBorder="1" applyAlignment="1">
      <alignment horizontal="center" vertical="top"/>
    </xf>
    <xf numFmtId="174" fontId="19" fillId="0" borderId="0" xfId="0" applyFont="1" applyFill="1" applyBorder="1" applyAlignment="1">
      <alignment horizontal="center"/>
    </xf>
    <xf numFmtId="10" fontId="26" fillId="0" borderId="0" xfId="0" applyNumberFormat="1" applyFont="1" applyFill="1" applyBorder="1" applyAlignment="1"/>
    <xf numFmtId="174" fontId="21" fillId="0" borderId="14" xfId="0" applyFont="1" applyFill="1" applyBorder="1" applyAlignment="1">
      <alignment wrapText="1"/>
    </xf>
    <xf numFmtId="3" fontId="21" fillId="0" borderId="23" xfId="0" applyNumberFormat="1" applyFont="1" applyFill="1" applyBorder="1" applyAlignment="1">
      <alignment horizontal="center" wrapText="1"/>
    </xf>
    <xf numFmtId="174" fontId="26" fillId="0" borderId="0" xfId="0" applyFont="1" applyFill="1" applyBorder="1" applyAlignment="1">
      <alignment wrapText="1"/>
    </xf>
    <xf numFmtId="0" fontId="26" fillId="0" borderId="14" xfId="0" applyNumberFormat="1" applyFont="1" applyFill="1" applyBorder="1" applyAlignment="1">
      <alignment horizontal="center" wrapText="1"/>
    </xf>
    <xf numFmtId="0" fontId="26" fillId="0" borderId="23" xfId="0" applyNumberFormat="1" applyFont="1" applyFill="1" applyBorder="1" applyAlignment="1">
      <alignment horizontal="center"/>
    </xf>
    <xf numFmtId="0" fontId="26" fillId="0" borderId="16" xfId="0" applyNumberFormat="1" applyFont="1" applyFill="1" applyBorder="1" applyAlignment="1">
      <alignment horizontal="center"/>
    </xf>
    <xf numFmtId="0" fontId="26" fillId="0" borderId="2" xfId="0" applyNumberFormat="1" applyFont="1" applyFill="1" applyBorder="1"/>
    <xf numFmtId="0" fontId="26" fillId="0" borderId="32" xfId="0" applyNumberFormat="1" applyFont="1" applyFill="1" applyBorder="1"/>
    <xf numFmtId="0" fontId="26" fillId="0" borderId="20" xfId="0" applyNumberFormat="1" applyFont="1" applyFill="1" applyBorder="1"/>
    <xf numFmtId="0" fontId="26" fillId="0" borderId="16" xfId="0" applyNumberFormat="1" applyFont="1" applyFill="1" applyBorder="1"/>
    <xf numFmtId="0" fontId="26" fillId="0" borderId="21" xfId="0" applyNumberFormat="1" applyFont="1" applyFill="1" applyBorder="1"/>
    <xf numFmtId="43" fontId="26" fillId="0" borderId="21" xfId="59" applyFont="1" applyFill="1" applyBorder="1" applyAlignment="1"/>
    <xf numFmtId="43" fontId="19" fillId="0" borderId="21" xfId="59" applyFont="1" applyFill="1" applyBorder="1" applyAlignment="1"/>
    <xf numFmtId="43" fontId="19" fillId="0" borderId="11" xfId="59" applyFont="1" applyFill="1" applyBorder="1" applyAlignment="1"/>
    <xf numFmtId="43" fontId="19" fillId="0" borderId="22" xfId="59" applyFont="1" applyFill="1" applyBorder="1" applyAlignment="1"/>
    <xf numFmtId="174" fontId="125" fillId="0" borderId="0" xfId="0" applyFont="1" applyFill="1" applyBorder="1" applyAlignment="1"/>
    <xf numFmtId="43" fontId="26" fillId="0" borderId="0" xfId="59" applyFont="1" applyFill="1" applyBorder="1" applyAlignment="1">
      <alignment horizontal="center"/>
    </xf>
    <xf numFmtId="178" fontId="26" fillId="0" borderId="0" xfId="59" applyNumberFormat="1" applyFont="1" applyFill="1" applyBorder="1" applyAlignment="1"/>
    <xf numFmtId="174" fontId="26" fillId="0" borderId="0" xfId="0" applyFont="1" applyFill="1" applyBorder="1" applyAlignment="1">
      <alignment horizontal="left" indent="1"/>
    </xf>
    <xf numFmtId="49" fontId="26" fillId="0" borderId="0" xfId="0" applyNumberFormat="1" applyFont="1" applyFill="1" applyBorder="1" applyAlignment="1">
      <alignment horizontal="left"/>
    </xf>
    <xf numFmtId="178" fontId="69" fillId="21" borderId="0" xfId="136" applyNumberFormat="1" applyFont="1" applyFill="1"/>
    <xf numFmtId="178" fontId="19" fillId="21" borderId="0" xfId="136" applyNumberFormat="1" applyFont="1" applyFill="1"/>
    <xf numFmtId="178" fontId="19" fillId="21" borderId="0" xfId="59" applyNumberFormat="1" applyFont="1" applyFill="1"/>
    <xf numFmtId="178" fontId="19" fillId="21" borderId="0" xfId="59" applyNumberFormat="1" applyFont="1" applyFill="1" applyAlignment="1">
      <alignment wrapText="1"/>
    </xf>
    <xf numFmtId="178" fontId="69" fillId="21" borderId="0" xfId="136" applyNumberFormat="1" applyFont="1" applyFill="1" applyBorder="1"/>
    <xf numFmtId="178" fontId="19" fillId="21" borderId="11" xfId="59" applyNumberFormat="1" applyFont="1" applyFill="1" applyBorder="1"/>
    <xf numFmtId="178" fontId="19" fillId="21" borderId="11" xfId="59" applyNumberFormat="1" applyFont="1" applyFill="1" applyBorder="1" applyAlignment="1">
      <alignment wrapText="1"/>
    </xf>
    <xf numFmtId="0" fontId="43" fillId="0" borderId="0" xfId="132" applyFont="1" applyFill="1" applyAlignment="1">
      <alignment horizontal="center" wrapText="1"/>
    </xf>
    <xf numFmtId="178" fontId="69" fillId="0" borderId="0" xfId="136" applyNumberFormat="1" applyFont="1" applyFill="1"/>
    <xf numFmtId="178" fontId="19" fillId="0" borderId="0" xfId="136" applyNumberFormat="1" applyFont="1" applyFill="1"/>
    <xf numFmtId="178" fontId="19" fillId="0" borderId="0" xfId="59" applyNumberFormat="1" applyFont="1" applyFill="1" applyAlignment="1">
      <alignment wrapText="1"/>
    </xf>
    <xf numFmtId="178" fontId="69" fillId="0" borderId="0" xfId="136" applyNumberFormat="1" applyFont="1" applyFill="1" applyBorder="1"/>
    <xf numFmtId="178" fontId="19" fillId="0" borderId="11" xfId="136" applyNumberFormat="1" applyFont="1" applyFill="1" applyBorder="1"/>
    <xf numFmtId="178" fontId="19" fillId="0" borderId="11" xfId="59" applyNumberFormat="1" applyFont="1" applyFill="1" applyBorder="1"/>
    <xf numFmtId="178" fontId="19" fillId="0" borderId="11" xfId="59" applyNumberFormat="1" applyFont="1" applyFill="1" applyBorder="1" applyAlignment="1">
      <alignment wrapText="1"/>
    </xf>
    <xf numFmtId="178" fontId="98" fillId="21" borderId="0" xfId="59" applyNumberFormat="1" applyFont="1" applyFill="1"/>
    <xf numFmtId="178" fontId="105" fillId="21" borderId="0" xfId="59" applyNumberFormat="1" applyFont="1" applyFill="1"/>
    <xf numFmtId="0" fontId="19" fillId="21" borderId="0" xfId="132" applyFont="1" applyFill="1"/>
    <xf numFmtId="178" fontId="106" fillId="21" borderId="0" xfId="59" applyNumberFormat="1" applyFont="1" applyFill="1"/>
    <xf numFmtId="0" fontId="19" fillId="21" borderId="0" xfId="132" applyFont="1" applyFill="1" applyAlignment="1">
      <alignment wrapText="1"/>
    </xf>
    <xf numFmtId="178" fontId="19" fillId="21" borderId="0" xfId="136" applyNumberFormat="1" applyFont="1" applyFill="1" applyBorder="1"/>
    <xf numFmtId="178" fontId="69" fillId="21" borderId="0" xfId="59" applyNumberFormat="1" applyFont="1" applyFill="1"/>
    <xf numFmtId="178" fontId="98" fillId="21" borderId="0" xfId="59" applyNumberFormat="1" applyFont="1" applyFill="1" applyBorder="1"/>
    <xf numFmtId="178" fontId="105" fillId="21" borderId="0" xfId="59" applyNumberFormat="1" applyFont="1" applyFill="1" applyBorder="1"/>
    <xf numFmtId="178" fontId="98" fillId="0" borderId="0" xfId="59" applyNumberFormat="1" applyFont="1" applyFill="1"/>
    <xf numFmtId="178" fontId="105" fillId="0" borderId="0" xfId="59" applyNumberFormat="1" applyFont="1" applyFill="1"/>
    <xf numFmtId="178" fontId="106" fillId="0" borderId="0" xfId="59" applyNumberFormat="1" applyFont="1" applyFill="1"/>
    <xf numFmtId="0" fontId="19" fillId="0" borderId="0" xfId="132" applyFont="1" applyFill="1" applyAlignment="1">
      <alignment wrapText="1"/>
    </xf>
    <xf numFmtId="178" fontId="69" fillId="0" borderId="0" xfId="59" applyNumberFormat="1" applyFont="1" applyFill="1"/>
    <xf numFmtId="178" fontId="98" fillId="0" borderId="0" xfId="59" applyNumberFormat="1" applyFont="1" applyFill="1" applyBorder="1"/>
    <xf numFmtId="178" fontId="105" fillId="0" borderId="0" xfId="59" applyNumberFormat="1" applyFont="1" applyFill="1" applyBorder="1"/>
    <xf numFmtId="178" fontId="19" fillId="21" borderId="11" xfId="136" applyNumberFormat="1" applyFont="1" applyFill="1" applyBorder="1"/>
    <xf numFmtId="178" fontId="19" fillId="0" borderId="0" xfId="136" applyNumberFormat="1" applyFont="1" applyFill="1" applyBorder="1"/>
    <xf numFmtId="0" fontId="43" fillId="23" borderId="0" xfId="132" applyFont="1" applyFill="1" applyAlignment="1">
      <alignment horizontal="center"/>
    </xf>
    <xf numFmtId="0" fontId="19" fillId="0" borderId="0" xfId="132" applyFont="1" applyFill="1" applyBorder="1" applyAlignment="1">
      <alignment horizontal="center" wrapText="1"/>
    </xf>
    <xf numFmtId="0" fontId="43" fillId="28" borderId="0" xfId="132" applyFont="1" applyFill="1" applyAlignment="1">
      <alignment horizontal="center" wrapText="1"/>
    </xf>
    <xf numFmtId="178" fontId="71" fillId="0" borderId="0" xfId="59" applyNumberFormat="1" applyFont="1" applyFill="1" applyAlignment="1">
      <alignment horizontal="left" vertical="center"/>
    </xf>
    <xf numFmtId="0" fontId="0" fillId="0" borderId="0" xfId="0" applyNumberFormat="1" applyFill="1" applyAlignment="1">
      <alignment horizontal="left"/>
    </xf>
    <xf numFmtId="0" fontId="19" fillId="0" borderId="0" xfId="0" applyNumberFormat="1" applyFont="1" applyFill="1" applyAlignment="1">
      <alignment horizontal="left"/>
    </xf>
    <xf numFmtId="174" fontId="71" fillId="0" borderId="0" xfId="0" applyFont="1" applyAlignment="1">
      <alignment vertical="top"/>
    </xf>
    <xf numFmtId="174" fontId="70" fillId="0" borderId="0" xfId="0" applyFont="1" applyAlignment="1">
      <alignment horizontal="center" vertical="center"/>
    </xf>
    <xf numFmtId="174" fontId="70" fillId="0" borderId="0" xfId="0" applyFont="1" applyAlignment="1">
      <alignment horizontal="center" vertical="center"/>
    </xf>
    <xf numFmtId="174" fontId="72" fillId="0" borderId="0" xfId="0" applyFont="1" applyAlignment="1">
      <alignment horizontal="center" vertical="center"/>
    </xf>
    <xf numFmtId="3" fontId="70" fillId="0" borderId="0" xfId="0" applyNumberFormat="1" applyFont="1" applyFill="1" applyAlignment="1">
      <alignment horizontal="center" vertical="center"/>
    </xf>
    <xf numFmtId="3" fontId="70" fillId="0" borderId="0" xfId="0" applyNumberFormat="1" applyFont="1" applyFill="1" applyAlignment="1">
      <alignment vertical="center"/>
    </xf>
    <xf numFmtId="0" fontId="124" fillId="0" borderId="0" xfId="148" applyFont="1"/>
    <xf numFmtId="174" fontId="72" fillId="0" borderId="0" xfId="0" applyFont="1" applyAlignment="1"/>
    <xf numFmtId="174" fontId="70" fillId="0" borderId="0" xfId="0" applyFont="1" applyAlignment="1">
      <alignment horizontal="right" vertical="center"/>
    </xf>
    <xf numFmtId="0" fontId="70" fillId="0" borderId="0" xfId="0" applyNumberFormat="1" applyFont="1" applyFill="1" applyAlignment="1">
      <alignment horizontal="right"/>
    </xf>
    <xf numFmtId="178" fontId="14" fillId="0" borderId="0" xfId="59" applyNumberFormat="1" applyFont="1" applyBorder="1"/>
    <xf numFmtId="178" fontId="14" fillId="0" borderId="0" xfId="148" applyNumberFormat="1" applyBorder="1"/>
    <xf numFmtId="43" fontId="14" fillId="0" borderId="0" xfId="148" applyNumberFormat="1" applyBorder="1"/>
    <xf numFmtId="37" fontId="0" fillId="0" borderId="0" xfId="0" applyNumberFormat="1"/>
    <xf numFmtId="0" fontId="12" fillId="0" borderId="0" xfId="148" applyFont="1" applyBorder="1" applyAlignment="1">
      <alignment horizontal="center"/>
    </xf>
    <xf numFmtId="174" fontId="70" fillId="0" borderId="0" xfId="0" applyFont="1" applyAlignment="1">
      <alignment horizontal="left" vertical="center"/>
    </xf>
    <xf numFmtId="0" fontId="70" fillId="0" borderId="0" xfId="0" applyNumberFormat="1" applyFont="1" applyFill="1" applyAlignment="1">
      <alignment horizontal="center"/>
    </xf>
    <xf numFmtId="174" fontId="70" fillId="0" borderId="0" xfId="0" applyFont="1" applyAlignment="1">
      <alignment horizontal="center" vertical="center"/>
    </xf>
    <xf numFmtId="174" fontId="72" fillId="0" borderId="0" xfId="0" applyFont="1" applyAlignment="1">
      <alignment horizontal="center" vertical="center"/>
    </xf>
    <xf numFmtId="174" fontId="70" fillId="22" borderId="0" xfId="0" applyFont="1" applyFill="1" applyAlignment="1">
      <alignment vertical="center"/>
    </xf>
    <xf numFmtId="174" fontId="70" fillId="21" borderId="0" xfId="0" applyFont="1" applyFill="1" applyAlignment="1">
      <alignment vertical="center"/>
    </xf>
    <xf numFmtId="174" fontId="72" fillId="0" borderId="21" xfId="0" applyFont="1" applyBorder="1" applyAlignment="1">
      <alignment horizontal="center" vertical="center"/>
    </xf>
    <xf numFmtId="174" fontId="70" fillId="21" borderId="21" xfId="0" applyFont="1" applyFill="1" applyBorder="1" applyAlignment="1">
      <alignment vertical="center"/>
    </xf>
    <xf numFmtId="178" fontId="71" fillId="0" borderId="22" xfId="59" applyNumberFormat="1" applyFont="1" applyBorder="1" applyAlignment="1">
      <alignment horizontal="center" vertical="center"/>
    </xf>
    <xf numFmtId="1" fontId="26" fillId="0" borderId="0" xfId="133" applyNumberFormat="1" applyFont="1" applyFill="1" applyBorder="1" applyAlignment="1"/>
    <xf numFmtId="174" fontId="70" fillId="22" borderId="0" xfId="0" applyFont="1" applyFill="1" applyBorder="1" applyAlignment="1">
      <alignment vertical="center"/>
    </xf>
    <xf numFmtId="174" fontId="70" fillId="21" borderId="0" xfId="0" applyFont="1" applyFill="1" applyBorder="1" applyAlignment="1">
      <alignment vertical="center"/>
    </xf>
    <xf numFmtId="174" fontId="70" fillId="22" borderId="21" xfId="0" applyFont="1" applyFill="1" applyBorder="1" applyAlignment="1">
      <alignment vertical="center"/>
    </xf>
    <xf numFmtId="0" fontId="47" fillId="0" borderId="21" xfId="137" applyFont="1" applyBorder="1" applyAlignment="1">
      <alignment horizontal="center" wrapText="1"/>
    </xf>
    <xf numFmtId="0" fontId="47" fillId="0" borderId="0" xfId="137" applyFont="1" applyBorder="1" applyAlignment="1">
      <alignment horizontal="center" wrapText="1"/>
    </xf>
    <xf numFmtId="37" fontId="124" fillId="0" borderId="2" xfId="148" applyNumberFormat="1" applyFont="1" applyFill="1" applyBorder="1"/>
    <xf numFmtId="37" fontId="14" fillId="0" borderId="2" xfId="148" applyNumberFormat="1" applyFill="1" applyBorder="1"/>
    <xf numFmtId="0" fontId="14" fillId="0" borderId="2" xfId="148" applyBorder="1"/>
    <xf numFmtId="170" fontId="78" fillId="0" borderId="26" xfId="0" applyNumberFormat="1" applyFont="1" applyFill="1" applyBorder="1" applyAlignment="1" applyProtection="1">
      <alignment horizontal="center"/>
      <protection locked="0"/>
    </xf>
    <xf numFmtId="174" fontId="78" fillId="21" borderId="24" xfId="0" applyFont="1" applyFill="1" applyBorder="1" applyAlignment="1" applyProtection="1">
      <alignment horizontal="center" vertical="center" wrapText="1"/>
      <protection locked="0"/>
    </xf>
    <xf numFmtId="174" fontId="78" fillId="21" borderId="0" xfId="0" applyFont="1" applyFill="1" applyProtection="1">
      <protection locked="0"/>
    </xf>
    <xf numFmtId="174" fontId="19" fillId="21" borderId="0" xfId="0" applyFont="1" applyFill="1" applyBorder="1" applyAlignment="1"/>
    <xf numFmtId="174" fontId="26" fillId="21" borderId="0" xfId="0" applyFont="1" applyFill="1" applyBorder="1" applyAlignment="1">
      <alignment horizontal="left"/>
    </xf>
    <xf numFmtId="174" fontId="48" fillId="0" borderId="0" xfId="0" applyFont="1" applyFill="1" applyBorder="1" applyAlignment="1">
      <alignment horizontal="left"/>
    </xf>
    <xf numFmtId="174" fontId="26" fillId="21" borderId="0" xfId="0" applyFont="1" applyFill="1" applyBorder="1" applyAlignment="1">
      <alignment horizontal="left" wrapText="1"/>
    </xf>
    <xf numFmtId="174" fontId="19" fillId="21" borderId="0" xfId="0" applyFont="1" applyFill="1" applyBorder="1" applyAlignment="1">
      <alignment horizontal="left" wrapText="1"/>
    </xf>
    <xf numFmtId="174" fontId="48" fillId="0" borderId="0" xfId="0" applyFont="1" applyFill="1" applyBorder="1" applyAlignment="1">
      <alignment horizontal="left" wrapText="1"/>
    </xf>
    <xf numFmtId="0" fontId="11" fillId="0" borderId="0" xfId="148" applyFont="1" applyBorder="1" applyAlignment="1">
      <alignment horizontal="center"/>
    </xf>
    <xf numFmtId="174" fontId="73" fillId="0" borderId="0" xfId="0" applyFont="1" applyFill="1" applyAlignment="1">
      <alignment horizontal="center" vertical="center"/>
    </xf>
    <xf numFmtId="174" fontId="71" fillId="0" borderId="0" xfId="0" applyFont="1" applyFill="1" applyAlignment="1">
      <alignment horizontal="right" vertical="center"/>
    </xf>
    <xf numFmtId="49" fontId="70" fillId="0" borderId="0" xfId="0" applyNumberFormat="1" applyFont="1" applyFill="1" applyAlignment="1">
      <alignment vertical="center"/>
    </xf>
    <xf numFmtId="178" fontId="71" fillId="0" borderId="0" xfId="59" applyNumberFormat="1" applyFont="1" applyFill="1" applyAlignment="1">
      <alignment vertical="center"/>
    </xf>
    <xf numFmtId="174" fontId="72" fillId="0" borderId="0" xfId="0" applyFont="1" applyFill="1" applyAlignment="1">
      <alignment vertical="center"/>
    </xf>
    <xf numFmtId="174" fontId="73" fillId="0" borderId="0" xfId="0" applyFont="1" applyFill="1" applyAlignment="1">
      <alignment horizontal="right" vertical="center"/>
    </xf>
    <xf numFmtId="178" fontId="73" fillId="0" borderId="0" xfId="59" applyNumberFormat="1" applyFont="1" applyFill="1" applyAlignment="1">
      <alignment horizontal="center" vertical="center"/>
    </xf>
    <xf numFmtId="178" fontId="51" fillId="0" borderId="0" xfId="59" applyNumberFormat="1" applyFont="1"/>
    <xf numFmtId="170" fontId="78" fillId="21" borderId="26" xfId="0" applyNumberFormat="1" applyFont="1" applyFill="1" applyBorder="1" applyAlignment="1" applyProtection="1">
      <alignment horizontal="center"/>
      <protection locked="0"/>
    </xf>
    <xf numFmtId="178" fontId="70" fillId="21" borderId="0" xfId="59" applyNumberFormat="1" applyFont="1" applyFill="1" applyAlignment="1">
      <alignment horizontal="center" vertical="center"/>
    </xf>
    <xf numFmtId="170" fontId="70" fillId="21" borderId="0" xfId="0" applyNumberFormat="1" applyFont="1" applyFill="1" applyAlignment="1"/>
    <xf numFmtId="43" fontId="127" fillId="26" borderId="0" xfId="59" applyFont="1" applyFill="1" applyBorder="1" applyAlignment="1"/>
    <xf numFmtId="174" fontId="59" fillId="26" borderId="18" xfId="0" applyFont="1" applyFill="1" applyBorder="1" applyAlignment="1"/>
    <xf numFmtId="10" fontId="81" fillId="0" borderId="0" xfId="85" applyNumberFormat="1" applyFont="1" applyAlignment="1">
      <alignment horizontal="center"/>
    </xf>
    <xf numFmtId="0" fontId="128" fillId="0" borderId="0" xfId="129" applyFont="1" applyAlignment="1">
      <alignment horizontal="center"/>
    </xf>
    <xf numFmtId="0" fontId="82" fillId="0" borderId="0" xfId="129" applyFont="1" applyFill="1"/>
    <xf numFmtId="0" fontId="83" fillId="0" borderId="0" xfId="129" applyFont="1" applyFill="1"/>
    <xf numFmtId="174" fontId="48" fillId="0" borderId="0" xfId="0" applyFont="1" applyAlignment="1">
      <alignment horizontal="center"/>
    </xf>
    <xf numFmtId="0" fontId="124" fillId="0" borderId="46" xfId="148" applyFont="1" applyBorder="1" applyAlignment="1">
      <alignment horizontal="center"/>
    </xf>
    <xf numFmtId="0" fontId="14" fillId="0" borderId="24" xfId="148" applyBorder="1"/>
    <xf numFmtId="37" fontId="124" fillId="0" borderId="25" xfId="148" applyNumberFormat="1" applyFont="1" applyFill="1" applyBorder="1" applyAlignment="1">
      <alignment wrapText="1"/>
    </xf>
    <xf numFmtId="37" fontId="14" fillId="21" borderId="51" xfId="148" applyNumberFormat="1" applyFill="1" applyBorder="1"/>
    <xf numFmtId="37" fontId="14" fillId="0" borderId="25" xfId="148" applyNumberFormat="1" applyFill="1" applyBorder="1"/>
    <xf numFmtId="37" fontId="124" fillId="0" borderId="25" xfId="148" applyNumberFormat="1" applyFont="1" applyFill="1" applyBorder="1"/>
    <xf numFmtId="37" fontId="124" fillId="0" borderId="26" xfId="148" applyNumberFormat="1" applyFont="1" applyFill="1" applyBorder="1"/>
    <xf numFmtId="37" fontId="124" fillId="0" borderId="48" xfId="148" applyNumberFormat="1" applyFont="1" applyFill="1" applyBorder="1"/>
    <xf numFmtId="37" fontId="14" fillId="0" borderId="49" xfId="148" applyNumberFormat="1" applyFill="1" applyBorder="1"/>
    <xf numFmtId="185" fontId="21" fillId="0" borderId="22" xfId="85" applyNumberFormat="1" applyFont="1" applyFill="1" applyBorder="1" applyAlignment="1"/>
    <xf numFmtId="174" fontId="48" fillId="21" borderId="0" xfId="0" applyFont="1" applyFill="1" applyBorder="1" applyAlignment="1"/>
    <xf numFmtId="17" fontId="49" fillId="21" borderId="14" xfId="0" applyNumberFormat="1" applyFont="1" applyFill="1" applyBorder="1" applyAlignment="1">
      <alignment horizontal="center" wrapText="1"/>
    </xf>
    <xf numFmtId="49" fontId="19" fillId="21" borderId="0" xfId="81" applyNumberFormat="1" applyFont="1" applyFill="1" applyBorder="1"/>
    <xf numFmtId="0" fontId="10" fillId="0" borderId="35" xfId="148" applyFont="1" applyBorder="1" applyAlignment="1">
      <alignment horizontal="center" wrapText="1"/>
    </xf>
    <xf numFmtId="0" fontId="10" fillId="0" borderId="11" xfId="148" applyFont="1" applyBorder="1" applyAlignment="1">
      <alignment horizontal="center" wrapText="1"/>
    </xf>
    <xf numFmtId="37" fontId="10" fillId="0" borderId="0" xfId="148" applyNumberFormat="1" applyFont="1" applyFill="1"/>
    <xf numFmtId="37" fontId="10" fillId="0" borderId="37" xfId="148" applyNumberFormat="1" applyFont="1" applyFill="1" applyBorder="1"/>
    <xf numFmtId="37" fontId="10" fillId="0" borderId="0" xfId="148" applyNumberFormat="1" applyFont="1"/>
    <xf numFmtId="37" fontId="10" fillId="0" borderId="0" xfId="148" applyNumberFormat="1" applyFont="1" applyBorder="1"/>
    <xf numFmtId="37" fontId="10" fillId="0" borderId="0" xfId="148" applyNumberFormat="1" applyFont="1" applyFill="1" applyBorder="1"/>
    <xf numFmtId="37" fontId="14" fillId="0" borderId="28" xfId="148" applyNumberFormat="1" applyFill="1" applyBorder="1"/>
    <xf numFmtId="37" fontId="124" fillId="0" borderId="28" xfId="148" applyNumberFormat="1" applyFont="1" applyFill="1" applyBorder="1"/>
    <xf numFmtId="178" fontId="10" fillId="0" borderId="0" xfId="59" applyNumberFormat="1" applyFont="1" applyFill="1" applyBorder="1"/>
    <xf numFmtId="178" fontId="9" fillId="0" borderId="0" xfId="59" applyNumberFormat="1" applyFont="1" applyBorder="1"/>
    <xf numFmtId="43" fontId="9" fillId="0" borderId="0" xfId="59" applyNumberFormat="1" applyFont="1" applyBorder="1"/>
    <xf numFmtId="174" fontId="70" fillId="0" borderId="0" xfId="0" applyFont="1" applyAlignment="1">
      <alignment horizontal="center" vertical="center"/>
    </xf>
    <xf numFmtId="174" fontId="73" fillId="0" borderId="0" xfId="0" applyFont="1" applyAlignment="1">
      <alignment horizontal="left" vertical="center"/>
    </xf>
    <xf numFmtId="174" fontId="72" fillId="0" borderId="0" xfId="0" applyFont="1" applyAlignment="1">
      <alignment horizontal="left" vertical="center"/>
    </xf>
    <xf numFmtId="3" fontId="26" fillId="0" borderId="0" xfId="132" applyNumberFormat="1" applyFont="1" applyBorder="1" applyAlignment="1">
      <alignment horizontal="left" wrapText="1"/>
    </xf>
    <xf numFmtId="174" fontId="71" fillId="0" borderId="21" xfId="0" applyFont="1" applyBorder="1" applyAlignment="1">
      <alignment horizontal="center" vertical="center"/>
    </xf>
    <xf numFmtId="3" fontId="71" fillId="0" borderId="0" xfId="0" applyNumberFormat="1" applyFont="1" applyFill="1" applyAlignment="1">
      <alignment horizontal="left" vertical="center"/>
    </xf>
    <xf numFmtId="0" fontId="129" fillId="0" borderId="46" xfId="148" applyFont="1" applyBorder="1" applyAlignment="1">
      <alignment horizontal="center" wrapText="1"/>
    </xf>
    <xf numFmtId="174" fontId="0" fillId="0" borderId="0" xfId="0" applyFont="1" applyAlignment="1"/>
    <xf numFmtId="182" fontId="78" fillId="21" borderId="0" xfId="85" applyNumberFormat="1" applyFont="1" applyFill="1" applyProtection="1">
      <protection locked="0"/>
    </xf>
    <xf numFmtId="174" fontId="48" fillId="0" borderId="0" xfId="0" applyFont="1" applyFill="1" applyAlignment="1">
      <alignment horizontal="center" vertical="top"/>
    </xf>
    <xf numFmtId="174" fontId="131" fillId="0" borderId="0" xfId="0" applyFont="1" applyAlignment="1"/>
    <xf numFmtId="174" fontId="52" fillId="0" borderId="0" xfId="0" applyFont="1" applyAlignment="1"/>
    <xf numFmtId="174" fontId="49" fillId="0" borderId="0" xfId="0" applyFont="1" applyAlignment="1">
      <alignment horizontal="center" wrapText="1"/>
    </xf>
    <xf numFmtId="174" fontId="49" fillId="0" borderId="0" xfId="0" applyFont="1" applyAlignment="1">
      <alignment horizontal="center" vertical="center" wrapText="1"/>
    </xf>
    <xf numFmtId="174" fontId="49" fillId="0" borderId="0" xfId="0" applyFont="1" applyAlignment="1"/>
    <xf numFmtId="174" fontId="49" fillId="0" borderId="11" xfId="0" applyFont="1" applyBorder="1" applyAlignment="1"/>
    <xf numFmtId="174" fontId="48" fillId="30" borderId="0" xfId="0" applyFont="1" applyFill="1" applyBorder="1" applyAlignment="1"/>
    <xf numFmtId="174" fontId="132" fillId="0" borderId="0" xfId="0" applyFont="1" applyAlignment="1"/>
    <xf numFmtId="174" fontId="48" fillId="30" borderId="0" xfId="0" applyFont="1" applyFill="1" applyAlignment="1"/>
    <xf numFmtId="170" fontId="48" fillId="21" borderId="0" xfId="0" applyNumberFormat="1" applyFont="1" applyFill="1" applyAlignment="1"/>
    <xf numFmtId="170" fontId="48" fillId="30" borderId="0" xfId="0" applyNumberFormat="1" applyFont="1" applyFill="1" applyAlignment="1"/>
    <xf numFmtId="170" fontId="48" fillId="0" borderId="32" xfId="0" applyNumberFormat="1" applyFont="1" applyBorder="1" applyAlignment="1"/>
    <xf numFmtId="172" fontId="48" fillId="0" borderId="0" xfId="0" applyNumberFormat="1" applyFont="1" applyAlignment="1">
      <alignment horizontal="center"/>
    </xf>
    <xf numFmtId="170" fontId="48" fillId="21" borderId="11" xfId="0" applyNumberFormat="1" applyFont="1" applyFill="1" applyBorder="1" applyAlignment="1"/>
    <xf numFmtId="170" fontId="48" fillId="0" borderId="0" xfId="0" applyNumberFormat="1" applyFont="1" applyBorder="1" applyAlignment="1"/>
    <xf numFmtId="170" fontId="49" fillId="0" borderId="27" xfId="0" applyNumberFormat="1" applyFont="1" applyBorder="1" applyAlignment="1"/>
    <xf numFmtId="172" fontId="48" fillId="0" borderId="0" xfId="0" applyNumberFormat="1" applyFont="1" applyAlignment="1"/>
    <xf numFmtId="174" fontId="49" fillId="0" borderId="0" xfId="0" applyFont="1" applyBorder="1" applyAlignment="1"/>
    <xf numFmtId="174" fontId="48" fillId="22" borderId="0" xfId="0" applyFont="1" applyFill="1" applyAlignment="1"/>
    <xf numFmtId="3" fontId="48" fillId="0" borderId="0" xfId="0" quotePrefix="1" applyNumberFormat="1" applyFont="1" applyAlignment="1">
      <alignment horizontal="center"/>
    </xf>
    <xf numFmtId="170" fontId="48" fillId="22" borderId="0" xfId="0" applyNumberFormat="1" applyFont="1" applyFill="1" applyAlignment="1"/>
    <xf numFmtId="0" fontId="8" fillId="0" borderId="0" xfId="161" applyFill="1"/>
    <xf numFmtId="0" fontId="8" fillId="0" borderId="0" xfId="161"/>
    <xf numFmtId="0" fontId="19" fillId="0" borderId="0" xfId="161" applyNumberFormat="1" applyFont="1" applyAlignment="1">
      <alignment horizontal="right"/>
    </xf>
    <xf numFmtId="0" fontId="8" fillId="0" borderId="0" xfId="161" applyAlignment="1">
      <alignment horizontal="center"/>
    </xf>
    <xf numFmtId="0" fontId="19" fillId="0" borderId="0" xfId="161" applyNumberFormat="1" applyFont="1" applyFill="1" applyAlignment="1">
      <alignment horizontal="right"/>
    </xf>
    <xf numFmtId="0" fontId="134" fillId="0" borderId="0" xfId="161" applyFont="1"/>
    <xf numFmtId="3" fontId="19" fillId="0" borderId="0" xfId="154" applyNumberFormat="1" applyFont="1" applyFill="1" applyAlignment="1"/>
    <xf numFmtId="0" fontId="114" fillId="0" borderId="0" xfId="154" applyFont="1" applyFill="1" applyAlignment="1">
      <alignment horizontal="center"/>
    </xf>
    <xf numFmtId="0" fontId="19" fillId="0" borderId="0" xfId="154" applyFont="1" applyFill="1" applyAlignment="1">
      <alignment horizontal="center"/>
    </xf>
    <xf numFmtId="0" fontId="114" fillId="21" borderId="0" xfId="154" applyFont="1" applyFill="1" applyAlignment="1">
      <alignment horizontal="center"/>
    </xf>
    <xf numFmtId="0" fontId="8" fillId="0" borderId="11" xfId="161" applyBorder="1" applyAlignment="1">
      <alignment horizontal="center"/>
    </xf>
    <xf numFmtId="3" fontId="19" fillId="0" borderId="0" xfId="154" applyNumberFormat="1" applyFont="1" applyFill="1" applyAlignment="1">
      <alignment horizontal="left"/>
    </xf>
    <xf numFmtId="37" fontId="19" fillId="21" borderId="0" xfId="154" applyNumberFormat="1" applyFont="1" applyFill="1" applyAlignment="1"/>
    <xf numFmtId="37" fontId="8" fillId="0" borderId="0" xfId="161" applyNumberFormat="1"/>
    <xf numFmtId="37" fontId="19" fillId="0" borderId="27" xfId="154" applyNumberFormat="1" applyFont="1" applyFill="1" applyBorder="1" applyAlignment="1"/>
    <xf numFmtId="37" fontId="19" fillId="0" borderId="0" xfId="154" applyNumberFormat="1" applyFont="1" applyFill="1" applyBorder="1" applyAlignment="1"/>
    <xf numFmtId="0" fontId="19" fillId="0" borderId="0" xfId="154" applyFont="1" applyFill="1" applyAlignment="1"/>
    <xf numFmtId="37" fontId="19" fillId="0" borderId="0" xfId="154" applyNumberFormat="1" applyFont="1" applyFill="1" applyAlignment="1"/>
    <xf numFmtId="37" fontId="19" fillId="0" borderId="11" xfId="154" applyNumberFormat="1" applyFont="1" applyFill="1" applyBorder="1" applyAlignment="1"/>
    <xf numFmtId="0" fontId="19" fillId="0" borderId="0" xfId="154" applyFill="1" applyAlignment="1"/>
    <xf numFmtId="0" fontId="19" fillId="21" borderId="0" xfId="154" applyFill="1" applyAlignment="1"/>
    <xf numFmtId="0" fontId="114" fillId="0" borderId="0" xfId="154" applyFont="1" applyAlignment="1">
      <alignment horizontal="center"/>
    </xf>
    <xf numFmtId="3" fontId="19" fillId="0" borderId="0" xfId="154" applyNumberFormat="1" applyFont="1" applyAlignment="1"/>
    <xf numFmtId="0" fontId="19" fillId="0" borderId="0" xfId="154"/>
    <xf numFmtId="0" fontId="19" fillId="0" borderId="0" xfId="154" applyFont="1" applyAlignment="1">
      <alignment horizontal="center"/>
    </xf>
    <xf numFmtId="37" fontId="19" fillId="0" borderId="0" xfId="154" applyNumberFormat="1" applyFill="1" applyAlignment="1"/>
    <xf numFmtId="37" fontId="19" fillId="0" borderId="0" xfId="154" applyNumberFormat="1" applyFont="1" applyAlignment="1"/>
    <xf numFmtId="37" fontId="19" fillId="21" borderId="0" xfId="154" applyNumberFormat="1" applyFill="1" applyAlignment="1"/>
    <xf numFmtId="37" fontId="19" fillId="0" borderId="27" xfId="154" applyNumberFormat="1" applyFont="1" applyBorder="1" applyAlignment="1"/>
    <xf numFmtId="0" fontId="70" fillId="0" borderId="0" xfId="161" applyFont="1" applyAlignment="1">
      <alignment horizontal="center" vertical="center"/>
    </xf>
    <xf numFmtId="0" fontId="70" fillId="0" borderId="0" xfId="161" applyFont="1" applyAlignment="1">
      <alignment vertical="center"/>
    </xf>
    <xf numFmtId="0" fontId="48" fillId="0" borderId="0" xfId="161" applyFont="1" applyAlignment="1">
      <alignment horizontal="right" vertical="center"/>
    </xf>
    <xf numFmtId="0" fontId="72" fillId="0" borderId="0" xfId="161" applyFont="1" applyAlignment="1">
      <alignment horizontal="center" vertical="center"/>
    </xf>
    <xf numFmtId="0" fontId="48" fillId="0" borderId="0" xfId="161" applyNumberFormat="1" applyFont="1" applyFill="1" applyAlignment="1">
      <alignment horizontal="right"/>
    </xf>
    <xf numFmtId="0" fontId="74" fillId="0" borderId="0" xfId="161" applyFont="1" applyAlignment="1">
      <alignment horizontal="left" vertical="center"/>
    </xf>
    <xf numFmtId="0" fontId="70" fillId="0" borderId="0" xfId="161" applyFont="1" applyFill="1" applyAlignment="1">
      <alignment vertical="center"/>
    </xf>
    <xf numFmtId="0" fontId="8" fillId="0" borderId="0" xfId="161" applyFont="1" applyBorder="1" applyAlignment="1">
      <alignment horizontal="center"/>
    </xf>
    <xf numFmtId="0" fontId="8" fillId="0" borderId="11" xfId="161" applyBorder="1"/>
    <xf numFmtId="0" fontId="135" fillId="0" borderId="0" xfId="161" applyNumberFormat="1" applyFont="1" applyAlignment="1">
      <alignment horizontal="center" vertical="center"/>
    </xf>
    <xf numFmtId="49" fontId="135" fillId="0" borderId="0" xfId="161" applyNumberFormat="1" applyFont="1" applyAlignment="1">
      <alignment vertical="center"/>
    </xf>
    <xf numFmtId="0" fontId="135" fillId="21" borderId="0" xfId="161" applyNumberFormat="1" applyFont="1" applyFill="1" applyAlignment="1">
      <alignment vertical="center"/>
    </xf>
    <xf numFmtId="0" fontId="135" fillId="21" borderId="0" xfId="161" applyFont="1" applyFill="1" applyAlignment="1">
      <alignment vertical="center"/>
    </xf>
    <xf numFmtId="178" fontId="135" fillId="0" borderId="0" xfId="162" applyNumberFormat="1" applyFont="1" applyFill="1" applyAlignment="1">
      <alignment horizontal="center" vertical="center"/>
    </xf>
    <xf numFmtId="178" fontId="71" fillId="22" borderId="0" xfId="162" applyNumberFormat="1" applyFont="1" applyFill="1" applyAlignment="1">
      <alignment horizontal="center" vertical="center"/>
    </xf>
    <xf numFmtId="178" fontId="71" fillId="22" borderId="0" xfId="162" applyNumberFormat="1" applyFont="1" applyFill="1" applyAlignment="1">
      <alignment vertical="center"/>
    </xf>
    <xf numFmtId="178" fontId="71" fillId="0" borderId="0" xfId="162" applyNumberFormat="1" applyFont="1" applyAlignment="1">
      <alignment vertical="center"/>
    </xf>
    <xf numFmtId="0" fontId="135" fillId="0" borderId="0" xfId="161" applyFont="1" applyAlignment="1">
      <alignment vertical="center"/>
    </xf>
    <xf numFmtId="0" fontId="70" fillId="0" borderId="0" xfId="161" applyFont="1" applyAlignment="1">
      <alignment horizontal="right" vertical="center"/>
    </xf>
    <xf numFmtId="0" fontId="70" fillId="0" borderId="0" xfId="161" applyNumberFormat="1" applyFont="1" applyFill="1" applyAlignment="1">
      <alignment horizontal="right"/>
    </xf>
    <xf numFmtId="0" fontId="8" fillId="0" borderId="0" xfId="161" applyBorder="1"/>
    <xf numFmtId="0" fontId="8" fillId="21" borderId="0" xfId="161" applyFill="1"/>
    <xf numFmtId="2" fontId="8" fillId="0" borderId="0" xfId="161" applyNumberFormat="1"/>
    <xf numFmtId="0" fontId="8" fillId="0" borderId="0" xfId="161" applyAlignment="1">
      <alignment horizontal="right"/>
    </xf>
    <xf numFmtId="174" fontId="97" fillId="0" borderId="0" xfId="0" applyFont="1" applyAlignment="1"/>
    <xf numFmtId="1" fontId="97" fillId="0" borderId="0" xfId="80" applyNumberFormat="1" applyFont="1" applyFill="1" applyBorder="1" applyAlignment="1">
      <alignment horizontal="center"/>
    </xf>
    <xf numFmtId="174" fontId="85" fillId="0" borderId="0" xfId="0" applyFont="1" applyAlignment="1">
      <alignment horizontal="center"/>
    </xf>
    <xf numFmtId="1" fontId="85" fillId="21" borderId="0" xfId="0" applyNumberFormat="1" applyFont="1" applyFill="1" applyAlignment="1">
      <alignment horizontal="center"/>
    </xf>
    <xf numFmtId="174" fontId="85" fillId="0" borderId="0" xfId="0" applyFont="1" applyAlignment="1">
      <alignment horizontal="left"/>
    </xf>
    <xf numFmtId="43" fontId="70" fillId="0" borderId="0" xfId="59" applyNumberFormat="1" applyFont="1" applyFill="1" applyAlignment="1">
      <alignment horizontal="center" vertical="center"/>
    </xf>
    <xf numFmtId="0" fontId="48" fillId="0" borderId="0" xfId="0" applyNumberFormat="1" applyFont="1" applyFill="1" applyAlignment="1">
      <alignment vertical="top" wrapText="1"/>
    </xf>
    <xf numFmtId="174" fontId="70" fillId="0" borderId="0" xfId="0" applyFont="1" applyAlignment="1">
      <alignment horizontal="center" vertical="center"/>
    </xf>
    <xf numFmtId="170" fontId="48" fillId="0" borderId="0" xfId="0" applyNumberFormat="1" applyFont="1" applyAlignment="1"/>
    <xf numFmtId="0" fontId="19" fillId="0" borderId="0" xfId="0" applyNumberFormat="1" applyFont="1" applyFill="1" applyAlignment="1">
      <alignment horizontal="right"/>
    </xf>
    <xf numFmtId="174" fontId="48" fillId="0" borderId="0" xfId="0" quotePrefix="1" applyFont="1" applyAlignment="1"/>
    <xf numFmtId="15" fontId="48" fillId="21" borderId="0" xfId="0" quotePrefix="1" applyNumberFormat="1" applyFont="1" applyFill="1" applyAlignment="1">
      <alignment horizontal="center" vertical="top" wrapText="1"/>
    </xf>
    <xf numFmtId="174" fontId="52" fillId="0" borderId="0" xfId="0" applyFont="1" applyAlignment="1">
      <alignment horizontal="center"/>
    </xf>
    <xf numFmtId="0" fontId="19" fillId="0" borderId="0" xfId="129" applyFont="1" applyAlignment="1">
      <alignment horizontal="left"/>
    </xf>
    <xf numFmtId="0" fontId="19" fillId="0" borderId="0" xfId="129" applyFont="1"/>
    <xf numFmtId="10" fontId="19" fillId="0" borderId="0" xfId="85" applyNumberFormat="1" applyFont="1" applyAlignment="1">
      <alignment horizontal="center"/>
    </xf>
    <xf numFmtId="0" fontId="19" fillId="0" borderId="0" xfId="129" applyFont="1" applyFill="1" applyAlignment="1">
      <alignment horizontal="left"/>
    </xf>
    <xf numFmtId="0" fontId="19" fillId="0" borderId="0" xfId="129" applyFont="1" applyFill="1"/>
    <xf numFmtId="10" fontId="19" fillId="0" borderId="0" xfId="85" applyNumberFormat="1" applyFont="1" applyFill="1" applyAlignment="1">
      <alignment horizontal="center"/>
    </xf>
    <xf numFmtId="0" fontId="71" fillId="21" borderId="0" xfId="0" applyNumberFormat="1" applyFont="1" applyFill="1" applyAlignment="1">
      <alignment vertical="center"/>
    </xf>
    <xf numFmtId="174" fontId="71" fillId="21" borderId="0" xfId="0" applyFont="1" applyFill="1" applyAlignment="1">
      <alignment vertical="center"/>
    </xf>
    <xf numFmtId="0" fontId="48" fillId="21" borderId="0" xfId="129" applyFont="1" applyFill="1" applyAlignment="1"/>
    <xf numFmtId="174" fontId="85" fillId="21" borderId="0" xfId="0" applyFont="1" applyFill="1" applyAlignment="1">
      <alignment horizontal="center" vertical="center"/>
    </xf>
    <xf numFmtId="174" fontId="70" fillId="0" borderId="0" xfId="0" applyFont="1" applyAlignment="1">
      <alignment vertical="center"/>
    </xf>
    <xf numFmtId="174" fontId="70" fillId="0" borderId="0" xfId="0" applyFont="1" applyFill="1" applyAlignment="1">
      <alignment horizontal="center" vertical="center"/>
    </xf>
    <xf numFmtId="178" fontId="71" fillId="0" borderId="0" xfId="59" applyNumberFormat="1" applyFont="1" applyFill="1" applyAlignment="1">
      <alignment horizontal="center" vertical="center"/>
    </xf>
    <xf numFmtId="174" fontId="70" fillId="0" borderId="0" xfId="0" applyFont="1" applyFill="1" applyAlignment="1">
      <alignment vertical="center"/>
    </xf>
    <xf numFmtId="174" fontId="70" fillId="0" borderId="0" xfId="0" applyFont="1" applyAlignment="1">
      <alignment horizontal="left" vertical="center"/>
    </xf>
    <xf numFmtId="174" fontId="85" fillId="0" borderId="0" xfId="0" applyFont="1" applyAlignment="1">
      <alignment horizontal="center" vertical="center"/>
    </xf>
    <xf numFmtId="178" fontId="71" fillId="21" borderId="0" xfId="59" applyNumberFormat="1" applyFont="1" applyFill="1" applyAlignment="1">
      <alignment horizontal="left" vertical="center"/>
    </xf>
    <xf numFmtId="178" fontId="71" fillId="0" borderId="0" xfId="59" applyNumberFormat="1" applyFont="1" applyFill="1" applyAlignment="1">
      <alignment horizontal="left" vertical="center"/>
    </xf>
    <xf numFmtId="164" fontId="27" fillId="0" borderId="0" xfId="178" applyNumberFormat="1" applyFont="1" applyBorder="1" applyAlignment="1">
      <alignment horizontal="left"/>
    </xf>
    <xf numFmtId="0" fontId="47" fillId="0" borderId="0" xfId="178" applyFont="1" applyBorder="1"/>
    <xf numFmtId="14" fontId="47" fillId="0" borderId="0" xfId="178" applyNumberFormat="1" applyFont="1" applyBorder="1" applyAlignment="1">
      <alignment horizontal="center"/>
    </xf>
    <xf numFmtId="178" fontId="71" fillId="21" borderId="0" xfId="59" applyNumberFormat="1" applyFont="1" applyFill="1" applyBorder="1" applyAlignment="1">
      <alignment horizontal="center" vertical="center"/>
    </xf>
    <xf numFmtId="178" fontId="71" fillId="21" borderId="0" xfId="151" applyNumberFormat="1" applyFont="1" applyFill="1" applyBorder="1" applyAlignment="1">
      <alignment horizontal="center" vertical="center"/>
    </xf>
    <xf numFmtId="174" fontId="26" fillId="21" borderId="0" xfId="0" applyFont="1" applyFill="1" applyBorder="1" applyAlignment="1">
      <alignment horizontal="left" vertical="top" wrapText="1"/>
    </xf>
    <xf numFmtId="1" fontId="26" fillId="21" borderId="0" xfId="0" applyNumberFormat="1" applyFont="1" applyFill="1" applyBorder="1" applyAlignment="1">
      <alignment horizontal="left"/>
    </xf>
    <xf numFmtId="175" fontId="26" fillId="21" borderId="0" xfId="63" applyNumberFormat="1" applyFont="1" applyFill="1" applyBorder="1" applyAlignment="1"/>
    <xf numFmtId="175" fontId="26" fillId="21" borderId="0" xfId="0" applyNumberFormat="1" applyFont="1" applyFill="1" applyBorder="1" applyAlignment="1"/>
    <xf numFmtId="175" fontId="48" fillId="21" borderId="0" xfId="63" applyNumberFormat="1" applyFont="1" applyFill="1" applyBorder="1" applyAlignment="1"/>
    <xf numFmtId="174" fontId="59" fillId="0" borderId="0" xfId="0" applyFont="1" applyBorder="1" applyAlignment="1"/>
    <xf numFmtId="174" fontId="59" fillId="22" borderId="0" xfId="0" applyFont="1" applyFill="1" applyBorder="1" applyAlignment="1"/>
    <xf numFmtId="43" fontId="8" fillId="0" borderId="0" xfId="59" applyFont="1"/>
    <xf numFmtId="174" fontId="137" fillId="0" borderId="0" xfId="0" applyFont="1" applyAlignment="1"/>
    <xf numFmtId="0" fontId="137" fillId="0" borderId="0" xfId="0" applyNumberFormat="1" applyFont="1" applyAlignment="1"/>
    <xf numFmtId="0" fontId="137" fillId="0" borderId="0" xfId="0" applyNumberFormat="1" applyFont="1" applyAlignment="1">
      <alignment horizontal="left"/>
    </xf>
    <xf numFmtId="0" fontId="137" fillId="0" borderId="0" xfId="0" applyNumberFormat="1" applyFont="1"/>
    <xf numFmtId="0" fontId="137" fillId="0" borderId="0" xfId="0" applyNumberFormat="1" applyFont="1" applyAlignment="1">
      <alignment horizontal="right"/>
    </xf>
    <xf numFmtId="0" fontId="137" fillId="21" borderId="0" xfId="0" applyNumberFormat="1" applyFont="1" applyFill="1"/>
    <xf numFmtId="174" fontId="137" fillId="21" borderId="0" xfId="0" applyFont="1" applyFill="1" applyAlignment="1"/>
    <xf numFmtId="3" fontId="137" fillId="0" borderId="0" xfId="0" applyNumberFormat="1" applyFont="1" applyFill="1" applyAlignment="1"/>
    <xf numFmtId="3" fontId="137" fillId="0" borderId="0" xfId="0" applyNumberFormat="1" applyFont="1" applyAlignment="1"/>
    <xf numFmtId="0" fontId="137" fillId="0" borderId="0" xfId="0" applyNumberFormat="1" applyFont="1" applyAlignment="1">
      <alignment horizontal="center"/>
    </xf>
    <xf numFmtId="49" fontId="137" fillId="0" borderId="0" xfId="0" applyNumberFormat="1" applyFont="1" applyFill="1"/>
    <xf numFmtId="49" fontId="137" fillId="0" borderId="0" xfId="0" applyNumberFormat="1" applyFont="1" applyAlignment="1">
      <alignment horizontal="left"/>
    </xf>
    <xf numFmtId="49" fontId="137" fillId="0" borderId="0" xfId="0" applyNumberFormat="1" applyFont="1" applyAlignment="1">
      <alignment horizontal="center"/>
    </xf>
    <xf numFmtId="49" fontId="137" fillId="0" borderId="0" xfId="0" applyNumberFormat="1" applyFont="1"/>
    <xf numFmtId="0" fontId="137" fillId="0" borderId="6" xfId="0" applyNumberFormat="1" applyFont="1" applyBorder="1" applyAlignment="1">
      <alignment horizontal="center"/>
    </xf>
    <xf numFmtId="0" fontId="137" fillId="0" borderId="0" xfId="0" applyNumberFormat="1" applyFont="1" applyFill="1" applyBorder="1" applyAlignment="1">
      <alignment horizontal="right"/>
    </xf>
    <xf numFmtId="3" fontId="137" fillId="0" borderId="0" xfId="0" applyNumberFormat="1" applyFont="1"/>
    <xf numFmtId="42" fontId="137" fillId="0" borderId="0" xfId="0" applyNumberFormat="1" applyFont="1" applyFill="1"/>
    <xf numFmtId="42" fontId="137" fillId="0" borderId="0" xfId="0" applyNumberFormat="1" applyFont="1" applyFill="1" applyBorder="1"/>
    <xf numFmtId="179" fontId="137" fillId="0" borderId="0" xfId="85" applyNumberFormat="1" applyFont="1" applyAlignment="1"/>
    <xf numFmtId="0" fontId="137" fillId="0" borderId="6" xfId="0" applyNumberFormat="1" applyFont="1" applyBorder="1" applyAlignment="1">
      <alignment horizontal="centerContinuous"/>
    </xf>
    <xf numFmtId="0" fontId="137" fillId="0" borderId="0" xfId="0" applyNumberFormat="1" applyFont="1" applyFill="1" applyAlignment="1">
      <alignment horizontal="center"/>
    </xf>
    <xf numFmtId="0" fontId="137" fillId="0" borderId="0" xfId="0" applyNumberFormat="1" applyFont="1" applyFill="1" applyAlignment="1"/>
    <xf numFmtId="178" fontId="137" fillId="0" borderId="0" xfId="0" applyNumberFormat="1" applyFont="1" applyBorder="1" applyAlignment="1">
      <alignment horizontal="center"/>
    </xf>
    <xf numFmtId="166" fontId="137" fillId="0" borderId="0" xfId="0" applyNumberFormat="1" applyFont="1" applyAlignment="1"/>
    <xf numFmtId="178" fontId="137" fillId="0" borderId="0" xfId="59" applyNumberFormat="1" applyFont="1" applyFill="1"/>
    <xf numFmtId="178" fontId="137" fillId="0" borderId="0" xfId="59" applyNumberFormat="1" applyFont="1" applyFill="1" applyAlignment="1"/>
    <xf numFmtId="37" fontId="137" fillId="0" borderId="0" xfId="63" applyNumberFormat="1" applyFont="1" applyFill="1"/>
    <xf numFmtId="37" fontId="137" fillId="0" borderId="0" xfId="0" applyNumberFormat="1" applyFont="1"/>
    <xf numFmtId="3" fontId="137" fillId="0" borderId="0" xfId="0" applyNumberFormat="1" applyFont="1" applyFill="1" applyBorder="1"/>
    <xf numFmtId="178" fontId="137" fillId="21" borderId="0" xfId="59" applyNumberFormat="1" applyFont="1" applyFill="1" applyAlignment="1"/>
    <xf numFmtId="178" fontId="138" fillId="0" borderId="0" xfId="59" applyNumberFormat="1" applyFont="1" applyFill="1" applyAlignment="1"/>
    <xf numFmtId="178" fontId="138" fillId="0" borderId="0" xfId="59" applyNumberFormat="1" applyFont="1" applyFill="1"/>
    <xf numFmtId="178" fontId="137" fillId="0" borderId="0" xfId="63" applyNumberFormat="1" applyFont="1" applyFill="1" applyAlignment="1">
      <alignment horizontal="right"/>
    </xf>
    <xf numFmtId="178" fontId="137" fillId="0" borderId="0" xfId="63" applyNumberFormat="1" applyFont="1" applyFill="1" applyBorder="1"/>
    <xf numFmtId="0" fontId="137" fillId="0" borderId="0" xfId="0" applyNumberFormat="1" applyFont="1" applyFill="1"/>
    <xf numFmtId="0" fontId="137" fillId="0" borderId="0" xfId="0" applyNumberFormat="1" applyFont="1" applyFill="1" applyAlignment="1">
      <alignment wrapText="1"/>
    </xf>
    <xf numFmtId="175" fontId="137" fillId="0" borderId="0" xfId="63" applyNumberFormat="1" applyFont="1" applyFill="1" applyAlignment="1">
      <alignment horizontal="right"/>
    </xf>
    <xf numFmtId="178" fontId="137" fillId="0" borderId="0" xfId="59" applyNumberFormat="1" applyFont="1" applyFill="1" applyBorder="1"/>
    <xf numFmtId="3" fontId="137" fillId="0" borderId="0" xfId="0" applyNumberFormat="1" applyFont="1" applyAlignment="1">
      <alignment horizontal="fill"/>
    </xf>
    <xf numFmtId="42" fontId="137" fillId="0" borderId="0" xfId="0" applyNumberFormat="1" applyFont="1" applyBorder="1" applyAlignment="1">
      <alignment horizontal="right"/>
    </xf>
    <xf numFmtId="3" fontId="137" fillId="0" borderId="6" xfId="0" applyNumberFormat="1" applyFont="1" applyBorder="1" applyAlignment="1">
      <alignment horizontal="center"/>
    </xf>
    <xf numFmtId="184" fontId="137" fillId="21" borderId="0" xfId="59" applyNumberFormat="1" applyFont="1" applyFill="1"/>
    <xf numFmtId="171" fontId="137" fillId="0" borderId="0" xfId="85" applyNumberFormat="1" applyFont="1" applyFill="1"/>
    <xf numFmtId="174" fontId="137" fillId="0" borderId="0" xfId="0" applyFont="1" applyFill="1" applyAlignment="1"/>
    <xf numFmtId="171" fontId="137" fillId="0" borderId="0" xfId="0" applyNumberFormat="1" applyFont="1" applyFill="1"/>
    <xf numFmtId="0" fontId="137" fillId="0" borderId="0" xfId="0" applyNumberFormat="1" applyFont="1" applyFill="1" applyBorder="1"/>
    <xf numFmtId="43" fontId="137" fillId="0" borderId="0" xfId="59" applyFont="1" applyAlignment="1"/>
    <xf numFmtId="44" fontId="137" fillId="0" borderId="0" xfId="63" applyFont="1" applyFill="1" applyBorder="1"/>
    <xf numFmtId="44" fontId="137" fillId="0" borderId="0" xfId="63" applyFont="1"/>
    <xf numFmtId="168" fontId="137" fillId="0" borderId="0" xfId="0" applyNumberFormat="1" applyFont="1"/>
    <xf numFmtId="168" fontId="137" fillId="0" borderId="0" xfId="0" applyNumberFormat="1" applyFont="1" applyAlignment="1">
      <alignment horizontal="center"/>
    </xf>
    <xf numFmtId="171" fontId="137" fillId="0" borderId="0" xfId="85" applyNumberFormat="1" applyFont="1"/>
    <xf numFmtId="171" fontId="137" fillId="0" borderId="0" xfId="85" applyNumberFormat="1" applyFont="1" applyAlignment="1">
      <alignment horizontal="left"/>
    </xf>
    <xf numFmtId="174" fontId="137" fillId="0" borderId="0" xfId="0" applyFont="1" applyAlignment="1">
      <alignment horizontal="center"/>
    </xf>
    <xf numFmtId="0" fontId="137" fillId="0" borderId="0" xfId="0" applyNumberFormat="1" applyFont="1" applyBorder="1" applyAlignment="1">
      <alignment horizontal="center"/>
    </xf>
    <xf numFmtId="0" fontId="137" fillId="0" borderId="0" xfId="0" applyNumberFormat="1" applyFont="1" applyBorder="1" applyAlignment="1"/>
    <xf numFmtId="0" fontId="137" fillId="0" borderId="0" xfId="0" applyNumberFormat="1" applyFont="1" applyBorder="1"/>
    <xf numFmtId="168" fontId="137" fillId="0" borderId="6" xfId="0" applyNumberFormat="1" applyFont="1" applyBorder="1" applyAlignment="1">
      <alignment horizontal="center"/>
    </xf>
    <xf numFmtId="0" fontId="137" fillId="0" borderId="0" xfId="0" applyNumberFormat="1" applyFont="1" applyFill="1" applyBorder="1" applyAlignment="1">
      <alignment horizontal="center"/>
    </xf>
    <xf numFmtId="174" fontId="137" fillId="0" borderId="6" xfId="0" applyFont="1" applyBorder="1" applyAlignment="1">
      <alignment horizontal="center"/>
    </xf>
    <xf numFmtId="43" fontId="137" fillId="0" borderId="0" xfId="59" applyFont="1" applyBorder="1" applyAlignment="1">
      <alignment horizontal="right"/>
    </xf>
    <xf numFmtId="43" fontId="137" fillId="0" borderId="0" xfId="59" applyFont="1" applyFill="1" applyBorder="1"/>
    <xf numFmtId="43" fontId="137" fillId="0" borderId="0" xfId="59" applyFont="1" applyBorder="1"/>
    <xf numFmtId="43" fontId="137" fillId="0" borderId="0" xfId="59" applyFont="1"/>
    <xf numFmtId="0" fontId="137" fillId="0" borderId="0" xfId="0" applyNumberFormat="1" applyFont="1" applyBorder="1" applyAlignment="1">
      <alignment horizontal="right"/>
    </xf>
    <xf numFmtId="0" fontId="137" fillId="0" borderId="0" xfId="0" applyNumberFormat="1" applyFont="1" applyBorder="1" applyAlignment="1">
      <alignment horizontal="left"/>
    </xf>
    <xf numFmtId="43" fontId="137" fillId="0" borderId="0" xfId="59" applyFont="1" applyFill="1"/>
    <xf numFmtId="43" fontId="137" fillId="0" borderId="0" xfId="59" applyFont="1" applyFill="1" applyAlignment="1"/>
    <xf numFmtId="44" fontId="137" fillId="0" borderId="0" xfId="63" applyNumberFormat="1" applyFont="1" applyFill="1" applyBorder="1"/>
    <xf numFmtId="173" fontId="137" fillId="0" borderId="0" xfId="0" applyNumberFormat="1" applyFont="1" applyAlignment="1"/>
    <xf numFmtId="43" fontId="137" fillId="0" borderId="0" xfId="59" applyFont="1" applyFill="1" applyBorder="1" applyAlignment="1"/>
    <xf numFmtId="43" fontId="137" fillId="0" borderId="0" xfId="59" applyFont="1" applyBorder="1" applyAlignment="1"/>
    <xf numFmtId="44" fontId="137" fillId="0" borderId="0" xfId="63" applyFont="1" applyFill="1" applyBorder="1" applyAlignment="1"/>
    <xf numFmtId="0" fontId="137" fillId="0" borderId="0" xfId="0" applyNumberFormat="1" applyFont="1" applyFill="1" applyAlignment="1">
      <alignment horizontal="right"/>
    </xf>
    <xf numFmtId="49" fontId="137" fillId="0" borderId="0" xfId="0" applyNumberFormat="1" applyFont="1" applyFill="1" applyBorder="1" applyAlignment="1">
      <alignment horizontal="center"/>
    </xf>
    <xf numFmtId="174" fontId="139" fillId="0" borderId="0" xfId="0" applyFont="1" applyAlignment="1">
      <alignment horizontal="center"/>
    </xf>
    <xf numFmtId="0" fontId="139" fillId="0" borderId="0" xfId="0" applyNumberFormat="1" applyFont="1" applyAlignment="1">
      <alignment horizontal="center"/>
    </xf>
    <xf numFmtId="0" fontId="139" fillId="0" borderId="0" xfId="0" applyNumberFormat="1" applyFont="1" applyFill="1" applyBorder="1" applyAlignment="1">
      <alignment horizontal="right"/>
    </xf>
    <xf numFmtId="3" fontId="139" fillId="0" borderId="0" xfId="0" applyNumberFormat="1" applyFont="1" applyAlignment="1"/>
    <xf numFmtId="3" fontId="137" fillId="0" borderId="0" xfId="0" applyNumberFormat="1" applyFont="1" applyFill="1" applyBorder="1" applyAlignment="1">
      <alignment horizontal="right"/>
    </xf>
    <xf numFmtId="0" fontId="139" fillId="0" borderId="0" xfId="0" applyNumberFormat="1" applyFont="1" applyAlignment="1"/>
    <xf numFmtId="3" fontId="137" fillId="0" borderId="0" xfId="0" applyNumberFormat="1" applyFont="1" applyFill="1" applyBorder="1" applyAlignment="1"/>
    <xf numFmtId="174" fontId="137" fillId="0" borderId="0" xfId="0" applyFont="1" applyFill="1" applyBorder="1" applyAlignment="1"/>
    <xf numFmtId="165" fontId="137" fillId="0" borderId="0" xfId="0" applyNumberFormat="1" applyFont="1" applyAlignment="1"/>
    <xf numFmtId="178" fontId="137" fillId="0" borderId="0" xfId="59" applyNumberFormat="1" applyFont="1" applyAlignment="1"/>
    <xf numFmtId="178" fontId="137" fillId="0" borderId="6" xfId="59" applyNumberFormat="1" applyFont="1" applyFill="1" applyBorder="1" applyAlignment="1"/>
    <xf numFmtId="178" fontId="137" fillId="0" borderId="6" xfId="59" applyNumberFormat="1" applyFont="1" applyBorder="1" applyAlignment="1"/>
    <xf numFmtId="164" fontId="137" fillId="0" borderId="0" xfId="0" applyNumberFormat="1" applyFont="1" applyAlignment="1">
      <alignment horizontal="center"/>
    </xf>
    <xf numFmtId="43" fontId="137" fillId="0" borderId="0" xfId="59" applyFont="1" applyFill="1" applyBorder="1" applyAlignment="1">
      <alignment horizontal="center"/>
    </xf>
    <xf numFmtId="0" fontId="137" fillId="0" borderId="0" xfId="0" applyNumberFormat="1" applyFont="1" applyAlignment="1">
      <alignment horizontal="fill"/>
    </xf>
    <xf numFmtId="43" fontId="137" fillId="0" borderId="0" xfId="59" applyFont="1" applyAlignment="1">
      <alignment horizontal="center"/>
    </xf>
    <xf numFmtId="165" fontId="140" fillId="0" borderId="0" xfId="0" applyNumberFormat="1" applyFont="1" applyFill="1" applyAlignment="1">
      <alignment horizontal="right"/>
    </xf>
    <xf numFmtId="164" fontId="137" fillId="0" borderId="0" xfId="0" applyNumberFormat="1" applyFont="1" applyAlignment="1">
      <alignment horizontal="left"/>
    </xf>
    <xf numFmtId="178" fontId="137" fillId="0" borderId="0" xfId="59" applyNumberFormat="1" applyFont="1" applyFill="1" applyBorder="1" applyAlignment="1"/>
    <xf numFmtId="178" fontId="137" fillId="0" borderId="0" xfId="59" applyNumberFormat="1" applyFont="1" applyBorder="1" applyAlignment="1"/>
    <xf numFmtId="37" fontId="137" fillId="0" borderId="0" xfId="0" applyNumberFormat="1" applyFont="1" applyAlignment="1"/>
    <xf numFmtId="178" fontId="137" fillId="21" borderId="0" xfId="59" applyNumberFormat="1" applyFont="1" applyFill="1" applyBorder="1" applyAlignment="1"/>
    <xf numFmtId="174" fontId="137" fillId="0" borderId="0" xfId="143" applyFont="1" applyFill="1" applyAlignment="1"/>
    <xf numFmtId="3" fontId="137" fillId="0" borderId="0" xfId="0" applyNumberFormat="1" applyFont="1" applyAlignment="1">
      <alignment horizontal="center"/>
    </xf>
    <xf numFmtId="178" fontId="137" fillId="0" borderId="18" xfId="59" applyNumberFormat="1" applyFont="1" applyBorder="1" applyAlignment="1"/>
    <xf numFmtId="3" fontId="137" fillId="0" borderId="0" xfId="0" applyNumberFormat="1" applyFont="1" applyBorder="1" applyAlignment="1"/>
    <xf numFmtId="0" fontId="137" fillId="0" borderId="0" xfId="0" applyNumberFormat="1" applyFont="1" applyAlignment="1" applyProtection="1">
      <protection locked="0"/>
    </xf>
    <xf numFmtId="3" fontId="137" fillId="0" borderId="0" xfId="0" applyNumberFormat="1" applyFont="1" applyFill="1" applyAlignment="1">
      <alignment horizontal="right"/>
    </xf>
    <xf numFmtId="165" fontId="137" fillId="0" borderId="0" xfId="0" applyNumberFormat="1" applyFont="1" applyFill="1" applyAlignment="1"/>
    <xf numFmtId="0" fontId="137" fillId="0" borderId="0" xfId="0" applyNumberFormat="1" applyFont="1" applyFill="1" applyAlignment="1">
      <alignment horizontal="left"/>
    </xf>
    <xf numFmtId="172" fontId="137" fillId="0" borderId="0" xfId="0" applyNumberFormat="1" applyFont="1" applyFill="1" applyAlignment="1">
      <alignment horizontal="left"/>
    </xf>
    <xf numFmtId="0" fontId="137" fillId="0" borderId="0" xfId="135" applyNumberFormat="1" applyFont="1" applyFill="1" applyAlignment="1"/>
    <xf numFmtId="178" fontId="137" fillId="0" borderId="28" xfId="59" applyNumberFormat="1" applyFont="1" applyFill="1" applyBorder="1" applyAlignment="1"/>
    <xf numFmtId="178" fontId="137" fillId="0" borderId="28" xfId="59" applyNumberFormat="1" applyFont="1" applyBorder="1" applyAlignment="1"/>
    <xf numFmtId="3" fontId="137" fillId="0" borderId="0" xfId="0" applyNumberFormat="1" applyFont="1" applyAlignment="1">
      <alignment horizontal="left"/>
    </xf>
    <xf numFmtId="166" fontId="140" fillId="0" borderId="0" xfId="0" applyNumberFormat="1" applyFont="1" applyFill="1" applyAlignment="1">
      <alignment horizontal="right"/>
    </xf>
    <xf numFmtId="166" fontId="137" fillId="0" borderId="0" xfId="0" applyNumberFormat="1" applyFont="1" applyAlignment="1">
      <alignment horizontal="center"/>
    </xf>
    <xf numFmtId="10" fontId="137" fillId="0" borderId="0" xfId="0" applyNumberFormat="1" applyFont="1" applyFill="1" applyAlignment="1">
      <alignment horizontal="right"/>
    </xf>
    <xf numFmtId="10" fontId="137" fillId="0" borderId="0" xfId="85" applyNumberFormat="1" applyFont="1" applyAlignment="1"/>
    <xf numFmtId="183" fontId="137" fillId="0" borderId="0" xfId="59" applyNumberFormat="1" applyFont="1" applyFill="1" applyAlignment="1">
      <alignment horizontal="right"/>
    </xf>
    <xf numFmtId="177" fontId="137" fillId="0" borderId="0" xfId="0" applyNumberFormat="1" applyFont="1" applyAlignment="1"/>
    <xf numFmtId="164" fontId="137" fillId="0" borderId="0" xfId="0" applyNumberFormat="1" applyFont="1" applyFill="1" applyAlignment="1">
      <alignment horizontal="left"/>
    </xf>
    <xf numFmtId="10" fontId="137" fillId="0" borderId="0" xfId="0" applyNumberFormat="1" applyFont="1" applyFill="1" applyAlignment="1">
      <alignment horizontal="left"/>
    </xf>
    <xf numFmtId="10" fontId="137" fillId="0" borderId="0" xfId="85" applyNumberFormat="1" applyFont="1" applyAlignment="1">
      <alignment horizontal="left"/>
    </xf>
    <xf numFmtId="176" fontId="137" fillId="0" borderId="0" xfId="0" applyNumberFormat="1" applyFont="1" applyFill="1" applyAlignment="1"/>
    <xf numFmtId="181" fontId="137" fillId="0" borderId="0" xfId="0" applyNumberFormat="1" applyFont="1" applyAlignment="1"/>
    <xf numFmtId="176" fontId="137" fillId="0" borderId="0" xfId="0" applyNumberFormat="1" applyFont="1" applyAlignment="1"/>
    <xf numFmtId="178" fontId="137" fillId="0" borderId="0" xfId="59" applyNumberFormat="1" applyFont="1" applyFill="1" applyAlignment="1">
      <alignment horizontal="right"/>
    </xf>
    <xf numFmtId="167" fontId="137" fillId="0" borderId="0" xfId="0" applyNumberFormat="1" applyFont="1" applyAlignment="1"/>
    <xf numFmtId="164" fontId="137" fillId="0" borderId="0" xfId="0" applyNumberFormat="1" applyFont="1" applyAlignment="1">
      <alignment horizontal="left" wrapText="1"/>
    </xf>
    <xf numFmtId="43" fontId="137" fillId="0" borderId="0" xfId="59" applyNumberFormat="1" applyFont="1" applyAlignment="1"/>
    <xf numFmtId="164" fontId="143" fillId="0" borderId="0" xfId="0" applyNumberFormat="1" applyFont="1" applyAlignment="1">
      <alignment horizontal="left"/>
    </xf>
    <xf numFmtId="0" fontId="137" fillId="0" borderId="0" xfId="0" applyNumberFormat="1" applyFont="1" applyAlignment="1">
      <alignment wrapText="1"/>
    </xf>
    <xf numFmtId="178" fontId="137" fillId="0" borderId="11" xfId="59" applyNumberFormat="1" applyFont="1" applyFill="1" applyBorder="1" applyAlignment="1"/>
    <xf numFmtId="178" fontId="137" fillId="0" borderId="47" xfId="59" applyNumberFormat="1" applyFont="1" applyFill="1" applyBorder="1" applyAlignment="1"/>
    <xf numFmtId="0" fontId="137" fillId="0" borderId="6" xfId="0" applyNumberFormat="1" applyFont="1" applyFill="1" applyBorder="1"/>
    <xf numFmtId="3" fontId="137" fillId="0" borderId="0" xfId="0" applyNumberFormat="1" applyFont="1" applyFill="1" applyAlignment="1">
      <alignment horizontal="center"/>
    </xf>
    <xf numFmtId="178" fontId="137" fillId="21" borderId="6" xfId="59" applyNumberFormat="1" applyFont="1" applyFill="1" applyBorder="1" applyAlignment="1"/>
    <xf numFmtId="49" fontId="137" fillId="0" borderId="0" xfId="0" applyNumberFormat="1" applyFont="1" applyFill="1" applyBorder="1" applyAlignment="1"/>
    <xf numFmtId="49" fontId="137" fillId="0" borderId="0" xfId="0" applyNumberFormat="1" applyFont="1" applyFill="1" applyAlignment="1"/>
    <xf numFmtId="49" fontId="137" fillId="0" borderId="0" xfId="0" applyNumberFormat="1" applyFont="1" applyFill="1" applyAlignment="1">
      <alignment horizontal="center"/>
    </xf>
    <xf numFmtId="165" fontId="137" fillId="0" borderId="0" xfId="0" applyNumberFormat="1" applyFont="1" applyFill="1" applyAlignment="1">
      <alignment horizontal="right"/>
    </xf>
    <xf numFmtId="165" fontId="137" fillId="0" borderId="0" xfId="0" applyNumberFormat="1" applyFont="1" applyFill="1"/>
    <xf numFmtId="166" fontId="137" fillId="0" borderId="0" xfId="0" applyNumberFormat="1" applyFont="1" applyFill="1"/>
    <xf numFmtId="3" fontId="137" fillId="0" borderId="6" xfId="0" applyNumberFormat="1" applyFont="1" applyBorder="1" applyAlignment="1"/>
    <xf numFmtId="4" fontId="137" fillId="0" borderId="0" xfId="0" applyNumberFormat="1" applyFont="1" applyAlignment="1"/>
    <xf numFmtId="3" fontId="137" fillId="0" borderId="0" xfId="0" applyNumberFormat="1" applyFont="1" applyBorder="1" applyAlignment="1">
      <alignment horizontal="center"/>
    </xf>
    <xf numFmtId="3" fontId="137" fillId="0" borderId="0" xfId="0" quotePrefix="1" applyNumberFormat="1" applyFont="1" applyAlignment="1"/>
    <xf numFmtId="3" fontId="139" fillId="0" borderId="0" xfId="0" applyNumberFormat="1" applyFont="1" applyAlignment="1">
      <alignment horizontal="center"/>
    </xf>
    <xf numFmtId="166" fontId="137" fillId="0" borderId="0" xfId="0" applyNumberFormat="1" applyFont="1" applyFill="1" applyAlignment="1">
      <alignment horizontal="center"/>
    </xf>
    <xf numFmtId="164" fontId="137" fillId="0" borderId="0" xfId="0" applyNumberFormat="1" applyFont="1" applyFill="1" applyAlignment="1">
      <alignment horizontal="center"/>
    </xf>
    <xf numFmtId="43" fontId="137" fillId="21" borderId="0" xfId="59" applyFont="1" applyFill="1" applyAlignment="1"/>
    <xf numFmtId="166" fontId="137" fillId="0" borderId="0" xfId="0" applyNumberFormat="1" applyFont="1" applyFill="1" applyAlignment="1"/>
    <xf numFmtId="3" fontId="144" fillId="0" borderId="0" xfId="0" applyNumberFormat="1" applyFont="1" applyAlignment="1"/>
    <xf numFmtId="174" fontId="144" fillId="0" borderId="0" xfId="0" applyFont="1" applyAlignment="1"/>
    <xf numFmtId="174" fontId="142" fillId="0" borderId="0" xfId="0" applyFont="1" applyAlignment="1"/>
    <xf numFmtId="0" fontId="137" fillId="0" borderId="6" xfId="0" applyNumberFormat="1" applyFont="1" applyBorder="1" applyAlignment="1"/>
    <xf numFmtId="43" fontId="137" fillId="21" borderId="6" xfId="59" applyFont="1" applyFill="1" applyBorder="1" applyAlignment="1"/>
    <xf numFmtId="3" fontId="142" fillId="0" borderId="0" xfId="0" applyNumberFormat="1" applyFont="1" applyAlignment="1"/>
    <xf numFmtId="174" fontId="137" fillId="0" borderId="0" xfId="0" applyFont="1" applyBorder="1" applyAlignment="1"/>
    <xf numFmtId="174" fontId="145" fillId="0" borderId="0" xfId="0" applyFont="1" applyBorder="1" applyAlignment="1"/>
    <xf numFmtId="3" fontId="145" fillId="0" borderId="0" xfId="0" applyNumberFormat="1" applyFont="1" applyBorder="1" applyAlignment="1"/>
    <xf numFmtId="0" fontId="145" fillId="0" borderId="0" xfId="0" applyNumberFormat="1" applyFont="1" applyBorder="1" applyAlignment="1"/>
    <xf numFmtId="174" fontId="146" fillId="0" borderId="0" xfId="0" applyFont="1" applyBorder="1" applyAlignment="1"/>
    <xf numFmtId="9" fontId="137" fillId="0" borderId="0" xfId="0" applyNumberFormat="1" applyFont="1" applyAlignment="1"/>
    <xf numFmtId="169" fontId="137" fillId="0" borderId="0" xfId="0" applyNumberFormat="1" applyFont="1" applyAlignment="1"/>
    <xf numFmtId="183" fontId="137" fillId="21" borderId="0" xfId="59" applyNumberFormat="1" applyFont="1" applyFill="1" applyAlignment="1"/>
    <xf numFmtId="169" fontId="137" fillId="0" borderId="6" xfId="0" applyNumberFormat="1" applyFont="1" applyBorder="1" applyAlignment="1"/>
    <xf numFmtId="3" fontId="140" fillId="0" borderId="0" xfId="0" applyNumberFormat="1" applyFont="1" applyAlignment="1"/>
    <xf numFmtId="174" fontId="137" fillId="0" borderId="0" xfId="0" applyFont="1" applyFill="1" applyAlignment="1" applyProtection="1"/>
    <xf numFmtId="178" fontId="137" fillId="21" borderId="0" xfId="59" applyNumberFormat="1" applyFont="1" applyFill="1" applyBorder="1" applyProtection="1">
      <protection locked="0"/>
    </xf>
    <xf numFmtId="38" fontId="137" fillId="0" borderId="0" xfId="0" applyNumberFormat="1" applyFont="1" applyAlignment="1" applyProtection="1"/>
    <xf numFmtId="174" fontId="137" fillId="0" borderId="6" xfId="0" applyFont="1" applyBorder="1" applyAlignment="1"/>
    <xf numFmtId="0" fontId="137" fillId="0" borderId="6" xfId="0" applyNumberFormat="1" applyFont="1" applyBorder="1"/>
    <xf numFmtId="178" fontId="137" fillId="21" borderId="6" xfId="59" applyNumberFormat="1" applyFont="1" applyFill="1" applyBorder="1" applyProtection="1">
      <protection locked="0"/>
    </xf>
    <xf numFmtId="38" fontId="137" fillId="0" borderId="0" xfId="0" applyNumberFormat="1" applyFont="1" applyAlignment="1"/>
    <xf numFmtId="178" fontId="137" fillId="0" borderId="0" xfId="59" applyNumberFormat="1" applyFont="1" applyFill="1" applyBorder="1" applyProtection="1"/>
    <xf numFmtId="1" fontId="137" fillId="0" borderId="0" xfId="0" applyNumberFormat="1" applyFont="1" applyFill="1" applyAlignment="1" applyProtection="1">
      <alignment horizontal="right"/>
    </xf>
    <xf numFmtId="1" fontId="137" fillId="0" borderId="0" xfId="0" applyNumberFormat="1" applyFont="1" applyFill="1" applyProtection="1"/>
    <xf numFmtId="178" fontId="137" fillId="0" borderId="0" xfId="59" applyNumberFormat="1" applyFont="1" applyFill="1" applyBorder="1" applyAlignment="1" applyProtection="1">
      <protection locked="0"/>
    </xf>
    <xf numFmtId="1" fontId="137" fillId="0" borderId="0" xfId="0" applyNumberFormat="1" applyFont="1" applyFill="1" applyAlignment="1" applyProtection="1"/>
    <xf numFmtId="3" fontId="137" fillId="0" borderId="0" xfId="0" applyNumberFormat="1" applyFont="1" applyAlignment="1" applyProtection="1"/>
    <xf numFmtId="170" fontId="137" fillId="0" borderId="0" xfId="0" applyNumberFormat="1" applyFont="1" applyFill="1" applyBorder="1" applyAlignment="1" applyProtection="1">
      <protection locked="0"/>
    </xf>
    <xf numFmtId="3" fontId="137" fillId="0" borderId="0" xfId="0" applyNumberFormat="1" applyFont="1" applyFill="1" applyAlignment="1" applyProtection="1">
      <alignment horizontal="right"/>
      <protection locked="0"/>
    </xf>
    <xf numFmtId="174" fontId="137" fillId="0" borderId="0" xfId="0" applyNumberFormat="1" applyFont="1" applyBorder="1" applyAlignment="1"/>
    <xf numFmtId="170" fontId="137" fillId="0" borderId="0" xfId="0" applyNumberFormat="1" applyFont="1" applyFill="1" applyBorder="1" applyAlignment="1" applyProtection="1"/>
    <xf numFmtId="174" fontId="137" fillId="0" borderId="0" xfId="0" applyNumberFormat="1" applyFont="1" applyAlignment="1"/>
    <xf numFmtId="174" fontId="137" fillId="0" borderId="0" xfId="0" applyNumberFormat="1" applyFont="1" applyFill="1" applyAlignment="1"/>
    <xf numFmtId="3" fontId="137" fillId="0" borderId="0" xfId="0" applyNumberFormat="1" applyFont="1" applyFill="1" applyAlignment="1" applyProtection="1"/>
    <xf numFmtId="170" fontId="137" fillId="0" borderId="0" xfId="0" applyNumberFormat="1" applyFont="1"/>
    <xf numFmtId="0" fontId="137" fillId="0" borderId="0" xfId="0" applyNumberFormat="1" applyFont="1" applyAlignment="1">
      <alignment horizontal="left" indent="8"/>
    </xf>
    <xf numFmtId="0" fontId="137" fillId="0" borderId="0" xfId="0" applyNumberFormat="1" applyFont="1" applyAlignment="1">
      <alignment horizontal="center" vertical="top" wrapText="1"/>
    </xf>
    <xf numFmtId="3" fontId="137" fillId="0" borderId="0" xfId="0" applyNumberFormat="1" applyFont="1" applyFill="1" applyAlignment="1">
      <alignment horizontal="left"/>
    </xf>
    <xf numFmtId="0" fontId="137" fillId="0" borderId="0" xfId="0" applyNumberFormat="1" applyFont="1" applyFill="1" applyAlignment="1">
      <alignment horizontal="center" vertical="top" wrapText="1"/>
    </xf>
    <xf numFmtId="0" fontId="137" fillId="0" borderId="0" xfId="0" applyNumberFormat="1" applyFont="1" applyFill="1" applyAlignment="1">
      <alignment horizontal="left" vertical="top" wrapText="1" indent="8"/>
    </xf>
    <xf numFmtId="0" fontId="137" fillId="0" borderId="0" xfId="0" applyNumberFormat="1" applyFont="1" applyFill="1" applyAlignment="1">
      <alignment vertical="top" wrapText="1"/>
    </xf>
    <xf numFmtId="10" fontId="137" fillId="21" borderId="0" xfId="59" applyNumberFormat="1" applyFont="1" applyFill="1" applyAlignment="1">
      <alignment vertical="top" wrapText="1"/>
    </xf>
    <xf numFmtId="43" fontId="137" fillId="21" borderId="0" xfId="59" applyFont="1" applyFill="1" applyAlignment="1">
      <alignment vertical="top" wrapText="1"/>
    </xf>
    <xf numFmtId="174" fontId="137" fillId="0" borderId="0" xfId="0" applyFont="1" applyFill="1" applyAlignment="1">
      <alignment horizontal="center" vertical="top" wrapText="1"/>
    </xf>
    <xf numFmtId="174" fontId="147" fillId="0" borderId="0" xfId="0" applyFont="1" applyFill="1" applyAlignment="1"/>
    <xf numFmtId="174" fontId="137" fillId="0" borderId="0" xfId="0" applyFont="1" applyFill="1" applyAlignment="1">
      <alignment wrapText="1"/>
    </xf>
    <xf numFmtId="174" fontId="137" fillId="0" borderId="0" xfId="0" applyFont="1" applyFill="1" applyAlignment="1">
      <alignment horizontal="center"/>
    </xf>
    <xf numFmtId="174" fontId="137" fillId="0" borderId="0" xfId="0" applyFont="1" applyFill="1" applyBorder="1" applyAlignment="1">
      <alignment horizontal="center" vertical="top"/>
    </xf>
    <xf numFmtId="174" fontId="147" fillId="0" borderId="0" xfId="0" applyFont="1" applyAlignment="1"/>
    <xf numFmtId="0" fontId="137" fillId="0" borderId="0" xfId="0" applyNumberFormat="1" applyFont="1" applyFill="1" applyBorder="1" applyAlignment="1"/>
    <xf numFmtId="43" fontId="137" fillId="0" borderId="0" xfId="59" applyFont="1" applyFill="1" applyBorder="1" applyAlignment="1">
      <alignment horizontal="left"/>
    </xf>
    <xf numFmtId="0" fontId="137" fillId="0" borderId="0" xfId="0" applyNumberFormat="1" applyFont="1" applyFill="1" applyBorder="1" applyAlignment="1">
      <alignment wrapText="1"/>
    </xf>
    <xf numFmtId="174" fontId="139" fillId="0" borderId="0" xfId="0" applyFont="1" applyFill="1" applyAlignment="1"/>
    <xf numFmtId="49" fontId="137" fillId="0" borderId="0" xfId="0" applyNumberFormat="1" applyFont="1" applyFill="1" applyBorder="1"/>
    <xf numFmtId="49" fontId="137" fillId="0" borderId="0" xfId="0" applyNumberFormat="1" applyFont="1" applyFill="1" applyBorder="1" applyAlignment="1">
      <alignment horizontal="left"/>
    </xf>
    <xf numFmtId="3" fontId="139" fillId="0" borderId="0" xfId="0" applyNumberFormat="1" applyFont="1" applyFill="1" applyBorder="1" applyAlignment="1">
      <alignment horizontal="center"/>
    </xf>
    <xf numFmtId="0" fontId="139" fillId="0" borderId="0" xfId="0" applyNumberFormat="1" applyFont="1" applyFill="1" applyBorder="1" applyAlignment="1">
      <alignment horizontal="center"/>
    </xf>
    <xf numFmtId="174" fontId="139" fillId="0" borderId="0" xfId="0" applyFont="1" applyFill="1" applyBorder="1" applyAlignment="1">
      <alignment horizontal="center"/>
    </xf>
    <xf numFmtId="3" fontId="139" fillId="0" borderId="0" xfId="0" applyNumberFormat="1" applyFont="1" applyFill="1" applyBorder="1" applyAlignment="1"/>
    <xf numFmtId="0" fontId="139" fillId="0" borderId="0" xfId="0" applyNumberFormat="1" applyFont="1" applyFill="1" applyBorder="1" applyAlignment="1"/>
    <xf numFmtId="164" fontId="137" fillId="0" borderId="0" xfId="0" applyNumberFormat="1" applyFont="1" applyFill="1" applyBorder="1" applyAlignment="1">
      <alignment horizontal="left"/>
    </xf>
    <xf numFmtId="166" fontId="137" fillId="0" borderId="0" xfId="0" applyNumberFormat="1" applyFont="1" applyFill="1" applyBorder="1" applyAlignment="1">
      <alignment horizontal="center"/>
    </xf>
    <xf numFmtId="174" fontId="137" fillId="0" borderId="0" xfId="0" applyFont="1" applyAlignment="1">
      <alignment wrapText="1"/>
    </xf>
    <xf numFmtId="0" fontId="137" fillId="0" borderId="0" xfId="0" applyNumberFormat="1" applyFont="1" applyFill="1" applyAlignment="1">
      <alignment horizontal="left" indent="1"/>
    </xf>
    <xf numFmtId="0" fontId="48" fillId="21" borderId="0" xfId="0" applyNumberFormat="1" applyFont="1" applyFill="1" applyAlignment="1">
      <alignment horizontal="right"/>
    </xf>
    <xf numFmtId="170" fontId="71" fillId="0" borderId="0" xfId="0" applyNumberFormat="1" applyFont="1" applyAlignment="1">
      <alignment horizontal="left" vertical="center"/>
    </xf>
    <xf numFmtId="178" fontId="8" fillId="0" borderId="0" xfId="59" applyNumberFormat="1" applyFont="1"/>
    <xf numFmtId="178" fontId="8" fillId="0" borderId="0" xfId="59" applyNumberFormat="1" applyFont="1" applyFill="1"/>
    <xf numFmtId="178" fontId="8" fillId="0" borderId="11" xfId="59" applyNumberFormat="1" applyFont="1" applyBorder="1"/>
    <xf numFmtId="170" fontId="70" fillId="0" borderId="0" xfId="0" applyNumberFormat="1" applyFont="1" applyFill="1" applyAlignment="1"/>
    <xf numFmtId="178" fontId="59" fillId="21" borderId="0" xfId="59" applyNumberFormat="1" applyFont="1" applyFill="1" applyBorder="1" applyAlignment="1"/>
    <xf numFmtId="178" fontId="59" fillId="26" borderId="0" xfId="59" applyNumberFormat="1" applyFont="1" applyFill="1" applyBorder="1" applyAlignment="1"/>
    <xf numFmtId="178" fontId="127" fillId="26" borderId="0" xfId="59" applyNumberFormat="1" applyFont="1" applyFill="1" applyBorder="1" applyAlignment="1"/>
    <xf numFmtId="178" fontId="59" fillId="26" borderId="18" xfId="0" applyNumberFormat="1" applyFont="1" applyFill="1" applyBorder="1" applyAlignment="1"/>
    <xf numFmtId="0" fontId="6" fillId="21" borderId="0" xfId="161" applyFont="1" applyFill="1" applyAlignment="1">
      <alignment horizontal="left"/>
    </xf>
    <xf numFmtId="175" fontId="48" fillId="21" borderId="0" xfId="63" applyNumberFormat="1" applyFont="1" applyFill="1" applyAlignment="1"/>
    <xf numFmtId="170" fontId="48" fillId="0" borderId="0" xfId="0" applyNumberFormat="1" applyFont="1" applyFill="1" applyAlignment="1"/>
    <xf numFmtId="175" fontId="138" fillId="21" borderId="0" xfId="63" applyNumberFormat="1" applyFont="1" applyFill="1" applyAlignment="1"/>
    <xf numFmtId="174" fontId="48" fillId="23" borderId="0" xfId="0" applyFont="1" applyFill="1" applyAlignment="1"/>
    <xf numFmtId="178" fontId="135" fillId="21" borderId="0" xfId="59" applyNumberFormat="1" applyFont="1" applyFill="1" applyAlignment="1">
      <alignment vertical="center"/>
    </xf>
    <xf numFmtId="170" fontId="70" fillId="0" borderId="0" xfId="0" applyNumberFormat="1" applyFont="1" applyFill="1" applyAlignment="1">
      <alignment horizontal="center" vertical="center"/>
    </xf>
    <xf numFmtId="186" fontId="137" fillId="0" borderId="0" xfId="0" applyNumberFormat="1" applyFont="1" applyAlignment="1"/>
    <xf numFmtId="178" fontId="5" fillId="0" borderId="0" xfId="59" applyNumberFormat="1" applyFont="1" applyBorder="1"/>
    <xf numFmtId="178" fontId="14" fillId="0" borderId="0" xfId="148" applyNumberFormat="1" applyFill="1" applyBorder="1"/>
    <xf numFmtId="178" fontId="26" fillId="0" borderId="10" xfId="59" applyNumberFormat="1" applyFont="1" applyFill="1" applyBorder="1" applyAlignment="1"/>
    <xf numFmtId="0" fontId="48" fillId="0" borderId="6" xfId="0" applyNumberFormat="1" applyFont="1" applyBorder="1" applyAlignment="1">
      <alignment horizontal="center"/>
    </xf>
    <xf numFmtId="0" fontId="48" fillId="0" borderId="0" xfId="0" applyNumberFormat="1" applyFont="1" applyAlignment="1">
      <alignment horizontal="center" vertical="top"/>
    </xf>
    <xf numFmtId="0" fontId="70" fillId="0" borderId="0" xfId="0" applyNumberFormat="1" applyFont="1" applyAlignment="1">
      <alignment horizontal="right" vertical="top"/>
    </xf>
    <xf numFmtId="0" fontId="70" fillId="0" borderId="0" xfId="0" applyNumberFormat="1" applyFont="1" applyAlignment="1">
      <alignment horizontal="center" vertical="top"/>
    </xf>
    <xf numFmtId="0" fontId="26" fillId="0" borderId="0" xfId="0" applyNumberFormat="1" applyFont="1" applyAlignment="1">
      <alignment horizontal="center" vertical="top"/>
    </xf>
    <xf numFmtId="0" fontId="70" fillId="0" borderId="0" xfId="0" applyNumberFormat="1" applyFont="1" applyFill="1" applyAlignment="1">
      <alignment vertical="top" wrapText="1"/>
    </xf>
    <xf numFmtId="0" fontId="135" fillId="0" borderId="0" xfId="0" applyNumberFormat="1" applyFont="1" applyAlignment="1">
      <alignment horizontal="right" vertical="top"/>
    </xf>
    <xf numFmtId="0" fontId="135" fillId="0" borderId="0" xfId="0" applyNumberFormat="1" applyFont="1" applyFill="1" applyAlignment="1">
      <alignment vertical="top" wrapText="1"/>
    </xf>
    <xf numFmtId="178" fontId="8" fillId="21" borderId="0" xfId="59" applyNumberFormat="1" applyFont="1" applyFill="1"/>
    <xf numFmtId="0" fontId="26" fillId="0" borderId="0" xfId="0" applyNumberFormat="1" applyFont="1" applyFill="1" applyAlignment="1">
      <alignment vertical="top" wrapText="1"/>
    </xf>
    <xf numFmtId="0" fontId="47" fillId="0" borderId="33" xfId="137" applyFont="1" applyFill="1" applyBorder="1"/>
    <xf numFmtId="10" fontId="47" fillId="0" borderId="18" xfId="137" applyNumberFormat="1" applyFont="1" applyFill="1" applyBorder="1"/>
    <xf numFmtId="170" fontId="26" fillId="0" borderId="0" xfId="59" applyNumberFormat="1" applyFont="1" applyFill="1" applyBorder="1" applyAlignment="1"/>
    <xf numFmtId="178" fontId="59" fillId="26" borderId="11" xfId="59" applyNumberFormat="1" applyFont="1" applyFill="1" applyBorder="1" applyAlignment="1"/>
    <xf numFmtId="170" fontId="59" fillId="26" borderId="18" xfId="0" applyNumberFormat="1" applyFont="1" applyFill="1" applyBorder="1" applyAlignment="1"/>
    <xf numFmtId="43" fontId="73" fillId="0" borderId="0" xfId="59" applyNumberFormat="1" applyFont="1" applyFill="1" applyAlignment="1">
      <alignment horizontal="center" vertical="center"/>
    </xf>
    <xf numFmtId="43" fontId="71" fillId="0" borderId="0" xfId="59" applyNumberFormat="1" applyFont="1" applyAlignment="1">
      <alignment horizontal="center" vertical="center"/>
    </xf>
    <xf numFmtId="43" fontId="71" fillId="0" borderId="11" xfId="59" applyNumberFormat="1" applyFont="1" applyBorder="1" applyAlignment="1">
      <alignment horizontal="center" vertical="center"/>
    </xf>
    <xf numFmtId="0" fontId="3" fillId="21" borderId="0" xfId="161" applyFont="1" applyFill="1" applyAlignment="1">
      <alignment horizontal="left"/>
    </xf>
    <xf numFmtId="3" fontId="109" fillId="21" borderId="0" xfId="137" applyNumberFormat="1" applyFill="1" applyBorder="1"/>
    <xf numFmtId="42" fontId="48" fillId="0" borderId="0" xfId="0" applyNumberFormat="1" applyFont="1" applyFill="1"/>
    <xf numFmtId="42" fontId="137" fillId="0" borderId="0" xfId="0" applyNumberFormat="1" applyFont="1"/>
    <xf numFmtId="178" fontId="70" fillId="0" borderId="0" xfId="59" applyNumberFormat="1" applyFont="1" applyFill="1" applyAlignment="1">
      <alignment horizontal="center" vertical="center"/>
    </xf>
    <xf numFmtId="178" fontId="26" fillId="21" borderId="2" xfId="59" applyNumberFormat="1" applyFont="1" applyFill="1" applyBorder="1"/>
    <xf numFmtId="174" fontId="26" fillId="0" borderId="16" xfId="0" applyFont="1" applyBorder="1" applyAlignment="1">
      <alignment horizontal="center"/>
    </xf>
    <xf numFmtId="174" fontId="26" fillId="0" borderId="0" xfId="0" applyFont="1" applyAlignment="1">
      <alignment horizontal="center"/>
    </xf>
    <xf numFmtId="174" fontId="26" fillId="21" borderId="0" xfId="0" applyFont="1" applyFill="1" applyAlignment="1">
      <alignment horizontal="left" vertical="top" wrapText="1"/>
    </xf>
    <xf numFmtId="1" fontId="26" fillId="21" borderId="0" xfId="0" applyNumberFormat="1" applyFont="1" applyFill="1" applyAlignment="1">
      <alignment horizontal="left"/>
    </xf>
    <xf numFmtId="174" fontId="26" fillId="0" borderId="0" xfId="0" applyFont="1"/>
    <xf numFmtId="174" fontId="19" fillId="21" borderId="0" xfId="0" applyFont="1" applyFill="1"/>
    <xf numFmtId="174" fontId="26" fillId="21" borderId="0" xfId="0" applyFont="1" applyFill="1" applyAlignment="1">
      <alignment horizontal="left"/>
    </xf>
    <xf numFmtId="174" fontId="19" fillId="21" borderId="0" xfId="0" applyFont="1" applyFill="1" applyAlignment="1">
      <alignment horizontal="left" wrapText="1"/>
    </xf>
    <xf numFmtId="174" fontId="26" fillId="21" borderId="0" xfId="0" applyFont="1" applyFill="1" applyAlignment="1">
      <alignment horizontal="left" wrapText="1"/>
    </xf>
    <xf numFmtId="178" fontId="26" fillId="21" borderId="0" xfId="59" applyNumberFormat="1" applyFont="1" applyFill="1"/>
    <xf numFmtId="178" fontId="26" fillId="21" borderId="0" xfId="59" applyNumberFormat="1" applyFont="1" applyFill="1" applyBorder="1" applyAlignment="1"/>
    <xf numFmtId="178" fontId="26" fillId="0" borderId="0" xfId="85" applyNumberFormat="1" applyFont="1" applyFill="1" applyBorder="1" applyAlignment="1"/>
    <xf numFmtId="178" fontId="19" fillId="0" borderId="11" xfId="59" applyNumberFormat="1" applyFont="1" applyFill="1" applyBorder="1" applyAlignment="1"/>
    <xf numFmtId="178" fontId="26" fillId="0" borderId="0" xfId="59" applyNumberFormat="1" applyFont="1" applyFill="1" applyBorder="1" applyAlignment="1">
      <alignment horizontal="center"/>
    </xf>
    <xf numFmtId="0" fontId="2" fillId="21" borderId="11" xfId="161" applyFont="1" applyFill="1" applyBorder="1" applyAlignment="1">
      <alignment horizontal="center"/>
    </xf>
    <xf numFmtId="0" fontId="26" fillId="0" borderId="10" xfId="59" applyNumberFormat="1" applyFont="1" applyFill="1" applyBorder="1" applyAlignment="1"/>
    <xf numFmtId="170" fontId="164" fillId="62" borderId="0" xfId="0" applyNumberFormat="1" applyFont="1" applyFill="1" applyAlignment="1">
      <alignment horizontal="center" vertical="center"/>
    </xf>
    <xf numFmtId="189" fontId="47" fillId="62" borderId="0" xfId="0" applyNumberFormat="1" applyFont="1" applyFill="1" applyAlignment="1"/>
    <xf numFmtId="175" fontId="47" fillId="21" borderId="0" xfId="178" applyNumberFormat="1" applyFont="1" applyFill="1"/>
    <xf numFmtId="3" fontId="47" fillId="21" borderId="0" xfId="178" applyNumberFormat="1" applyFont="1" applyFill="1"/>
    <xf numFmtId="4" fontId="47" fillId="21" borderId="0" xfId="59" applyNumberFormat="1" applyFont="1" applyFill="1" applyBorder="1" applyAlignment="1">
      <alignment horizontal="center" vertical="center"/>
    </xf>
    <xf numFmtId="174" fontId="19" fillId="62" borderId="0" xfId="0" applyFont="1" applyFill="1" applyAlignment="1"/>
    <xf numFmtId="37" fontId="19" fillId="21" borderId="0" xfId="154" applyNumberFormat="1" applyFill="1"/>
    <xf numFmtId="174" fontId="85" fillId="21" borderId="0" xfId="0" applyFont="1" applyFill="1" applyAlignment="1">
      <alignment horizontal="center" vertical="center" wrapText="1"/>
    </xf>
    <xf numFmtId="0" fontId="1" fillId="21" borderId="0" xfId="161" applyFont="1" applyFill="1"/>
    <xf numFmtId="0" fontId="145" fillId="0" borderId="0" xfId="0" applyNumberFormat="1" applyFont="1" applyBorder="1" applyAlignment="1">
      <alignment horizontal="center"/>
    </xf>
    <xf numFmtId="0" fontId="137" fillId="0" borderId="0" xfId="0" applyNumberFormat="1" applyFont="1" applyFill="1" applyAlignment="1">
      <alignment vertical="top" wrapText="1"/>
    </xf>
    <xf numFmtId="0" fontId="137" fillId="0" borderId="0" xfId="0" applyNumberFormat="1" applyFont="1" applyFill="1" applyBorder="1" applyAlignment="1">
      <alignment horizontal="left"/>
    </xf>
    <xf numFmtId="0" fontId="137" fillId="0" borderId="0" xfId="0" applyNumberFormat="1" applyFont="1" applyFill="1" applyBorder="1" applyAlignment="1">
      <alignment horizontal="left" wrapText="1"/>
    </xf>
    <xf numFmtId="174" fontId="137" fillId="0" borderId="0" xfId="0" applyFont="1" applyFill="1" applyAlignment="1">
      <alignment vertical="top" wrapText="1"/>
    </xf>
    <xf numFmtId="174" fontId="137" fillId="0" borderId="0" xfId="0" applyFont="1" applyFill="1" applyAlignment="1"/>
    <xf numFmtId="0" fontId="48" fillId="0" borderId="0" xfId="0" applyNumberFormat="1" applyFont="1" applyFill="1" applyAlignment="1">
      <alignment horizontal="left" vertical="top" wrapText="1"/>
    </xf>
    <xf numFmtId="0" fontId="137" fillId="0" borderId="0" xfId="0" applyNumberFormat="1" applyFont="1" applyFill="1" applyAlignment="1">
      <alignment horizontal="left" vertical="top" wrapText="1"/>
    </xf>
    <xf numFmtId="174" fontId="142" fillId="0" borderId="0" xfId="0" applyFont="1" applyFill="1" applyAlignment="1">
      <alignment horizontal="left" wrapText="1"/>
    </xf>
    <xf numFmtId="0" fontId="142" fillId="0" borderId="0" xfId="135" applyFont="1" applyFill="1" applyAlignment="1">
      <alignment vertical="top" wrapText="1"/>
    </xf>
    <xf numFmtId="174" fontId="137" fillId="0" borderId="0" xfId="0" applyFont="1" applyFill="1" applyAlignment="1">
      <alignment horizontal="left" vertical="top" wrapText="1"/>
    </xf>
    <xf numFmtId="0" fontId="137" fillId="0" borderId="0" xfId="0" applyNumberFormat="1" applyFont="1" applyFill="1" applyBorder="1" applyAlignment="1">
      <alignment horizontal="left" vertical="top" wrapText="1"/>
    </xf>
    <xf numFmtId="0" fontId="48" fillId="0" borderId="0" xfId="82" applyFont="1" applyFill="1" applyAlignment="1">
      <alignment horizontal="left" wrapText="1"/>
    </xf>
    <xf numFmtId="0" fontId="48" fillId="0" borderId="0" xfId="82" applyFont="1" applyFill="1" applyAlignment="1">
      <alignment horizontal="left"/>
    </xf>
    <xf numFmtId="0" fontId="48" fillId="0" borderId="0" xfId="82" applyFont="1" applyAlignment="1">
      <alignment horizontal="left" wrapText="1"/>
    </xf>
    <xf numFmtId="0" fontId="49" fillId="0" borderId="0" xfId="82" applyFont="1" applyAlignment="1">
      <alignment horizontal="center"/>
    </xf>
    <xf numFmtId="49" fontId="18" fillId="0" borderId="0" xfId="132" applyNumberFormat="1" applyFont="1" applyAlignment="1">
      <alignment horizontal="center"/>
    </xf>
    <xf numFmtId="0" fontId="18" fillId="0" borderId="0" xfId="132" applyFont="1" applyAlignment="1">
      <alignment horizontal="center"/>
    </xf>
    <xf numFmtId="0" fontId="89" fillId="0" borderId="0" xfId="132" applyFont="1" applyAlignment="1">
      <alignment horizontal="center"/>
    </xf>
    <xf numFmtId="0" fontId="26" fillId="0" borderId="0" xfId="132" applyFont="1" applyAlignment="1">
      <alignment horizontal="left" wrapText="1"/>
    </xf>
    <xf numFmtId="0" fontId="26" fillId="0" borderId="0" xfId="0" applyNumberFormat="1" applyFont="1" applyFill="1" applyAlignment="1">
      <alignment horizontal="left" vertical="top" wrapText="1"/>
    </xf>
    <xf numFmtId="0" fontId="70" fillId="0" borderId="0" xfId="0" applyNumberFormat="1" applyFont="1" applyFill="1" applyAlignment="1">
      <alignment horizontal="left" vertical="top" wrapText="1"/>
    </xf>
    <xf numFmtId="174" fontId="70" fillId="0" borderId="0" xfId="0" applyFont="1" applyAlignment="1">
      <alignment horizontal="left" vertical="top" wrapText="1"/>
    </xf>
    <xf numFmtId="174" fontId="70" fillId="0" borderId="0" xfId="0" applyFont="1" applyFill="1" applyAlignment="1">
      <alignment horizontal="left" vertical="top" wrapText="1"/>
    </xf>
    <xf numFmtId="174" fontId="70" fillId="0" borderId="0" xfId="0" applyFont="1" applyAlignment="1">
      <alignment horizontal="left" vertical="center"/>
    </xf>
    <xf numFmtId="0" fontId="124" fillId="29" borderId="29" xfId="148" applyFont="1" applyFill="1" applyBorder="1" applyAlignment="1">
      <alignment horizontal="center"/>
    </xf>
    <xf numFmtId="0" fontId="124" fillId="29" borderId="30" xfId="148" applyFont="1" applyFill="1" applyBorder="1" applyAlignment="1">
      <alignment horizontal="center"/>
    </xf>
    <xf numFmtId="0" fontId="124" fillId="29" borderId="31" xfId="148" applyFont="1" applyFill="1" applyBorder="1" applyAlignment="1">
      <alignment horizontal="center"/>
    </xf>
    <xf numFmtId="0" fontId="124" fillId="21" borderId="29" xfId="148" applyFont="1" applyFill="1" applyBorder="1" applyAlignment="1">
      <alignment horizontal="center"/>
    </xf>
    <xf numFmtId="0" fontId="124" fillId="21" borderId="31" xfId="148" applyFont="1" applyFill="1" applyBorder="1" applyAlignment="1">
      <alignment horizontal="center"/>
    </xf>
    <xf numFmtId="0" fontId="133" fillId="0" borderId="0" xfId="154" applyFont="1" applyFill="1" applyAlignment="1">
      <alignment horizontal="center"/>
    </xf>
    <xf numFmtId="174" fontId="70" fillId="0" borderId="0" xfId="0" applyFont="1" applyAlignment="1">
      <alignment horizontal="center" vertical="center"/>
    </xf>
    <xf numFmtId="0" fontId="43" fillId="0" borderId="0" xfId="132" applyFont="1" applyAlignment="1">
      <alignment horizontal="center"/>
    </xf>
    <xf numFmtId="0" fontId="21" fillId="0" borderId="0" xfId="132" applyFont="1" applyFill="1" applyAlignment="1">
      <alignment horizontal="center"/>
    </xf>
    <xf numFmtId="0" fontId="43" fillId="0" borderId="0" xfId="132" applyFont="1" applyFill="1" applyAlignment="1">
      <alignment horizontal="left" wrapText="1"/>
    </xf>
    <xf numFmtId="0" fontId="100" fillId="0" borderId="0" xfId="132" applyFont="1" applyFill="1" applyBorder="1" applyAlignment="1">
      <alignment horizontal="left" wrapText="1"/>
    </xf>
    <xf numFmtId="0" fontId="43" fillId="0" borderId="29" xfId="132" applyFont="1" applyBorder="1" applyAlignment="1">
      <alignment horizontal="center"/>
    </xf>
    <xf numFmtId="0" fontId="43" fillId="0" borderId="30" xfId="132" applyFont="1" applyBorder="1" applyAlignment="1">
      <alignment horizontal="center"/>
    </xf>
    <xf numFmtId="0" fontId="43" fillId="0" borderId="31" xfId="132" applyFont="1" applyBorder="1" applyAlignment="1">
      <alignment horizontal="center"/>
    </xf>
    <xf numFmtId="0" fontId="43" fillId="0" borderId="43" xfId="132" applyFont="1" applyBorder="1" applyAlignment="1">
      <alignment horizontal="center"/>
    </xf>
    <xf numFmtId="0" fontId="43" fillId="0" borderId="44" xfId="132" applyFont="1" applyBorder="1" applyAlignment="1">
      <alignment horizontal="center"/>
    </xf>
    <xf numFmtId="0" fontId="43" fillId="0" borderId="45" xfId="132" applyFont="1" applyBorder="1" applyAlignment="1">
      <alignment horizontal="center"/>
    </xf>
    <xf numFmtId="0" fontId="43" fillId="0" borderId="48" xfId="132" applyFont="1" applyBorder="1" applyAlignment="1">
      <alignment horizontal="center"/>
    </xf>
    <xf numFmtId="0" fontId="43" fillId="0" borderId="6" xfId="132" applyFont="1" applyBorder="1" applyAlignment="1">
      <alignment horizontal="center"/>
    </xf>
    <xf numFmtId="0" fontId="43" fillId="0" borderId="49" xfId="132" applyFont="1" applyBorder="1" applyAlignment="1">
      <alignment horizontal="center"/>
    </xf>
    <xf numFmtId="0" fontId="124" fillId="0" borderId="29" xfId="148" applyFont="1" applyBorder="1" applyAlignment="1">
      <alignment horizontal="center"/>
    </xf>
    <xf numFmtId="0" fontId="124" fillId="0" borderId="31" xfId="148" applyFont="1" applyBorder="1" applyAlignment="1">
      <alignment horizontal="center"/>
    </xf>
    <xf numFmtId="174" fontId="70" fillId="0" borderId="0" xfId="0" applyFont="1" applyAlignment="1">
      <alignment horizontal="left" vertical="center" wrapText="1"/>
    </xf>
    <xf numFmtId="0" fontId="19" fillId="0" borderId="0" xfId="129" applyFont="1" applyFill="1" applyAlignment="1">
      <alignment horizontal="left" vertical="top" wrapText="1"/>
    </xf>
    <xf numFmtId="0" fontId="87" fillId="0" borderId="0" xfId="129" applyFont="1" applyFill="1" applyAlignment="1">
      <alignment horizontal="left" vertical="top" wrapText="1"/>
    </xf>
    <xf numFmtId="0" fontId="109" fillId="0" borderId="0" xfId="137" applyBorder="1" applyAlignment="1">
      <alignment horizontal="center"/>
    </xf>
    <xf numFmtId="49" fontId="21" fillId="0" borderId="0" xfId="0" applyNumberFormat="1" applyFont="1" applyFill="1" applyBorder="1" applyAlignment="1">
      <alignment horizontal="center"/>
    </xf>
    <xf numFmtId="3" fontId="26" fillId="0" borderId="0" xfId="0" applyNumberFormat="1" applyFont="1" applyFill="1" applyBorder="1" applyAlignment="1">
      <alignment horizontal="center"/>
    </xf>
    <xf numFmtId="174" fontId="26" fillId="0" borderId="0" xfId="0" applyFont="1" applyFill="1" applyBorder="1" applyAlignment="1">
      <alignment horizontal="left" wrapText="1"/>
    </xf>
    <xf numFmtId="174" fontId="26" fillId="0" borderId="15" xfId="0" applyFont="1" applyFill="1" applyBorder="1" applyAlignment="1">
      <alignment horizontal="center"/>
    </xf>
    <xf numFmtId="174" fontId="26" fillId="0" borderId="32" xfId="0" applyFont="1" applyFill="1" applyBorder="1" applyAlignment="1">
      <alignment horizontal="center"/>
    </xf>
    <xf numFmtId="174" fontId="26" fillId="0" borderId="20" xfId="0" applyFont="1" applyFill="1" applyBorder="1" applyAlignment="1">
      <alignment horizontal="center"/>
    </xf>
    <xf numFmtId="174" fontId="26" fillId="0" borderId="0" xfId="0" applyFont="1" applyFill="1" applyBorder="1" applyAlignment="1">
      <alignment horizontal="left"/>
    </xf>
    <xf numFmtId="174" fontId="21" fillId="0" borderId="0" xfId="0" applyFont="1" applyFill="1" applyBorder="1" applyAlignment="1">
      <alignment horizontal="center"/>
    </xf>
    <xf numFmtId="3" fontId="26" fillId="0" borderId="0" xfId="0" applyNumberFormat="1" applyFont="1" applyFill="1" applyBorder="1" applyAlignment="1" applyProtection="1">
      <alignment horizontal="center"/>
      <protection locked="0"/>
    </xf>
    <xf numFmtId="174" fontId="49" fillId="0" borderId="0" xfId="0" applyFont="1" applyFill="1" applyBorder="1" applyAlignment="1">
      <alignment horizontal="center"/>
    </xf>
    <xf numFmtId="3" fontId="48" fillId="0" borderId="0" xfId="0" applyNumberFormat="1" applyFont="1" applyFill="1" applyBorder="1" applyAlignment="1" applyProtection="1">
      <alignment horizontal="center"/>
      <protection locked="0"/>
    </xf>
    <xf numFmtId="0" fontId="26" fillId="0" borderId="0" xfId="0" applyNumberFormat="1" applyFont="1" applyFill="1" applyBorder="1" applyAlignment="1" applyProtection="1">
      <alignment horizontal="center"/>
      <protection locked="0"/>
    </xf>
    <xf numFmtId="174" fontId="49" fillId="0" borderId="0" xfId="0" applyFont="1" applyAlignment="1">
      <alignment horizontal="center" vertical="center"/>
    </xf>
    <xf numFmtId="0" fontId="79" fillId="0" borderId="0" xfId="0" applyNumberFormat="1" applyFont="1" applyFill="1" applyAlignment="1" applyProtection="1">
      <alignment horizontal="center"/>
      <protection locked="0"/>
    </xf>
    <xf numFmtId="174" fontId="48" fillId="0" borderId="0" xfId="0" applyFont="1" applyFill="1" applyAlignment="1">
      <alignment horizontal="left" vertical="top" wrapText="1"/>
    </xf>
    <xf numFmtId="0" fontId="135" fillId="0" borderId="0" xfId="0" applyNumberFormat="1" applyFont="1" applyFill="1" applyAlignment="1">
      <alignment horizontal="left" vertical="top" wrapText="1"/>
    </xf>
    <xf numFmtId="0" fontId="8" fillId="0" borderId="0" xfId="161" applyAlignment="1">
      <alignment horizontal="center"/>
    </xf>
    <xf numFmtId="0" fontId="8" fillId="0" borderId="11" xfId="161" applyBorder="1" applyAlignment="1">
      <alignment horizontal="center"/>
    </xf>
    <xf numFmtId="0" fontId="8" fillId="0" borderId="32" xfId="161" applyBorder="1" applyAlignment="1">
      <alignment horizontal="center"/>
    </xf>
    <xf numFmtId="174" fontId="71" fillId="0" borderId="0" xfId="0" applyFont="1" applyAlignment="1">
      <alignment horizontal="left" vertical="top" wrapText="1"/>
    </xf>
    <xf numFmtId="0" fontId="135" fillId="0" borderId="0" xfId="0" applyNumberFormat="1" applyFont="1" applyFill="1" applyAlignment="1">
      <alignment vertical="top" wrapText="1"/>
    </xf>
    <xf numFmtId="174" fontId="26" fillId="0" borderId="0" xfId="0" applyFont="1" applyAlignment="1">
      <alignment horizontal="left" vertical="center" wrapText="1"/>
    </xf>
    <xf numFmtId="174" fontId="19" fillId="0" borderId="0" xfId="0" applyFont="1" applyAlignment="1">
      <alignment horizontal="left" vertical="center" wrapText="1"/>
    </xf>
  </cellXfs>
  <cellStyles count="231">
    <cellStyle name="20% - Accent1" xfId="1" builtinId="30" customBuiltin="1"/>
    <cellStyle name="20% - Accent1 2" xfId="206" xr:uid="{00000000-0005-0000-0000-0000BF000000}"/>
    <cellStyle name="20% - Accent2" xfId="2" builtinId="34" customBuiltin="1"/>
    <cellStyle name="20% - Accent2 2" xfId="210" xr:uid="{00000000-0005-0000-0000-0000C0000000}"/>
    <cellStyle name="20% - Accent3" xfId="3" builtinId="38" customBuiltin="1"/>
    <cellStyle name="20% - Accent3 2" xfId="214" xr:uid="{00000000-0005-0000-0000-0000C1000000}"/>
    <cellStyle name="20% - Accent4" xfId="4" builtinId="42" customBuiltin="1"/>
    <cellStyle name="20% - Accent4 2" xfId="218" xr:uid="{00000000-0005-0000-0000-0000C2000000}"/>
    <cellStyle name="20% - Accent5" xfId="5" builtinId="46" customBuiltin="1"/>
    <cellStyle name="20% - Accent5 2" xfId="222" xr:uid="{00000000-0005-0000-0000-0000C3000000}"/>
    <cellStyle name="20% - Accent6" xfId="6" builtinId="50" customBuiltin="1"/>
    <cellStyle name="20% - Accent6 2" xfId="226" xr:uid="{00000000-0005-0000-0000-0000C4000000}"/>
    <cellStyle name="40% - Accent1" xfId="7" builtinId="31" customBuiltin="1"/>
    <cellStyle name="40% - Accent1 2" xfId="207" xr:uid="{00000000-0005-0000-0000-0000C5000000}"/>
    <cellStyle name="40% - Accent2" xfId="8" builtinId="35" customBuiltin="1"/>
    <cellStyle name="40% - Accent2 2" xfId="211" xr:uid="{00000000-0005-0000-0000-0000C6000000}"/>
    <cellStyle name="40% - Accent3" xfId="9" builtinId="39" customBuiltin="1"/>
    <cellStyle name="40% - Accent3 2" xfId="215" xr:uid="{00000000-0005-0000-0000-0000C7000000}"/>
    <cellStyle name="40% - Accent4" xfId="10" builtinId="43" customBuiltin="1"/>
    <cellStyle name="40% - Accent4 2" xfId="219" xr:uid="{00000000-0005-0000-0000-0000C8000000}"/>
    <cellStyle name="40% - Accent5" xfId="11" builtinId="47" customBuiltin="1"/>
    <cellStyle name="40% - Accent5 2" xfId="223" xr:uid="{00000000-0005-0000-0000-0000C9000000}"/>
    <cellStyle name="40% - Accent6" xfId="12" builtinId="51" customBuiltin="1"/>
    <cellStyle name="40% - Accent6 2" xfId="227" xr:uid="{00000000-0005-0000-0000-0000CA000000}"/>
    <cellStyle name="60% - Accent1" xfId="13" builtinId="32" customBuiltin="1"/>
    <cellStyle name="60% - Accent1 2" xfId="208" xr:uid="{00000000-0005-0000-0000-0000CB000000}"/>
    <cellStyle name="60% - Accent2" xfId="14" builtinId="36" customBuiltin="1"/>
    <cellStyle name="60% - Accent2 2" xfId="212" xr:uid="{00000000-0005-0000-0000-0000CC000000}"/>
    <cellStyle name="60% - Accent3" xfId="15" builtinId="40" customBuiltin="1"/>
    <cellStyle name="60% - Accent3 2" xfId="216" xr:uid="{00000000-0005-0000-0000-0000CD000000}"/>
    <cellStyle name="60% - Accent4" xfId="16" builtinId="44" customBuiltin="1"/>
    <cellStyle name="60% - Accent4 2" xfId="220" xr:uid="{00000000-0005-0000-0000-0000CE000000}"/>
    <cellStyle name="60% - Accent5" xfId="17" builtinId="48" customBuiltin="1"/>
    <cellStyle name="60% - Accent5 2" xfId="224" xr:uid="{00000000-0005-0000-0000-0000CF000000}"/>
    <cellStyle name="60% - Accent6" xfId="18" builtinId="52" customBuiltin="1"/>
    <cellStyle name="60% - Accent6 2" xfId="228" xr:uid="{00000000-0005-0000-0000-0000D0000000}"/>
    <cellStyle name="Accent1" xfId="19" builtinId="29" customBuiltin="1"/>
    <cellStyle name="Accent1 2" xfId="205" xr:uid="{00000000-0005-0000-0000-0000D1000000}"/>
    <cellStyle name="Accent2" xfId="20" builtinId="33" customBuiltin="1"/>
    <cellStyle name="Accent2 2" xfId="209" xr:uid="{00000000-0005-0000-0000-0000D2000000}"/>
    <cellStyle name="Accent3" xfId="21" builtinId="37" customBuiltin="1"/>
    <cellStyle name="Accent3 2" xfId="213" xr:uid="{00000000-0005-0000-0000-0000D3000000}"/>
    <cellStyle name="Accent4" xfId="22" builtinId="41" customBuiltin="1"/>
    <cellStyle name="Accent4 2" xfId="217" xr:uid="{00000000-0005-0000-0000-0000D4000000}"/>
    <cellStyle name="Accent5" xfId="23" builtinId="45" customBuiltin="1"/>
    <cellStyle name="Accent5 2" xfId="221" xr:uid="{00000000-0005-0000-0000-0000D5000000}"/>
    <cellStyle name="Accent6" xfId="24" builtinId="49" customBuiltin="1"/>
    <cellStyle name="Accent6 2" xfId="225" xr:uid="{00000000-0005-0000-0000-0000D6000000}"/>
    <cellStyle name="Bad" xfId="25" builtinId="27" customBuiltin="1"/>
    <cellStyle name="Bad 2" xfId="194" xr:uid="{00000000-0005-0000-0000-0000D7000000}"/>
    <cellStyle name="C00A" xfId="26" xr:uid="{00000000-0005-0000-0000-000019000000}"/>
    <cellStyle name="C00B" xfId="27" xr:uid="{00000000-0005-0000-0000-00001A000000}"/>
    <cellStyle name="C00L" xfId="28" xr:uid="{00000000-0005-0000-0000-00001B000000}"/>
    <cellStyle name="C01A" xfId="29" xr:uid="{00000000-0005-0000-0000-00001C000000}"/>
    <cellStyle name="C01B" xfId="30" xr:uid="{00000000-0005-0000-0000-00001D000000}"/>
    <cellStyle name="C01H" xfId="31" xr:uid="{00000000-0005-0000-0000-00001E000000}"/>
    <cellStyle name="C01L" xfId="32" xr:uid="{00000000-0005-0000-0000-00001F000000}"/>
    <cellStyle name="C02A" xfId="33" xr:uid="{00000000-0005-0000-0000-000020000000}"/>
    <cellStyle name="C02B" xfId="34" xr:uid="{00000000-0005-0000-0000-000021000000}"/>
    <cellStyle name="C02H" xfId="35" xr:uid="{00000000-0005-0000-0000-000022000000}"/>
    <cellStyle name="C02L" xfId="36" xr:uid="{00000000-0005-0000-0000-000023000000}"/>
    <cellStyle name="C03A" xfId="37" xr:uid="{00000000-0005-0000-0000-000024000000}"/>
    <cellStyle name="C03B" xfId="38" xr:uid="{00000000-0005-0000-0000-000025000000}"/>
    <cellStyle name="C03H" xfId="39" xr:uid="{00000000-0005-0000-0000-000026000000}"/>
    <cellStyle name="C03L" xfId="40" xr:uid="{00000000-0005-0000-0000-000027000000}"/>
    <cellStyle name="C04A" xfId="41" xr:uid="{00000000-0005-0000-0000-000028000000}"/>
    <cellStyle name="C04B" xfId="42" xr:uid="{00000000-0005-0000-0000-000029000000}"/>
    <cellStyle name="C04H" xfId="43" xr:uid="{00000000-0005-0000-0000-00002A000000}"/>
    <cellStyle name="C04L" xfId="44" xr:uid="{00000000-0005-0000-0000-00002B000000}"/>
    <cellStyle name="C05A" xfId="45" xr:uid="{00000000-0005-0000-0000-00002C000000}"/>
    <cellStyle name="C05B" xfId="46" xr:uid="{00000000-0005-0000-0000-00002D000000}"/>
    <cellStyle name="C05H" xfId="47" xr:uid="{00000000-0005-0000-0000-00002E000000}"/>
    <cellStyle name="C05L" xfId="48" xr:uid="{00000000-0005-0000-0000-00002F000000}"/>
    <cellStyle name="C05L 2" xfId="163" xr:uid="{00000000-0005-0000-0000-000030000000}"/>
    <cellStyle name="C06A" xfId="49" xr:uid="{00000000-0005-0000-0000-000031000000}"/>
    <cellStyle name="C06B" xfId="50" xr:uid="{00000000-0005-0000-0000-000032000000}"/>
    <cellStyle name="C06H" xfId="51" xr:uid="{00000000-0005-0000-0000-000033000000}"/>
    <cellStyle name="C06L" xfId="52" xr:uid="{00000000-0005-0000-0000-000034000000}"/>
    <cellStyle name="C07A" xfId="53" xr:uid="{00000000-0005-0000-0000-000035000000}"/>
    <cellStyle name="C07B" xfId="54" xr:uid="{00000000-0005-0000-0000-000036000000}"/>
    <cellStyle name="C07H" xfId="55" xr:uid="{00000000-0005-0000-0000-000037000000}"/>
    <cellStyle name="C07L" xfId="56" xr:uid="{00000000-0005-0000-0000-000038000000}"/>
    <cellStyle name="Calculation" xfId="57" builtinId="22" customBuiltin="1"/>
    <cellStyle name="Calculation 2" xfId="198" xr:uid="{00000000-0005-0000-0000-0000D8000000}"/>
    <cellStyle name="Check Cell" xfId="58" builtinId="23" customBuiltin="1"/>
    <cellStyle name="Check Cell 2" xfId="200" xr:uid="{00000000-0005-0000-0000-0000D9000000}"/>
    <cellStyle name="Comma" xfId="59" builtinId="3"/>
    <cellStyle name="Comma [0] 2" xfId="159" xr:uid="{00000000-0005-0000-0000-00003C000000}"/>
    <cellStyle name="Comma [0] 2 2" xfId="183" xr:uid="{00000000-0005-0000-0000-00003D000000}"/>
    <cellStyle name="Comma 10" xfId="229" xr:uid="{00000000-0005-0000-0000-0000DA000000}"/>
    <cellStyle name="Comma 11" xfId="230" xr:uid="{00000000-0005-0000-0000-0000EA000000}"/>
    <cellStyle name="Comma 2" xfId="60" xr:uid="{00000000-0005-0000-0000-00003E000000}"/>
    <cellStyle name="Comma 2 2" xfId="61" xr:uid="{00000000-0005-0000-0000-00003F000000}"/>
    <cellStyle name="Comma 2 2 2" xfId="164" xr:uid="{00000000-0005-0000-0000-000040000000}"/>
    <cellStyle name="Comma 2 3" xfId="136" xr:uid="{00000000-0005-0000-0000-000041000000}"/>
    <cellStyle name="Comma 2 4" xfId="155" xr:uid="{00000000-0005-0000-0000-000042000000}"/>
    <cellStyle name="Comma 20" xfId="146" xr:uid="{00000000-0005-0000-0000-000043000000}"/>
    <cellStyle name="Comma 21" xfId="147" xr:uid="{00000000-0005-0000-0000-000044000000}"/>
    <cellStyle name="Comma 3" xfId="133" xr:uid="{00000000-0005-0000-0000-000045000000}"/>
    <cellStyle name="Comma 3 2" xfId="139" xr:uid="{00000000-0005-0000-0000-000046000000}"/>
    <cellStyle name="Comma 4" xfId="140" xr:uid="{00000000-0005-0000-0000-000047000000}"/>
    <cellStyle name="Comma 5" xfId="149" xr:uid="{00000000-0005-0000-0000-000048000000}"/>
    <cellStyle name="Comma 5 2" xfId="180" xr:uid="{00000000-0005-0000-0000-000049000000}"/>
    <cellStyle name="Comma 6" xfId="151" xr:uid="{00000000-0005-0000-0000-00004A000000}"/>
    <cellStyle name="Comma 7" xfId="153" xr:uid="{00000000-0005-0000-0000-00004B000000}"/>
    <cellStyle name="Comma 7 2" xfId="182" xr:uid="{00000000-0005-0000-0000-00004C000000}"/>
    <cellStyle name="Comma 8" xfId="160" xr:uid="{00000000-0005-0000-0000-00004D000000}"/>
    <cellStyle name="Comma 8 2" xfId="184" xr:uid="{00000000-0005-0000-0000-00004E000000}"/>
    <cellStyle name="Comma 9" xfId="162" xr:uid="{00000000-0005-0000-0000-00004F000000}"/>
    <cellStyle name="Comma 9 2" xfId="186" xr:uid="{00000000-0005-0000-0000-000050000000}"/>
    <cellStyle name="Comma0" xfId="62" xr:uid="{00000000-0005-0000-0000-000051000000}"/>
    <cellStyle name="Currency" xfId="63" builtinId="4"/>
    <cellStyle name="Currency 2" xfId="131" xr:uid="{00000000-0005-0000-0000-000053000000}"/>
    <cellStyle name="Currency 2 2" xfId="142" xr:uid="{00000000-0005-0000-0000-000054000000}"/>
    <cellStyle name="Currency 3" xfId="138" xr:uid="{00000000-0005-0000-0000-000055000000}"/>
    <cellStyle name="Currency0" xfId="64" xr:uid="{00000000-0005-0000-0000-000056000000}"/>
    <cellStyle name="Date" xfId="65" xr:uid="{00000000-0005-0000-0000-000057000000}"/>
    <cellStyle name="Explanatory Text" xfId="66" builtinId="53" customBuiltin="1"/>
    <cellStyle name="Explanatory Text 2" xfId="203" xr:uid="{00000000-0005-0000-0000-0000DB000000}"/>
    <cellStyle name="Fixed" xfId="67" xr:uid="{00000000-0005-0000-0000-000059000000}"/>
    <cellStyle name="Good" xfId="68" builtinId="26" customBuiltin="1"/>
    <cellStyle name="Good 2" xfId="193" xr:uid="{00000000-0005-0000-0000-0000DC000000}"/>
    <cellStyle name="Heading 1" xfId="69" builtinId="16" customBuiltin="1"/>
    <cellStyle name="Heading 1 2" xfId="189" xr:uid="{00000000-0005-0000-0000-0000DD000000}"/>
    <cellStyle name="Heading 2" xfId="70" builtinId="17" customBuiltin="1"/>
    <cellStyle name="Heading 2 2" xfId="165" xr:uid="{00000000-0005-0000-0000-00005D000000}"/>
    <cellStyle name="Heading 2 3" xfId="190" xr:uid="{00000000-0005-0000-0000-0000DE000000}"/>
    <cellStyle name="Heading 3" xfId="71" builtinId="18" customBuiltin="1"/>
    <cellStyle name="Heading 3 2" xfId="191" xr:uid="{00000000-0005-0000-0000-0000DF000000}"/>
    <cellStyle name="Heading 4" xfId="72" builtinId="19" customBuiltin="1"/>
    <cellStyle name="Heading 4 2" xfId="192" xr:uid="{00000000-0005-0000-0000-0000E0000000}"/>
    <cellStyle name="Heading1" xfId="73" xr:uid="{00000000-0005-0000-0000-000060000000}"/>
    <cellStyle name="Heading2" xfId="74" xr:uid="{00000000-0005-0000-0000-000061000000}"/>
    <cellStyle name="Input" xfId="75" builtinId="20" customBuiltin="1"/>
    <cellStyle name="Input 2" xfId="196" xr:uid="{00000000-0005-0000-0000-0000E1000000}"/>
    <cellStyle name="Linked Cell" xfId="76" builtinId="24" customBuiltin="1"/>
    <cellStyle name="Linked Cell 2" xfId="199" xr:uid="{00000000-0005-0000-0000-0000E2000000}"/>
    <cellStyle name="Neutral" xfId="77" builtinId="28" customBuiltin="1"/>
    <cellStyle name="Neutral 2" xfId="195" xr:uid="{00000000-0005-0000-0000-0000E3000000}"/>
    <cellStyle name="Normal" xfId="0" builtinId="0"/>
    <cellStyle name="Normal 10" xfId="161" xr:uid="{00000000-0005-0000-0000-000066000000}"/>
    <cellStyle name="Normal 10 2" xfId="144" xr:uid="{00000000-0005-0000-0000-000067000000}"/>
    <cellStyle name="Normal 10 3" xfId="185" xr:uid="{00000000-0005-0000-0000-000068000000}"/>
    <cellStyle name="Normal 11" xfId="187" xr:uid="{00000000-0005-0000-0000-0000E4000000}"/>
    <cellStyle name="Normal 2" xfId="78" xr:uid="{00000000-0005-0000-0000-000069000000}"/>
    <cellStyle name="Normal 2 2" xfId="79" xr:uid="{00000000-0005-0000-0000-00006A000000}"/>
    <cellStyle name="Normal 2 2 2" xfId="166" xr:uid="{00000000-0005-0000-0000-00006B000000}"/>
    <cellStyle name="Normal 2 3" xfId="154" xr:uid="{00000000-0005-0000-0000-00006C000000}"/>
    <cellStyle name="Normal 20" xfId="145" xr:uid="{00000000-0005-0000-0000-00006D000000}"/>
    <cellStyle name="Normal 3" xfId="80" xr:uid="{00000000-0005-0000-0000-00006E000000}"/>
    <cellStyle name="Normal 3 2" xfId="81" xr:uid="{00000000-0005-0000-0000-00006F000000}"/>
    <cellStyle name="Normal 3 2 2" xfId="168" xr:uid="{00000000-0005-0000-0000-000070000000}"/>
    <cellStyle name="Normal 3 3" xfId="167" xr:uid="{00000000-0005-0000-0000-000071000000}"/>
    <cellStyle name="Normal 4" xfId="129" xr:uid="{00000000-0005-0000-0000-000072000000}"/>
    <cellStyle name="Normal 4 2" xfId="176" xr:uid="{00000000-0005-0000-0000-000073000000}"/>
    <cellStyle name="Normal 5" xfId="132" xr:uid="{00000000-0005-0000-0000-000074000000}"/>
    <cellStyle name="Normal 6" xfId="137" xr:uid="{00000000-0005-0000-0000-000075000000}"/>
    <cellStyle name="Normal 6 2" xfId="178" xr:uid="{00000000-0005-0000-0000-000076000000}"/>
    <cellStyle name="Normal 7" xfId="148" xr:uid="{00000000-0005-0000-0000-000077000000}"/>
    <cellStyle name="Normal 7 2" xfId="179" xr:uid="{00000000-0005-0000-0000-000078000000}"/>
    <cellStyle name="Normal 8" xfId="150" xr:uid="{00000000-0005-0000-0000-000079000000}"/>
    <cellStyle name="Normal 9" xfId="152" xr:uid="{00000000-0005-0000-0000-00007A000000}"/>
    <cellStyle name="Normal 9 2" xfId="181" xr:uid="{00000000-0005-0000-0000-00007B000000}"/>
    <cellStyle name="Normal_21 Exh B" xfId="135" xr:uid="{00000000-0005-0000-0000-00007C000000}"/>
    <cellStyle name="Normal_ATSI Attachment H-20A-Appendix A- Schedule 1A_7-29-2010 " xfId="82" xr:uid="{00000000-0005-0000-0000-00007D000000}"/>
    <cellStyle name="Normal_Attachment Os for 2002 True-up" xfId="143" xr:uid="{00000000-0005-0000-0000-00007E000000}"/>
    <cellStyle name="Note" xfId="83" builtinId="10" customBuiltin="1"/>
    <cellStyle name="Note 2" xfId="202" xr:uid="{00000000-0005-0000-0000-0000E5000000}"/>
    <cellStyle name="Output" xfId="84" builtinId="21" customBuiltin="1"/>
    <cellStyle name="Output 2" xfId="197" xr:uid="{00000000-0005-0000-0000-0000E6000000}"/>
    <cellStyle name="Percent" xfId="85" builtinId="5"/>
    <cellStyle name="Percent 2" xfId="130" xr:uid="{00000000-0005-0000-0000-000082000000}"/>
    <cellStyle name="Percent 2 2" xfId="86" xr:uid="{00000000-0005-0000-0000-000083000000}"/>
    <cellStyle name="Percent 2 2 2" xfId="141" xr:uid="{00000000-0005-0000-0000-000084000000}"/>
    <cellStyle name="Percent 2 3" xfId="177" xr:uid="{00000000-0005-0000-0000-000085000000}"/>
    <cellStyle name="Percent 3" xfId="134" xr:uid="{00000000-0005-0000-0000-000086000000}"/>
    <cellStyle name="PSChar" xfId="87" xr:uid="{00000000-0005-0000-0000-000087000000}"/>
    <cellStyle name="PSChar 2" xfId="169" xr:uid="{00000000-0005-0000-0000-000088000000}"/>
    <cellStyle name="PSDate" xfId="88" xr:uid="{00000000-0005-0000-0000-000089000000}"/>
    <cellStyle name="PSDate 2" xfId="170" xr:uid="{00000000-0005-0000-0000-00008A000000}"/>
    <cellStyle name="PSDec" xfId="89" xr:uid="{00000000-0005-0000-0000-00008B000000}"/>
    <cellStyle name="PSDec 2" xfId="171" xr:uid="{00000000-0005-0000-0000-00008C000000}"/>
    <cellStyle name="PSdesc" xfId="90" xr:uid="{00000000-0005-0000-0000-00008D000000}"/>
    <cellStyle name="PSHeading" xfId="91" xr:uid="{00000000-0005-0000-0000-00008E000000}"/>
    <cellStyle name="PSHeading 2" xfId="172" xr:uid="{00000000-0005-0000-0000-00008F000000}"/>
    <cellStyle name="PSInt" xfId="92" xr:uid="{00000000-0005-0000-0000-000090000000}"/>
    <cellStyle name="PSInt 2" xfId="173" xr:uid="{00000000-0005-0000-0000-000091000000}"/>
    <cellStyle name="PSSpacer" xfId="93" xr:uid="{00000000-0005-0000-0000-000092000000}"/>
    <cellStyle name="PSSpacer 2" xfId="174" xr:uid="{00000000-0005-0000-0000-000093000000}"/>
    <cellStyle name="PStest" xfId="94" xr:uid="{00000000-0005-0000-0000-000094000000}"/>
    <cellStyle name="R00A" xfId="95" xr:uid="{00000000-0005-0000-0000-000095000000}"/>
    <cellStyle name="R00B" xfId="96" xr:uid="{00000000-0005-0000-0000-000096000000}"/>
    <cellStyle name="R00L" xfId="97" xr:uid="{00000000-0005-0000-0000-000097000000}"/>
    <cellStyle name="R01A" xfId="98" xr:uid="{00000000-0005-0000-0000-000098000000}"/>
    <cellStyle name="R01B" xfId="99" xr:uid="{00000000-0005-0000-0000-000099000000}"/>
    <cellStyle name="R01H" xfId="100" xr:uid="{00000000-0005-0000-0000-00009A000000}"/>
    <cellStyle name="R01L" xfId="101" xr:uid="{00000000-0005-0000-0000-00009B000000}"/>
    <cellStyle name="R02A" xfId="102" xr:uid="{00000000-0005-0000-0000-00009C000000}"/>
    <cellStyle name="R02B" xfId="103" xr:uid="{00000000-0005-0000-0000-00009D000000}"/>
    <cellStyle name="R02H" xfId="104" xr:uid="{00000000-0005-0000-0000-00009E000000}"/>
    <cellStyle name="R02L" xfId="105" xr:uid="{00000000-0005-0000-0000-00009F000000}"/>
    <cellStyle name="R03A" xfId="106" xr:uid="{00000000-0005-0000-0000-0000A0000000}"/>
    <cellStyle name="R03B" xfId="107" xr:uid="{00000000-0005-0000-0000-0000A1000000}"/>
    <cellStyle name="R03H" xfId="108" xr:uid="{00000000-0005-0000-0000-0000A2000000}"/>
    <cellStyle name="R03L" xfId="109" xr:uid="{00000000-0005-0000-0000-0000A3000000}"/>
    <cellStyle name="R04A" xfId="110" xr:uid="{00000000-0005-0000-0000-0000A4000000}"/>
    <cellStyle name="R04B" xfId="111" xr:uid="{00000000-0005-0000-0000-0000A5000000}"/>
    <cellStyle name="R04H" xfId="112" xr:uid="{00000000-0005-0000-0000-0000A6000000}"/>
    <cellStyle name="R04L" xfId="113" xr:uid="{00000000-0005-0000-0000-0000A7000000}"/>
    <cellStyle name="R05A" xfId="114" xr:uid="{00000000-0005-0000-0000-0000A8000000}"/>
    <cellStyle name="R05B" xfId="115" xr:uid="{00000000-0005-0000-0000-0000A9000000}"/>
    <cellStyle name="R05H" xfId="116" xr:uid="{00000000-0005-0000-0000-0000AA000000}"/>
    <cellStyle name="R05L" xfId="117" xr:uid="{00000000-0005-0000-0000-0000AB000000}"/>
    <cellStyle name="R05L 2" xfId="175" xr:uid="{00000000-0005-0000-0000-0000AC000000}"/>
    <cellStyle name="R06A" xfId="118" xr:uid="{00000000-0005-0000-0000-0000AD000000}"/>
    <cellStyle name="R06B" xfId="119" xr:uid="{00000000-0005-0000-0000-0000AE000000}"/>
    <cellStyle name="R06H" xfId="120" xr:uid="{00000000-0005-0000-0000-0000AF000000}"/>
    <cellStyle name="R06L" xfId="121" xr:uid="{00000000-0005-0000-0000-0000B0000000}"/>
    <cellStyle name="R07A" xfId="122" xr:uid="{00000000-0005-0000-0000-0000B1000000}"/>
    <cellStyle name="R07B" xfId="123" xr:uid="{00000000-0005-0000-0000-0000B2000000}"/>
    <cellStyle name="R07H" xfId="124" xr:uid="{00000000-0005-0000-0000-0000B3000000}"/>
    <cellStyle name="R07L" xfId="125" xr:uid="{00000000-0005-0000-0000-0000B4000000}"/>
    <cellStyle name="SAPBEXaggData" xfId="158" xr:uid="{00000000-0005-0000-0000-0000B5000000}"/>
    <cellStyle name="SAPBEXstdData" xfId="156" xr:uid="{00000000-0005-0000-0000-0000B6000000}"/>
    <cellStyle name="SAPBEXstdItem" xfId="157" xr:uid="{00000000-0005-0000-0000-0000B7000000}"/>
    <cellStyle name="Title" xfId="126" builtinId="15" customBuiltin="1"/>
    <cellStyle name="Title 2" xfId="188" xr:uid="{00000000-0005-0000-0000-0000E7000000}"/>
    <cellStyle name="Total" xfId="127" builtinId="25" customBuiltin="1"/>
    <cellStyle name="Total 2" xfId="204" xr:uid="{00000000-0005-0000-0000-0000E8000000}"/>
    <cellStyle name="Warning Text" xfId="128" builtinId="11" customBuiltin="1"/>
    <cellStyle name="Warning Text 2" xfId="201" xr:uid="{00000000-0005-0000-0000-0000E9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theme" Target="theme/theme1.xml"/><Relationship Id="rId21" Type="http://schemas.openxmlformats.org/officeDocument/2006/relationships/worksheet" Target="worksheets/sheet21.xml"/><Relationship Id="rId34" Type="http://schemas.openxmlformats.org/officeDocument/2006/relationships/externalLink" Target="externalLinks/externalLink3.xml"/><Relationship Id="rId42"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1.xml"/><Relationship Id="rId37" Type="http://schemas.openxmlformats.org/officeDocument/2006/relationships/externalLink" Target="externalLinks/externalLink6.xml"/><Relationship Id="rId40"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externalLink" Target="externalLinks/externalLink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externalLink" Target="externalLinks/externalLink4.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2.xml"/><Relationship Id="rId38" Type="http://schemas.openxmlformats.org/officeDocument/2006/relationships/externalLink" Target="externalLinks/externalLink7.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02/TRANS/2001/SUPPORT-PACKAGES/DPLG-APRIL2001-TRANSCHECKOUT.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U:\2002\TRANS\2001\SUPPORT-PACKAGES\DPLG-APRIL2001-TRANSCHECKOUT.xls"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Last%20File%20Schedules%20(version%20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Working/Annual%20Update%20-%202013/2013%20Annual%20Update%2020130430.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Working/Annual%20Update%20-%202013/Data/Capital%20projection%2020130417.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U:\tariffs\2000\formula%20rates\NSP%20xcelcoss%20miso.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tariffs/2000/formula%20rates/NSP%20xcelcoss%20mis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PLG-APRIL2001-TRANSCHECKOUT"/>
      <sheetName val="O (2)"/>
      <sheetName val="CHECKOUTXXX"/>
      <sheetName val="TAGS"/>
      <sheetName val=" DPLG-TOTAL-ENERGY"/>
      <sheetName val="TRADER"/>
      <sheetName val="OFF-PEAK-HOURS"/>
    </sheetNames>
    <sheetDataSet>
      <sheetData sheetId="0">
        <row r="1">
          <cell r="A1" t="str">
            <v>this is a dummy file</v>
          </cell>
        </row>
      </sheetData>
      <sheetData sheetId="1"/>
      <sheetData sheetId="2"/>
      <sheetData sheetId="3"/>
      <sheetData sheetId="4"/>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PLG-APRIL2001-TRANSCHECKOUT"/>
      <sheetName val="O (2)"/>
      <sheetName val="CHECKOUTXXX"/>
      <sheetName val="TAGS"/>
      <sheetName val=" DPLG-TOTAL-ENERGY"/>
      <sheetName val="TRADER"/>
      <sheetName val="OFF-PEAK-HOURS"/>
    </sheetNames>
    <sheetDataSet>
      <sheetData sheetId="0">
        <row r="1">
          <cell r="A1" t="str">
            <v>this is a dummy file</v>
          </cell>
        </row>
      </sheetData>
      <sheetData sheetId="1"/>
      <sheetData sheetId="2"/>
      <sheetData sheetId="3"/>
      <sheetData sheetId="4"/>
      <sheetData sheetId="5"/>
      <sheetData sheetId="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A2"/>
      <sheetName val="AB2"/>
      <sheetName val="AC2"/>
      <sheetName val="AD2"/>
      <sheetName val="AE1"/>
      <sheetName val="AE2"/>
      <sheetName val="AF2 253"/>
      <sheetName val="AF2 254"/>
      <sheetName val="AF2 255"/>
      <sheetName val="AF2 ADIT New"/>
      <sheetName val="AF 253"/>
      <sheetName val="AF 255"/>
      <sheetName val="AF ADIT New"/>
      <sheetName val="AG2 114"/>
      <sheetName val="AG2 182.3"/>
      <sheetName val="AG2 186"/>
      <sheetName val="AG2 190 New"/>
      <sheetName val="AG 114"/>
      <sheetName val="AG 182.3"/>
      <sheetName val="AG 186"/>
      <sheetName val="AG 190 New"/>
      <sheetName val="AH2 Summary"/>
      <sheetName val="AH2 Prod"/>
      <sheetName val="AH2 Prod (2)"/>
      <sheetName val="AH2 Def Fuel"/>
      <sheetName val="AH2 930"/>
      <sheetName val="AH2 Fuel"/>
      <sheetName val="AH2 PurchPower"/>
      <sheetName val="AH Summary"/>
      <sheetName val="AH Prod"/>
      <sheetName val="AH Prod (2)"/>
      <sheetName val="AH Def Fuel"/>
      <sheetName val="AH 930"/>
      <sheetName val="AH Fuel"/>
      <sheetName val="AH PurchPower"/>
      <sheetName val="AI2 P1"/>
      <sheetName val="AI2 P2"/>
      <sheetName val="AI2 P3"/>
      <sheetName val="AI P1"/>
      <sheetName val="AI P2"/>
      <sheetName val="AI P3"/>
      <sheetName val="AI Labor WP"/>
      <sheetName val="AJ2"/>
      <sheetName val="AK2 P1"/>
      <sheetName val="AK2 PropTax"/>
      <sheetName val="AL2 Summary"/>
      <sheetName val="AL2 151"/>
      <sheetName val="AL2 120"/>
      <sheetName val="AL2 154"/>
      <sheetName val="AL2 163"/>
      <sheetName val="AL2 165"/>
      <sheetName val="AL Summary"/>
      <sheetName val="AL 151"/>
      <sheetName val="AL 120"/>
      <sheetName val="AL154"/>
      <sheetName val="AL 163"/>
      <sheetName val="AL 165"/>
      <sheetName val="AM 2"/>
      <sheetName val="AN 2"/>
      <sheetName val="AN"/>
      <sheetName val="AO2 AFUDC"/>
      <sheetName val="AO2 S-T"/>
      <sheetName val="AO2 L-T and Pref rate"/>
      <sheetName val="AO AFUDC"/>
      <sheetName val="AO S-T"/>
      <sheetName val="AO L-T and Pref rate"/>
      <sheetName val="AP-Period II"/>
      <sheetName val="AP"/>
      <sheetName val="AQ 2 AQ 1"/>
      <sheetName val="AQ 2 AQ2"/>
      <sheetName val="AQ AQ 1"/>
      <sheetName val="AQ AQ"/>
      <sheetName val="AR 2 A"/>
      <sheetName val="AR 2 ITC"/>
      <sheetName val="AR A"/>
      <sheetName val="AR ITC"/>
      <sheetName val="AS 2 AS"/>
      <sheetName val="AS AS"/>
      <sheetName val="AT 2 A"/>
      <sheetName val="AT A"/>
      <sheetName val="AU 2 AU"/>
      <sheetName val="AU AU"/>
      <sheetName val="AU AU (2)"/>
      <sheetName val="AV 2 COC"/>
      <sheetName val="AV 2 LTD"/>
      <sheetName val="AV 2 SUN"/>
      <sheetName val="AV 2 PCB"/>
      <sheetName val="AV 2 FMB"/>
      <sheetName val="AV 2 Prfd"/>
      <sheetName val="AV 2 Sheet1"/>
      <sheetName val="AV 2 Common"/>
      <sheetName val="AV 2 Cash Flow"/>
      <sheetName val="AV COC"/>
      <sheetName val="AV LTD"/>
      <sheetName val="AV SUN"/>
      <sheetName val="AV PCB"/>
      <sheetName val="AV FMB"/>
      <sheetName val="AV Prfd"/>
      <sheetName val="AV Sheet1"/>
      <sheetName val="AV Common"/>
      <sheetName val="AW 2 AW-Period II"/>
      <sheetName val="AW AW"/>
      <sheetName val="AW ST Debt Bal"/>
      <sheetName val="AX 2 AX"/>
      <sheetName val="AX AX"/>
      <sheetName val="AY 2 AY"/>
      <sheetName val="AY AY"/>
      <sheetName val="BA 2 BA"/>
      <sheetName val="BA BA"/>
      <sheetName val="BB 2 p1"/>
      <sheetName val="BB p1"/>
      <sheetName val="BC 2 2005BC"/>
      <sheetName val="BC 2000_2003"/>
      <sheetName val="BD 2 BD"/>
      <sheetName val="BD BD"/>
      <sheetName val="BD_6-12-06"/>
      <sheetName val="BG 2 p2"/>
      <sheetName val="BG p2"/>
      <sheetName val="BH 2 p1"/>
      <sheetName val="BH 2 p2"/>
      <sheetName val="BH p1"/>
      <sheetName val="BH p2"/>
      <sheetName val="BI 2 BI"/>
      <sheetName val="BI BI"/>
      <sheetName val="BK 2 BK"/>
      <sheetName val="BL 2 Rate design-Schedule BL"/>
      <sheetName val="BL BI"/>
      <sheetName val="CAPST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nges"/>
      <sheetName val="Appendix A"/>
      <sheetName val="Appendix B"/>
      <sheetName val="Summary of Rates"/>
      <sheetName val="ATT 1 - ADIT"/>
      <sheetName val="ATT 1a - ADIT"/>
      <sheetName val="ATT 2 - Other Taxes"/>
      <sheetName val="2010 3 - Revenue Credits"/>
      <sheetName val="ATT 4 - 100 Basis Point ROE"/>
      <sheetName val="2010 5 - Cost Support"/>
      <sheetName val="2010 6 - Est &amp; Reconcile WS"/>
      <sheetName val="2010 7 - Trans Enhance Charge"/>
      <sheetName val="ATT 8 - Depreciation Rates"/>
      <sheetName val="ATT 9a - Load Divisor"/>
      <sheetName val="ATT 9a1 - Load current year"/>
      <sheetName val="ATT 9a2 - Load one year prior"/>
      <sheetName val="ATT 9a3 - Load two years prior"/>
      <sheetName val="ATT 9b - Load Divisor True-up"/>
      <sheetName val="ATT 10 - Acc Amort of PIS"/>
      <sheetName val="ATT 11 - Prepayments"/>
      <sheetName val="ATT 12 - Plant Held Future Use"/>
      <sheetName val="2010 13 - Revenue Credit Detail"/>
      <sheetName val="ATT 14-Cost of Capital Detail"/>
      <sheetName val="ATT 15 - GSU and Assoc'd Equip"/>
      <sheetName val="ATT 16 - Unfunded Reserves"/>
      <sheetName val="ATT 17 - PBOP"/>
      <sheetName val="Inputs"/>
      <sheetName val="PIS projection"/>
      <sheetName val="PIS true-up"/>
      <sheetName val="FERC Form 1 data"/>
    </sheetNames>
    <sheetDataSet>
      <sheetData sheetId="0"/>
      <sheetData sheetId="1">
        <row r="5">
          <cell r="H5">
            <v>2012</v>
          </cell>
          <cell r="P5" t="str">
            <v>Projection</v>
          </cell>
        </row>
        <row r="6">
          <cell r="P6" t="str">
            <v>True-up</v>
          </cell>
        </row>
        <row r="17">
          <cell r="H17">
            <v>7.3398818350960335E-2</v>
          </cell>
        </row>
        <row r="29">
          <cell r="H29">
            <v>0.20421179118054886</v>
          </cell>
        </row>
        <row r="32">
          <cell r="H32">
            <v>0.24176082444075614</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ow r="15">
          <cell r="D15">
            <v>151699035</v>
          </cell>
          <cell r="E15">
            <v>160882952</v>
          </cell>
          <cell r="F15" t="str">
            <v>114.14c</v>
          </cell>
        </row>
        <row r="16">
          <cell r="D16">
            <v>-1874204</v>
          </cell>
          <cell r="E16">
            <v>-1851300</v>
          </cell>
          <cell r="F16" t="str">
            <v>114.19c</v>
          </cell>
        </row>
        <row r="17">
          <cell r="D17">
            <v>20136120</v>
          </cell>
          <cell r="E17">
            <v>22657380.059999999</v>
          </cell>
          <cell r="F17" t="str">
            <v>214.47d</v>
          </cell>
        </row>
        <row r="19">
          <cell r="D19" t="e">
            <v>#N/A</v>
          </cell>
          <cell r="E19" t="e">
            <v>#N/A</v>
          </cell>
          <cell r="F19" t="str">
            <v>206.58b</v>
          </cell>
        </row>
        <row r="20">
          <cell r="D20">
            <v>4500418059</v>
          </cell>
          <cell r="E20">
            <v>4724913520</v>
          </cell>
          <cell r="F20" t="str">
            <v>207.58g</v>
          </cell>
        </row>
        <row r="21">
          <cell r="D21">
            <v>5487299014</v>
          </cell>
          <cell r="E21">
            <v>5678900414</v>
          </cell>
          <cell r="F21" t="str">
            <v>206.75b</v>
          </cell>
        </row>
        <row r="22">
          <cell r="D22">
            <v>5678900414</v>
          </cell>
          <cell r="E22">
            <v>5852985088</v>
          </cell>
          <cell r="F22" t="str">
            <v>206.75g</v>
          </cell>
        </row>
        <row r="23">
          <cell r="D23">
            <v>847651696</v>
          </cell>
          <cell r="E23">
            <v>853462120</v>
          </cell>
          <cell r="F23" t="str">
            <v>204.5b</v>
          </cell>
        </row>
        <row r="24">
          <cell r="D24">
            <v>853462120</v>
          </cell>
          <cell r="E24">
            <v>854419426</v>
          </cell>
          <cell r="F24" t="str">
            <v>204.5g</v>
          </cell>
        </row>
        <row r="25">
          <cell r="D25">
            <v>1213647890</v>
          </cell>
          <cell r="E25">
            <v>1316569190</v>
          </cell>
          <cell r="F25" t="str">
            <v>206.99b</v>
          </cell>
        </row>
        <row r="26">
          <cell r="D26">
            <v>1316569190</v>
          </cell>
          <cell r="E26">
            <v>1359148793</v>
          </cell>
          <cell r="F26" t="str">
            <v>207.99g</v>
          </cell>
        </row>
        <row r="27">
          <cell r="D27">
            <v>9892359008</v>
          </cell>
          <cell r="E27">
            <v>10420953789</v>
          </cell>
          <cell r="F27" t="str">
            <v>204.46b</v>
          </cell>
        </row>
        <row r="28">
          <cell r="D28">
            <v>10420953789</v>
          </cell>
          <cell r="E28">
            <v>10942646469</v>
          </cell>
          <cell r="F28" t="str">
            <v>204.46g</v>
          </cell>
        </row>
        <row r="29">
          <cell r="D29" t="e">
            <v>#N/A</v>
          </cell>
          <cell r="E29">
            <v>0</v>
          </cell>
          <cell r="F29" t="str">
            <v>206.102g</v>
          </cell>
        </row>
        <row r="31">
          <cell r="D31">
            <v>1224958546</v>
          </cell>
          <cell r="E31">
            <v>1285912340</v>
          </cell>
          <cell r="F31" t="str">
            <v>219.25c</v>
          </cell>
        </row>
        <row r="32">
          <cell r="D32">
            <v>2160071159</v>
          </cell>
          <cell r="E32">
            <v>2268075733</v>
          </cell>
          <cell r="F32" t="str">
            <v>219.26c</v>
          </cell>
        </row>
        <row r="33">
          <cell r="D33">
            <v>497114808</v>
          </cell>
          <cell r="E33">
            <v>500799794</v>
          </cell>
          <cell r="F33" t="str">
            <v>200.21c</v>
          </cell>
        </row>
        <row r="34">
          <cell r="D34">
            <v>477043369</v>
          </cell>
          <cell r="E34">
            <v>500908590</v>
          </cell>
          <cell r="F34" t="str">
            <v>219.28c</v>
          </cell>
        </row>
        <row r="36">
          <cell r="D36" t="e">
            <v>#N/A</v>
          </cell>
          <cell r="E36">
            <v>2505658617</v>
          </cell>
          <cell r="F36" t="str">
            <v>219.20c</v>
          </cell>
        </row>
        <row r="37">
          <cell r="D37" t="e">
            <v>#N/A</v>
          </cell>
          <cell r="E37">
            <v>0</v>
          </cell>
          <cell r="F37" t="str">
            <v>219.21c</v>
          </cell>
        </row>
        <row r="38">
          <cell r="D38" t="e">
            <v>#N/A</v>
          </cell>
          <cell r="E38">
            <v>264903753</v>
          </cell>
          <cell r="F38" t="str">
            <v>219.22c</v>
          </cell>
        </row>
        <row r="39">
          <cell r="D39" t="e">
            <v>#N/A</v>
          </cell>
          <cell r="E39">
            <v>0</v>
          </cell>
          <cell r="F39" t="str">
            <v>219.23c</v>
          </cell>
        </row>
        <row r="40">
          <cell r="D40" t="e">
            <v>#N/A</v>
          </cell>
          <cell r="E40">
            <v>579208388</v>
          </cell>
          <cell r="F40" t="str">
            <v>219.24c</v>
          </cell>
        </row>
        <row r="41">
          <cell r="D41" t="e">
            <v>#N/A</v>
          </cell>
          <cell r="E41">
            <v>3349770758</v>
          </cell>
          <cell r="F41" t="str">
            <v>219.20 through 219.24</v>
          </cell>
        </row>
        <row r="43">
          <cell r="D43">
            <v>106787597</v>
          </cell>
          <cell r="E43">
            <v>83816884</v>
          </cell>
          <cell r="F43" t="str">
            <v>227.5c</v>
          </cell>
        </row>
        <row r="44">
          <cell r="D44">
            <v>507347</v>
          </cell>
          <cell r="E44">
            <v>750972</v>
          </cell>
          <cell r="F44" t="str">
            <v>227.8c</v>
          </cell>
        </row>
        <row r="45">
          <cell r="D45">
            <v>0</v>
          </cell>
          <cell r="E45">
            <v>0</v>
          </cell>
          <cell r="F45" t="str">
            <v>227.16c</v>
          </cell>
        </row>
        <row r="46">
          <cell r="D46" t="e">
            <v>#N/A</v>
          </cell>
          <cell r="E46" t="e">
            <v>#N/A</v>
          </cell>
          <cell r="F46" t="str">
            <v>234.18c</v>
          </cell>
        </row>
        <row r="47">
          <cell r="D47">
            <v>0</v>
          </cell>
          <cell r="E47">
            <v>4045318</v>
          </cell>
          <cell r="F47" t="str">
            <v>266.6b</v>
          </cell>
        </row>
        <row r="48">
          <cell r="D48">
            <v>0</v>
          </cell>
          <cell r="E48">
            <v>2420922</v>
          </cell>
          <cell r="F48" t="str">
            <v>266.6h</v>
          </cell>
        </row>
        <row r="49">
          <cell r="D49">
            <v>0</v>
          </cell>
          <cell r="E49">
            <v>0</v>
          </cell>
          <cell r="F49" t="str">
            <v>321.84b</v>
          </cell>
        </row>
        <row r="50">
          <cell r="D50">
            <v>0</v>
          </cell>
          <cell r="E50">
            <v>0</v>
          </cell>
          <cell r="F50" t="str">
            <v>321.85b</v>
          </cell>
        </row>
        <row r="51">
          <cell r="D51">
            <v>7794035</v>
          </cell>
          <cell r="E51">
            <v>6733470</v>
          </cell>
          <cell r="F51" t="str">
            <v>321.86b</v>
          </cell>
        </row>
        <row r="52">
          <cell r="D52">
            <v>0</v>
          </cell>
          <cell r="E52">
            <v>0</v>
          </cell>
          <cell r="F52" t="str">
            <v>321.87b</v>
          </cell>
        </row>
        <row r="53">
          <cell r="D53">
            <v>0</v>
          </cell>
          <cell r="E53">
            <v>239500</v>
          </cell>
          <cell r="F53" t="str">
            <v>321.88b</v>
          </cell>
        </row>
        <row r="54">
          <cell r="D54">
            <v>984307</v>
          </cell>
          <cell r="E54">
            <v>850396</v>
          </cell>
          <cell r="F54" t="str">
            <v>321.89b</v>
          </cell>
        </row>
        <row r="55">
          <cell r="D55">
            <v>138234854</v>
          </cell>
          <cell r="E55">
            <v>142125115</v>
          </cell>
          <cell r="F55" t="str">
            <v>321.96b</v>
          </cell>
        </row>
        <row r="56">
          <cell r="D56">
            <v>204716008</v>
          </cell>
          <cell r="E56">
            <v>206484082</v>
          </cell>
          <cell r="F56" t="str">
            <v>321.112b</v>
          </cell>
        </row>
        <row r="57">
          <cell r="D57">
            <v>24984814</v>
          </cell>
          <cell r="E57">
            <v>16404849</v>
          </cell>
          <cell r="F57" t="str">
            <v>323.185b</v>
          </cell>
        </row>
        <row r="58">
          <cell r="D58">
            <v>21857100</v>
          </cell>
          <cell r="E58">
            <v>22965972</v>
          </cell>
          <cell r="F58" t="str">
            <v>323.189b</v>
          </cell>
        </row>
        <row r="59">
          <cell r="D59">
            <v>5360</v>
          </cell>
          <cell r="E59">
            <v>4948</v>
          </cell>
          <cell r="F59" t="str">
            <v>323.191b</v>
          </cell>
        </row>
        <row r="60">
          <cell r="D60">
            <v>152657357</v>
          </cell>
          <cell r="E60">
            <v>188239678</v>
          </cell>
          <cell r="F60" t="str">
            <v>323.197b</v>
          </cell>
        </row>
        <row r="61">
          <cell r="D61">
            <v>38609300</v>
          </cell>
          <cell r="E61">
            <v>41692182</v>
          </cell>
          <cell r="F61" t="str">
            <v>336.1d</v>
          </cell>
        </row>
        <row r="62">
          <cell r="D62">
            <v>0</v>
          </cell>
          <cell r="E62">
            <v>0</v>
          </cell>
          <cell r="F62" t="str">
            <v>336.1e</v>
          </cell>
        </row>
        <row r="63">
          <cell r="D63">
            <v>84271946</v>
          </cell>
          <cell r="E63">
            <v>86537884</v>
          </cell>
          <cell r="F63" t="str">
            <v>336.7b</v>
          </cell>
        </row>
        <row r="64">
          <cell r="D64">
            <v>0</v>
          </cell>
          <cell r="E64">
            <v>0</v>
          </cell>
          <cell r="F64" t="str">
            <v>336.7d</v>
          </cell>
        </row>
        <row r="65">
          <cell r="D65">
            <v>36082214</v>
          </cell>
          <cell r="E65">
            <v>38203550</v>
          </cell>
          <cell r="F65" t="str">
            <v>336.10b</v>
          </cell>
        </row>
        <row r="66">
          <cell r="D66">
            <v>3340933</v>
          </cell>
          <cell r="E66">
            <v>2357362</v>
          </cell>
          <cell r="F66" t="str">
            <v>336.10d</v>
          </cell>
        </row>
        <row r="67">
          <cell r="D67" t="e">
            <v>#N/A</v>
          </cell>
          <cell r="E67">
            <v>0</v>
          </cell>
          <cell r="F67" t="str">
            <v>350.30d</v>
          </cell>
        </row>
        <row r="68">
          <cell r="D68" t="e">
            <v>#N/A</v>
          </cell>
          <cell r="E68">
            <v>0</v>
          </cell>
          <cell r="F68" t="str">
            <v>350.31d</v>
          </cell>
        </row>
        <row r="69">
          <cell r="D69" t="e">
            <v>#N/A</v>
          </cell>
          <cell r="E69">
            <v>2043517</v>
          </cell>
          <cell r="F69" t="str">
            <v>350.32d</v>
          </cell>
        </row>
        <row r="70">
          <cell r="D70">
            <v>22707903</v>
          </cell>
          <cell r="E70">
            <v>23499915</v>
          </cell>
          <cell r="F70" t="str">
            <v>354.21b</v>
          </cell>
        </row>
        <row r="71">
          <cell r="D71">
            <v>41949915</v>
          </cell>
          <cell r="E71">
            <v>43097996</v>
          </cell>
          <cell r="F71" t="str">
            <v>354.27b</v>
          </cell>
        </row>
        <row r="72">
          <cell r="D72">
            <v>357213635</v>
          </cell>
          <cell r="E72">
            <v>363265480</v>
          </cell>
          <cell r="F72" t="str">
            <v>354.28b</v>
          </cell>
        </row>
      </sheetData>
      <sheetData sheetId="27"/>
      <sheetData sheetId="28"/>
      <sheetData sheetId="29">
        <row r="6">
          <cell r="B6" t="str">
            <v>ID</v>
          </cell>
          <cell r="C6" t="str">
            <v>ff1_page</v>
          </cell>
          <cell r="D6" t="str">
            <v>ff1_line</v>
          </cell>
          <cell r="E6" t="str">
            <v>ff1_col</v>
          </cell>
          <cell r="F6" t="str">
            <v>ff1_map</v>
          </cell>
          <cell r="G6" t="str">
            <v>column_name</v>
          </cell>
          <cell r="H6">
            <v>2008</v>
          </cell>
          <cell r="I6">
            <v>2009</v>
          </cell>
          <cell r="J6">
            <v>2010</v>
          </cell>
          <cell r="K6">
            <v>2011</v>
          </cell>
          <cell r="L6">
            <v>2012</v>
          </cell>
        </row>
        <row r="7">
          <cell r="B7">
            <v>13</v>
          </cell>
          <cell r="C7">
            <v>114</v>
          </cell>
          <cell r="D7">
            <v>14</v>
          </cell>
          <cell r="E7" t="str">
            <v>c</v>
          </cell>
          <cell r="F7" t="str">
            <v>114.14c</v>
          </cell>
          <cell r="G7" t="str">
            <v>current_yr_total</v>
          </cell>
          <cell r="H7">
            <v>112424490</v>
          </cell>
          <cell r="I7">
            <v>123877487</v>
          </cell>
          <cell r="J7">
            <v>136550272</v>
          </cell>
          <cell r="K7">
            <v>151699035</v>
          </cell>
          <cell r="L7">
            <v>160882952</v>
          </cell>
        </row>
        <row r="8">
          <cell r="B8">
            <v>14</v>
          </cell>
          <cell r="C8">
            <v>114</v>
          </cell>
          <cell r="D8">
            <v>19</v>
          </cell>
          <cell r="E8" t="str">
            <v>c</v>
          </cell>
          <cell r="F8" t="str">
            <v>114.19c</v>
          </cell>
          <cell r="G8" t="str">
            <v>current_yr_total</v>
          </cell>
          <cell r="H8">
            <v>-1874204</v>
          </cell>
          <cell r="I8">
            <v>-1874204</v>
          </cell>
          <cell r="J8">
            <v>-1874204</v>
          </cell>
          <cell r="K8">
            <v>-1874204</v>
          </cell>
          <cell r="L8">
            <v>-1851300</v>
          </cell>
        </row>
        <row r="9">
          <cell r="B9">
            <v>24</v>
          </cell>
          <cell r="C9">
            <v>200</v>
          </cell>
          <cell r="D9">
            <v>21</v>
          </cell>
          <cell r="E9" t="str">
            <v>c</v>
          </cell>
          <cell r="F9" t="str">
            <v>200.21c</v>
          </cell>
          <cell r="G9" t="str">
            <v>amt2</v>
          </cell>
          <cell r="H9">
            <v>414958634</v>
          </cell>
          <cell r="I9">
            <v>439600000</v>
          </cell>
          <cell r="J9">
            <v>471575613</v>
          </cell>
          <cell r="K9">
            <v>497114808</v>
          </cell>
          <cell r="L9">
            <v>500799794</v>
          </cell>
        </row>
        <row r="10">
          <cell r="B10">
            <v>25</v>
          </cell>
          <cell r="C10">
            <v>204</v>
          </cell>
          <cell r="D10">
            <v>5</v>
          </cell>
          <cell r="E10" t="str">
            <v>b</v>
          </cell>
          <cell r="F10" t="str">
            <v>204.5b</v>
          </cell>
          <cell r="G10" t="str">
            <v>begin_yr_bal</v>
          </cell>
          <cell r="J10">
            <v>752435770</v>
          </cell>
          <cell r="K10">
            <v>847651696</v>
          </cell>
          <cell r="L10">
            <v>853462120</v>
          </cell>
        </row>
        <row r="11">
          <cell r="B11">
            <v>26</v>
          </cell>
          <cell r="C11">
            <v>204</v>
          </cell>
          <cell r="D11">
            <v>5</v>
          </cell>
          <cell r="E11" t="str">
            <v>g</v>
          </cell>
          <cell r="F11" t="str">
            <v>204.5g</v>
          </cell>
          <cell r="G11" t="str">
            <v>yr_end_bal</v>
          </cell>
          <cell r="J11">
            <v>847651696</v>
          </cell>
          <cell r="K11">
            <v>853462120</v>
          </cell>
          <cell r="L11">
            <v>854419426</v>
          </cell>
        </row>
        <row r="12">
          <cell r="B12">
            <v>27</v>
          </cell>
          <cell r="C12">
            <v>204</v>
          </cell>
          <cell r="D12">
            <v>46</v>
          </cell>
          <cell r="E12" t="str">
            <v>b</v>
          </cell>
          <cell r="F12" t="str">
            <v>204.46b</v>
          </cell>
          <cell r="G12" t="str">
            <v>begin_yr_bal</v>
          </cell>
          <cell r="J12">
            <v>9012810574</v>
          </cell>
          <cell r="K12">
            <v>9892359008</v>
          </cell>
          <cell r="L12">
            <v>10420953789</v>
          </cell>
        </row>
        <row r="13">
          <cell r="B13">
            <v>28</v>
          </cell>
          <cell r="C13">
            <v>204</v>
          </cell>
          <cell r="D13">
            <v>46</v>
          </cell>
          <cell r="E13" t="str">
            <v>g</v>
          </cell>
          <cell r="F13" t="str">
            <v>204.46g</v>
          </cell>
          <cell r="G13" t="str">
            <v>yr_end_bal</v>
          </cell>
          <cell r="J13">
            <v>9892359008</v>
          </cell>
          <cell r="K13">
            <v>10420953789</v>
          </cell>
          <cell r="L13">
            <v>10942646469</v>
          </cell>
        </row>
        <row r="14">
          <cell r="B14">
            <v>29</v>
          </cell>
          <cell r="C14">
            <v>205</v>
          </cell>
          <cell r="D14">
            <v>5</v>
          </cell>
          <cell r="E14" t="str">
            <v>g</v>
          </cell>
          <cell r="F14" t="str">
            <v>205.5g</v>
          </cell>
          <cell r="G14" t="str">
            <v>yr_end_bal</v>
          </cell>
          <cell r="H14">
            <v>721245705</v>
          </cell>
          <cell r="I14">
            <v>752435770</v>
          </cell>
          <cell r="J14">
            <v>847651696</v>
          </cell>
          <cell r="K14">
            <v>853462120</v>
          </cell>
          <cell r="L14">
            <v>854419426</v>
          </cell>
        </row>
        <row r="15">
          <cell r="B15">
            <v>30</v>
          </cell>
          <cell r="C15">
            <v>206</v>
          </cell>
          <cell r="D15">
            <v>58</v>
          </cell>
          <cell r="E15" t="str">
            <v>g</v>
          </cell>
          <cell r="F15" t="str">
            <v>206.58g</v>
          </cell>
          <cell r="G15" t="str">
            <v>yr_end_bal</v>
          </cell>
          <cell r="H15">
            <v>3054528950</v>
          </cell>
          <cell r="I15">
            <v>3342913921</v>
          </cell>
          <cell r="J15">
            <v>4339114233</v>
          </cell>
          <cell r="K15">
            <v>4500418059</v>
          </cell>
          <cell r="L15">
            <v>4724913520</v>
          </cell>
        </row>
        <row r="16">
          <cell r="B16">
            <v>31</v>
          </cell>
          <cell r="C16">
            <v>206</v>
          </cell>
          <cell r="D16">
            <v>75</v>
          </cell>
          <cell r="E16" t="str">
            <v>b</v>
          </cell>
          <cell r="F16" t="str">
            <v>206.75b</v>
          </cell>
          <cell r="G16" t="str">
            <v>begin_yr_bal</v>
          </cell>
          <cell r="J16">
            <v>5328574836</v>
          </cell>
          <cell r="K16">
            <v>5487299014</v>
          </cell>
          <cell r="L16">
            <v>5678900414</v>
          </cell>
        </row>
        <row r="17">
          <cell r="B17">
            <v>32</v>
          </cell>
          <cell r="C17">
            <v>206</v>
          </cell>
          <cell r="D17">
            <v>75</v>
          </cell>
          <cell r="E17" t="str">
            <v>g</v>
          </cell>
          <cell r="F17" t="str">
            <v>206.75g</v>
          </cell>
          <cell r="G17" t="str">
            <v>yr_end_bal</v>
          </cell>
          <cell r="J17">
            <v>5487299014</v>
          </cell>
          <cell r="K17">
            <v>5678900414</v>
          </cell>
          <cell r="L17">
            <v>5852985088</v>
          </cell>
        </row>
        <row r="18">
          <cell r="B18">
            <v>33</v>
          </cell>
          <cell r="C18">
            <v>206</v>
          </cell>
          <cell r="D18">
            <v>99</v>
          </cell>
          <cell r="E18" t="str">
            <v>b</v>
          </cell>
          <cell r="F18" t="str">
            <v>206.99b</v>
          </cell>
          <cell r="G18" t="str">
            <v>begin_yr_bal</v>
          </cell>
          <cell r="J18">
            <v>1205830225</v>
          </cell>
          <cell r="K18">
            <v>1213647890</v>
          </cell>
          <cell r="L18">
            <v>1316569190</v>
          </cell>
        </row>
        <row r="19">
          <cell r="B19">
            <v>34</v>
          </cell>
          <cell r="C19">
            <v>207</v>
          </cell>
          <cell r="D19">
            <v>99</v>
          </cell>
          <cell r="E19" t="str">
            <v>g</v>
          </cell>
          <cell r="F19" t="str">
            <v>207.99g</v>
          </cell>
          <cell r="G19" t="str">
            <v>yr_end_bal</v>
          </cell>
          <cell r="J19">
            <v>1213647890</v>
          </cell>
          <cell r="K19">
            <v>1316569190</v>
          </cell>
          <cell r="L19">
            <v>1359148793</v>
          </cell>
        </row>
        <row r="20">
          <cell r="B20">
            <v>27</v>
          </cell>
          <cell r="C20">
            <v>207</v>
          </cell>
          <cell r="D20">
            <v>46</v>
          </cell>
          <cell r="E20" t="str">
            <v>g</v>
          </cell>
          <cell r="F20" t="str">
            <v>207.46g</v>
          </cell>
          <cell r="G20" t="str">
            <v>yr_end_bal</v>
          </cell>
          <cell r="H20">
            <v>0</v>
          </cell>
          <cell r="I20">
            <v>9012810574</v>
          </cell>
          <cell r="J20">
            <v>9892359008</v>
          </cell>
          <cell r="K20">
            <v>10420953789</v>
          </cell>
          <cell r="L20">
            <v>10942646469</v>
          </cell>
        </row>
        <row r="21">
          <cell r="B21">
            <v>28</v>
          </cell>
          <cell r="C21">
            <v>207</v>
          </cell>
          <cell r="D21">
            <v>58</v>
          </cell>
          <cell r="E21" t="str">
            <v>g</v>
          </cell>
          <cell r="F21" t="str">
            <v>207.58g</v>
          </cell>
          <cell r="G21" t="str">
            <v>yr_end_bal</v>
          </cell>
          <cell r="H21">
            <v>3054528950</v>
          </cell>
          <cell r="I21">
            <v>3342913921</v>
          </cell>
          <cell r="J21">
            <v>4339114233</v>
          </cell>
          <cell r="K21">
            <v>4500418059</v>
          </cell>
          <cell r="L21">
            <v>4724913520</v>
          </cell>
        </row>
        <row r="22">
          <cell r="B22">
            <v>29</v>
          </cell>
          <cell r="C22">
            <v>207</v>
          </cell>
          <cell r="D22">
            <v>94</v>
          </cell>
          <cell r="E22" t="str">
            <v>g</v>
          </cell>
          <cell r="F22" t="str">
            <v>207.94g</v>
          </cell>
          <cell r="G22" t="str">
            <v>yr_end_bal</v>
          </cell>
          <cell r="H22">
            <v>0</v>
          </cell>
          <cell r="I22">
            <v>246182036</v>
          </cell>
          <cell r="J22">
            <v>259841810</v>
          </cell>
          <cell r="K22">
            <v>298389515</v>
          </cell>
          <cell r="L22">
            <v>344747037</v>
          </cell>
        </row>
        <row r="23">
          <cell r="B23">
            <v>30</v>
          </cell>
          <cell r="C23">
            <v>207</v>
          </cell>
          <cell r="D23">
            <v>99</v>
          </cell>
          <cell r="E23" t="str">
            <v>g</v>
          </cell>
          <cell r="F23" t="str">
            <v>207.99g</v>
          </cell>
          <cell r="G23" t="str">
            <v>yr_end_bal</v>
          </cell>
          <cell r="H23">
            <v>1197249133</v>
          </cell>
          <cell r="I23">
            <v>1205830225</v>
          </cell>
          <cell r="J23">
            <v>1213647890</v>
          </cell>
          <cell r="K23">
            <v>1316569190</v>
          </cell>
          <cell r="L23">
            <v>1359148793</v>
          </cell>
        </row>
        <row r="24">
          <cell r="C24">
            <v>206</v>
          </cell>
          <cell r="D24">
            <v>102</v>
          </cell>
          <cell r="E24" t="str">
            <v>g</v>
          </cell>
          <cell r="F24" t="str">
            <v>206.102g</v>
          </cell>
          <cell r="G24" t="str">
            <v>yr_end_bal</v>
          </cell>
          <cell r="K24" t="e">
            <v>#N/A</v>
          </cell>
          <cell r="L24">
            <v>0</v>
          </cell>
        </row>
        <row r="25">
          <cell r="B25">
            <v>31</v>
          </cell>
          <cell r="C25">
            <v>207</v>
          </cell>
          <cell r="D25">
            <v>104</v>
          </cell>
          <cell r="E25" t="str">
            <v>g</v>
          </cell>
          <cell r="F25" t="str">
            <v>207.104g</v>
          </cell>
          <cell r="G25" t="str">
            <v>yr_end_bal</v>
          </cell>
          <cell r="H25">
            <v>18224942831</v>
          </cell>
          <cell r="I25">
            <v>19645568742</v>
          </cell>
          <cell r="J25">
            <v>21775587040</v>
          </cell>
          <cell r="K25" t="e">
            <v>#N/A</v>
          </cell>
          <cell r="L25" t="e">
            <v>#N/A</v>
          </cell>
        </row>
        <row r="26">
          <cell r="B26">
            <v>32</v>
          </cell>
          <cell r="C26">
            <v>214</v>
          </cell>
          <cell r="D26">
            <v>47</v>
          </cell>
          <cell r="E26" t="str">
            <v>d</v>
          </cell>
          <cell r="F26" t="str">
            <v>214.47d</v>
          </cell>
          <cell r="G26" t="str">
            <v>balance</v>
          </cell>
          <cell r="H26">
            <v>15074557</v>
          </cell>
          <cell r="I26">
            <v>13674549</v>
          </cell>
          <cell r="J26">
            <v>17678149</v>
          </cell>
          <cell r="K26">
            <v>20136120</v>
          </cell>
          <cell r="L26">
            <v>22657380.059999999</v>
          </cell>
        </row>
        <row r="27">
          <cell r="C27">
            <v>219</v>
          </cell>
          <cell r="D27">
            <v>20</v>
          </cell>
          <cell r="E27" t="str">
            <v>c</v>
          </cell>
          <cell r="F27" t="str">
            <v>219.20c</v>
          </cell>
          <cell r="G27" t="str">
            <v>electric_plant</v>
          </cell>
          <cell r="K27" t="e">
            <v>#N/A</v>
          </cell>
          <cell r="L27">
            <v>2505658617</v>
          </cell>
        </row>
        <row r="28">
          <cell r="C28">
            <v>219</v>
          </cell>
          <cell r="D28">
            <v>21</v>
          </cell>
          <cell r="E28" t="str">
            <v>c</v>
          </cell>
          <cell r="F28" t="str">
            <v>219.21c</v>
          </cell>
          <cell r="G28" t="str">
            <v>electric_plant</v>
          </cell>
          <cell r="K28" t="e">
            <v>#N/A</v>
          </cell>
          <cell r="L28">
            <v>0</v>
          </cell>
        </row>
        <row r="29">
          <cell r="C29">
            <v>219</v>
          </cell>
          <cell r="D29">
            <v>22</v>
          </cell>
          <cell r="E29" t="str">
            <v>c</v>
          </cell>
          <cell r="F29" t="str">
            <v>219.22c</v>
          </cell>
          <cell r="G29" t="str">
            <v>electric_plant</v>
          </cell>
          <cell r="K29" t="e">
            <v>#N/A</v>
          </cell>
          <cell r="L29">
            <v>264903753</v>
          </cell>
        </row>
        <row r="30">
          <cell r="C30">
            <v>219</v>
          </cell>
          <cell r="D30">
            <v>23</v>
          </cell>
          <cell r="E30" t="str">
            <v>c</v>
          </cell>
          <cell r="F30" t="str">
            <v>219.23c</v>
          </cell>
          <cell r="G30" t="str">
            <v>electric_plant</v>
          </cell>
          <cell r="K30" t="e">
            <v>#N/A</v>
          </cell>
          <cell r="L30">
            <v>0</v>
          </cell>
        </row>
        <row r="31">
          <cell r="C31">
            <v>219</v>
          </cell>
          <cell r="D31">
            <v>24</v>
          </cell>
          <cell r="E31" t="str">
            <v>c</v>
          </cell>
          <cell r="F31" t="str">
            <v>219.24c</v>
          </cell>
          <cell r="G31" t="str">
            <v>electric_plant</v>
          </cell>
          <cell r="K31" t="e">
            <v>#N/A</v>
          </cell>
          <cell r="L31">
            <v>579208388</v>
          </cell>
        </row>
        <row r="32">
          <cell r="B32">
            <v>33</v>
          </cell>
          <cell r="C32">
            <v>219</v>
          </cell>
          <cell r="D32">
            <v>25</v>
          </cell>
          <cell r="E32" t="str">
            <v>c</v>
          </cell>
          <cell r="F32" t="str">
            <v>219.25c</v>
          </cell>
          <cell r="G32" t="str">
            <v>electric_plant</v>
          </cell>
          <cell r="H32">
            <v>1097506323</v>
          </cell>
          <cell r="I32">
            <v>1142839345</v>
          </cell>
          <cell r="J32">
            <v>1172814664</v>
          </cell>
          <cell r="K32">
            <v>1224958546</v>
          </cell>
          <cell r="L32">
            <v>1285912340</v>
          </cell>
        </row>
        <row r="33">
          <cell r="B33">
            <v>34</v>
          </cell>
          <cell r="C33">
            <v>219</v>
          </cell>
          <cell r="D33">
            <v>26</v>
          </cell>
          <cell r="E33" t="str">
            <v>c</v>
          </cell>
          <cell r="F33" t="str">
            <v>219.26c</v>
          </cell>
          <cell r="G33" t="str">
            <v>electric_plant</v>
          </cell>
          <cell r="I33">
            <v>2003524851</v>
          </cell>
          <cell r="J33">
            <v>2072617011</v>
          </cell>
          <cell r="K33">
            <v>2160071159</v>
          </cell>
          <cell r="L33">
            <v>2268075733</v>
          </cell>
        </row>
        <row r="34">
          <cell r="B34">
            <v>35</v>
          </cell>
          <cell r="C34">
            <v>219</v>
          </cell>
          <cell r="D34">
            <v>28</v>
          </cell>
          <cell r="E34" t="str">
            <v>c</v>
          </cell>
          <cell r="F34" t="str">
            <v>219.28c</v>
          </cell>
          <cell r="G34" t="str">
            <v>electric_plant</v>
          </cell>
          <cell r="H34">
            <v>474745184</v>
          </cell>
          <cell r="I34">
            <v>467966146</v>
          </cell>
          <cell r="J34">
            <v>446986081</v>
          </cell>
          <cell r="K34">
            <v>477043369</v>
          </cell>
          <cell r="L34">
            <v>500908590</v>
          </cell>
        </row>
        <row r="35">
          <cell r="B35">
            <v>36</v>
          </cell>
          <cell r="C35">
            <v>219</v>
          </cell>
          <cell r="D35">
            <v>29</v>
          </cell>
          <cell r="E35" t="str">
            <v>c</v>
          </cell>
          <cell r="F35" t="str">
            <v>219.29c</v>
          </cell>
          <cell r="G35" t="str">
            <v>electric_plant</v>
          </cell>
          <cell r="H35">
            <v>6343121197</v>
          </cell>
          <cell r="I35">
            <v>6663897531</v>
          </cell>
          <cell r="J35">
            <v>6893664705</v>
          </cell>
          <cell r="K35">
            <v>7062181013</v>
          </cell>
          <cell r="L35">
            <v>7404667421</v>
          </cell>
        </row>
        <row r="36">
          <cell r="B36">
            <v>38</v>
          </cell>
          <cell r="C36">
            <v>227</v>
          </cell>
          <cell r="D36">
            <v>5</v>
          </cell>
          <cell r="E36" t="str">
            <v>c</v>
          </cell>
          <cell r="F36" t="str">
            <v>227.5c</v>
          </cell>
          <cell r="G36" t="str">
            <v>yr_end_bal</v>
          </cell>
          <cell r="H36">
            <v>76746318</v>
          </cell>
          <cell r="I36">
            <v>69236794</v>
          </cell>
          <cell r="J36">
            <v>71053270</v>
          </cell>
          <cell r="K36">
            <v>106787597</v>
          </cell>
          <cell r="L36">
            <v>83816884</v>
          </cell>
        </row>
        <row r="37">
          <cell r="B37">
            <v>40</v>
          </cell>
          <cell r="C37">
            <v>227</v>
          </cell>
          <cell r="D37">
            <v>8</v>
          </cell>
          <cell r="E37" t="str">
            <v>c</v>
          </cell>
          <cell r="F37" t="str">
            <v>227.8c</v>
          </cell>
          <cell r="G37" t="str">
            <v>yr_end_bal</v>
          </cell>
          <cell r="H37">
            <v>497646</v>
          </cell>
          <cell r="I37">
            <v>838582</v>
          </cell>
          <cell r="J37">
            <v>718031</v>
          </cell>
          <cell r="K37">
            <v>507347</v>
          </cell>
          <cell r="L37">
            <v>750972</v>
          </cell>
        </row>
        <row r="38">
          <cell r="B38">
            <v>41</v>
          </cell>
          <cell r="C38">
            <v>227</v>
          </cell>
          <cell r="D38">
            <v>16</v>
          </cell>
          <cell r="E38" t="str">
            <v>c</v>
          </cell>
          <cell r="F38" t="str">
            <v>227.16c</v>
          </cell>
          <cell r="G38" t="str">
            <v>yr_end_bal</v>
          </cell>
          <cell r="H38">
            <v>0</v>
          </cell>
          <cell r="I38">
            <v>0</v>
          </cell>
          <cell r="J38">
            <v>0</v>
          </cell>
          <cell r="K38">
            <v>0</v>
          </cell>
          <cell r="L38">
            <v>0</v>
          </cell>
        </row>
        <row r="39">
          <cell r="C39">
            <v>266</v>
          </cell>
          <cell r="D39">
            <v>6</v>
          </cell>
          <cell r="E39" t="str">
            <v>b</v>
          </cell>
          <cell r="F39" t="str">
            <v>266.6b</v>
          </cell>
          <cell r="L39">
            <v>4045318</v>
          </cell>
        </row>
        <row r="40">
          <cell r="C40">
            <v>266</v>
          </cell>
          <cell r="D40">
            <v>6</v>
          </cell>
          <cell r="E40" t="str">
            <v>h</v>
          </cell>
          <cell r="F40" t="str">
            <v>266.6h</v>
          </cell>
          <cell r="L40">
            <v>2420922</v>
          </cell>
        </row>
        <row r="41">
          <cell r="B41">
            <v>65</v>
          </cell>
          <cell r="C41">
            <v>266</v>
          </cell>
          <cell r="D41">
            <v>8</v>
          </cell>
          <cell r="E41" t="str">
            <v>f</v>
          </cell>
          <cell r="F41" t="str">
            <v>266.8f</v>
          </cell>
          <cell r="G41" t="str">
            <v>crnt_alloc_amt</v>
          </cell>
          <cell r="H41">
            <v>3498656</v>
          </cell>
          <cell r="I41">
            <v>3498656</v>
          </cell>
          <cell r="J41">
            <v>3498656</v>
          </cell>
          <cell r="K41">
            <v>3498656</v>
          </cell>
          <cell r="L41">
            <v>3475696</v>
          </cell>
        </row>
        <row r="42">
          <cell r="B42">
            <v>66</v>
          </cell>
          <cell r="C42">
            <v>275</v>
          </cell>
          <cell r="D42">
            <v>2</v>
          </cell>
          <cell r="E42" t="str">
            <v>k</v>
          </cell>
          <cell r="F42" t="str">
            <v>275.2k</v>
          </cell>
          <cell r="G42" t="str">
            <v>end_yr_bal</v>
          </cell>
          <cell r="H42">
            <v>1654239715</v>
          </cell>
          <cell r="I42">
            <v>2379614172</v>
          </cell>
          <cell r="J42">
            <v>3330234891</v>
          </cell>
          <cell r="K42">
            <v>3505053651</v>
          </cell>
          <cell r="L42">
            <v>3796825280</v>
          </cell>
        </row>
        <row r="43">
          <cell r="B43">
            <v>67</v>
          </cell>
          <cell r="C43">
            <v>275</v>
          </cell>
          <cell r="D43">
            <v>2</v>
          </cell>
          <cell r="E43" t="str">
            <v>k</v>
          </cell>
          <cell r="F43" t="str">
            <v>275.2k</v>
          </cell>
          <cell r="G43" t="str">
            <v>end_yr_bal</v>
          </cell>
          <cell r="H43">
            <v>1654239715</v>
          </cell>
          <cell r="I43">
            <v>2379614172</v>
          </cell>
          <cell r="J43">
            <v>3330234891</v>
          </cell>
          <cell r="K43">
            <v>3505053651</v>
          </cell>
          <cell r="L43">
            <v>3796825280</v>
          </cell>
        </row>
        <row r="44">
          <cell r="B44">
            <v>68</v>
          </cell>
          <cell r="C44">
            <v>275</v>
          </cell>
          <cell r="D44">
            <v>4</v>
          </cell>
          <cell r="E44" t="str">
            <v>k</v>
          </cell>
          <cell r="F44" t="str">
            <v>275.4k</v>
          </cell>
          <cell r="G44" t="str">
            <v>end_yr_bal</v>
          </cell>
          <cell r="H44">
            <v>439741785</v>
          </cell>
          <cell r="I44">
            <v>422169291</v>
          </cell>
          <cell r="J44">
            <v>0</v>
          </cell>
          <cell r="K44">
            <v>0</v>
          </cell>
          <cell r="L44">
            <v>0</v>
          </cell>
        </row>
        <row r="45">
          <cell r="B45">
            <v>69</v>
          </cell>
          <cell r="C45">
            <v>275</v>
          </cell>
          <cell r="D45">
            <v>5</v>
          </cell>
          <cell r="E45" t="str">
            <v>k</v>
          </cell>
          <cell r="F45" t="str">
            <v>275.5k</v>
          </cell>
          <cell r="G45" t="str">
            <v>end_yr_bal</v>
          </cell>
          <cell r="H45">
            <v>2093981500</v>
          </cell>
          <cell r="I45">
            <v>2801783463</v>
          </cell>
          <cell r="J45">
            <v>3330234891</v>
          </cell>
          <cell r="K45">
            <v>3505053651</v>
          </cell>
          <cell r="L45">
            <v>3796825280</v>
          </cell>
        </row>
        <row r="46">
          <cell r="B46">
            <v>70</v>
          </cell>
          <cell r="C46">
            <v>275</v>
          </cell>
          <cell r="D46">
            <v>5</v>
          </cell>
          <cell r="E46" t="str">
            <v>k</v>
          </cell>
          <cell r="F46" t="str">
            <v>275.5k</v>
          </cell>
          <cell r="G46" t="str">
            <v>end_yr_bal</v>
          </cell>
          <cell r="H46">
            <v>2093981500</v>
          </cell>
          <cell r="I46">
            <v>2801783463</v>
          </cell>
          <cell r="J46">
            <v>3330234891</v>
          </cell>
          <cell r="K46">
            <v>3505053651</v>
          </cell>
          <cell r="L46">
            <v>3796825280</v>
          </cell>
        </row>
        <row r="47">
          <cell r="B47">
            <v>71</v>
          </cell>
          <cell r="C47">
            <v>275</v>
          </cell>
          <cell r="D47">
            <v>6</v>
          </cell>
          <cell r="E47" t="str">
            <v>k</v>
          </cell>
          <cell r="F47" t="str">
            <v>275.6k</v>
          </cell>
          <cell r="G47" t="str">
            <v>end_yr_bal</v>
          </cell>
          <cell r="H47">
            <v>1743433</v>
          </cell>
          <cell r="I47">
            <v>871716</v>
          </cell>
          <cell r="J47">
            <v>0</v>
          </cell>
          <cell r="K47">
            <v>0</v>
          </cell>
          <cell r="L47">
            <v>0</v>
          </cell>
        </row>
        <row r="48">
          <cell r="B48">
            <v>72</v>
          </cell>
          <cell r="C48">
            <v>275</v>
          </cell>
          <cell r="D48">
            <v>9</v>
          </cell>
          <cell r="E48" t="str">
            <v>k</v>
          </cell>
          <cell r="F48" t="str">
            <v>275.9k</v>
          </cell>
          <cell r="G48" t="str">
            <v>end_yr_bal</v>
          </cell>
          <cell r="H48">
            <v>2095724933</v>
          </cell>
          <cell r="I48">
            <v>2802655179</v>
          </cell>
          <cell r="J48">
            <v>3330234891</v>
          </cell>
          <cell r="K48">
            <v>3505053651</v>
          </cell>
          <cell r="L48">
            <v>3796825280</v>
          </cell>
        </row>
        <row r="49">
          <cell r="B49">
            <v>73</v>
          </cell>
          <cell r="C49">
            <v>277</v>
          </cell>
          <cell r="D49">
            <v>2</v>
          </cell>
          <cell r="E49" t="str">
            <v>k</v>
          </cell>
          <cell r="F49" t="str">
            <v>277.2k</v>
          </cell>
          <cell r="G49" t="str">
            <v>end_yr_bal</v>
          </cell>
          <cell r="H49">
            <v>0</v>
          </cell>
          <cell r="I49">
            <v>0</v>
          </cell>
          <cell r="J49">
            <v>0</v>
          </cell>
          <cell r="K49">
            <v>0</v>
          </cell>
          <cell r="L49">
            <v>0</v>
          </cell>
        </row>
        <row r="50">
          <cell r="B50">
            <v>74</v>
          </cell>
          <cell r="C50">
            <v>277</v>
          </cell>
          <cell r="D50">
            <v>3</v>
          </cell>
          <cell r="E50" t="str">
            <v>k</v>
          </cell>
          <cell r="F50" t="str">
            <v>277.3k</v>
          </cell>
          <cell r="G50" t="str">
            <v>end_yr_bal</v>
          </cell>
          <cell r="H50">
            <v>272206813</v>
          </cell>
          <cell r="I50">
            <v>276867448</v>
          </cell>
          <cell r="J50">
            <v>649677709</v>
          </cell>
          <cell r="K50">
            <v>649677709</v>
          </cell>
          <cell r="L50">
            <v>695709590</v>
          </cell>
        </row>
        <row r="51">
          <cell r="B51">
            <v>75</v>
          </cell>
          <cell r="C51">
            <v>277</v>
          </cell>
          <cell r="D51">
            <v>5</v>
          </cell>
          <cell r="E51" t="str">
            <v>k</v>
          </cell>
          <cell r="F51" t="str">
            <v>277.5k</v>
          </cell>
          <cell r="G51" t="str">
            <v>end_yr_bal</v>
          </cell>
          <cell r="H51">
            <v>167797360</v>
          </cell>
          <cell r="I51">
            <v>139394628</v>
          </cell>
          <cell r="J51">
            <v>0</v>
          </cell>
          <cell r="K51">
            <v>0</v>
          </cell>
          <cell r="L51">
            <v>0</v>
          </cell>
        </row>
        <row r="52">
          <cell r="B52">
            <v>76</v>
          </cell>
          <cell r="C52">
            <v>277</v>
          </cell>
          <cell r="D52">
            <v>6</v>
          </cell>
          <cell r="E52" t="str">
            <v>k</v>
          </cell>
          <cell r="F52" t="str">
            <v>277.6k</v>
          </cell>
          <cell r="G52" t="str">
            <v>end_yr_bal</v>
          </cell>
          <cell r="H52">
            <v>50755602</v>
          </cell>
          <cell r="I52">
            <v>34637390</v>
          </cell>
          <cell r="J52">
            <v>30841189</v>
          </cell>
          <cell r="K52">
            <v>30841189</v>
          </cell>
          <cell r="L52">
            <v>32351572</v>
          </cell>
        </row>
        <row r="53">
          <cell r="B53">
            <v>77</v>
          </cell>
          <cell r="C53">
            <v>277</v>
          </cell>
          <cell r="D53">
            <v>9</v>
          </cell>
          <cell r="E53" t="str">
            <v>k</v>
          </cell>
          <cell r="F53" t="str">
            <v>277.9k</v>
          </cell>
          <cell r="G53" t="str">
            <v>end_yr_bal</v>
          </cell>
          <cell r="H53">
            <v>490759775</v>
          </cell>
          <cell r="I53">
            <v>450899466</v>
          </cell>
          <cell r="J53">
            <v>680518898</v>
          </cell>
          <cell r="K53">
            <v>680518898</v>
          </cell>
          <cell r="L53">
            <v>728061162</v>
          </cell>
        </row>
        <row r="54">
          <cell r="B54">
            <v>78</v>
          </cell>
          <cell r="C54">
            <v>277</v>
          </cell>
          <cell r="D54">
            <v>9</v>
          </cell>
          <cell r="E54" t="str">
            <v>k</v>
          </cell>
          <cell r="F54" t="str">
            <v>277.9k</v>
          </cell>
          <cell r="G54" t="str">
            <v>end_yr_bal</v>
          </cell>
          <cell r="H54">
            <v>490759775</v>
          </cell>
          <cell r="I54">
            <v>450899466</v>
          </cell>
          <cell r="J54">
            <v>680518898</v>
          </cell>
          <cell r="K54">
            <v>680518898</v>
          </cell>
          <cell r="L54">
            <v>728061162</v>
          </cell>
        </row>
        <row r="55">
          <cell r="B55">
            <v>79</v>
          </cell>
          <cell r="C55">
            <v>277</v>
          </cell>
          <cell r="D55">
            <v>17</v>
          </cell>
          <cell r="E55" t="str">
            <v>k</v>
          </cell>
          <cell r="F55" t="str">
            <v>277.17k</v>
          </cell>
          <cell r="G55" t="str">
            <v>end_yr_bal</v>
          </cell>
          <cell r="H55">
            <v>0</v>
          </cell>
          <cell r="I55">
            <v>0</v>
          </cell>
          <cell r="J55">
            <v>0</v>
          </cell>
          <cell r="K55">
            <v>0</v>
          </cell>
          <cell r="L55">
            <v>0</v>
          </cell>
        </row>
        <row r="56">
          <cell r="B56">
            <v>80</v>
          </cell>
          <cell r="C56">
            <v>277</v>
          </cell>
          <cell r="D56">
            <v>17</v>
          </cell>
          <cell r="E56" t="str">
            <v>k</v>
          </cell>
          <cell r="F56" t="str">
            <v>277.17k</v>
          </cell>
          <cell r="G56" t="str">
            <v>end_yr_bal</v>
          </cell>
          <cell r="H56">
            <v>0</v>
          </cell>
          <cell r="I56">
            <v>0</v>
          </cell>
          <cell r="J56">
            <v>0</v>
          </cell>
          <cell r="K56">
            <v>0</v>
          </cell>
          <cell r="L56">
            <v>0</v>
          </cell>
        </row>
        <row r="57">
          <cell r="B57">
            <v>81</v>
          </cell>
          <cell r="C57">
            <v>277</v>
          </cell>
          <cell r="D57">
            <v>19</v>
          </cell>
          <cell r="E57" t="str">
            <v>k</v>
          </cell>
          <cell r="F57" t="str">
            <v>277.19k</v>
          </cell>
          <cell r="G57" t="str">
            <v>end_yr_bal</v>
          </cell>
          <cell r="H57">
            <v>490759775</v>
          </cell>
          <cell r="I57">
            <v>450899466</v>
          </cell>
          <cell r="J57">
            <v>680518898</v>
          </cell>
          <cell r="K57">
            <v>680518898</v>
          </cell>
          <cell r="L57">
            <v>728061162</v>
          </cell>
        </row>
        <row r="58">
          <cell r="B58">
            <v>96</v>
          </cell>
          <cell r="C58">
            <v>321</v>
          </cell>
          <cell r="D58">
            <v>84</v>
          </cell>
          <cell r="E58" t="str">
            <v>b</v>
          </cell>
          <cell r="F58" t="str">
            <v>321.84b</v>
          </cell>
          <cell r="G58" t="str">
            <v>crnt_yr_amt</v>
          </cell>
          <cell r="H58">
            <v>0</v>
          </cell>
          <cell r="I58">
            <v>0</v>
          </cell>
          <cell r="J58">
            <v>650305</v>
          </cell>
          <cell r="K58">
            <v>0</v>
          </cell>
          <cell r="L58">
            <v>0</v>
          </cell>
        </row>
        <row r="59">
          <cell r="B59">
            <v>97</v>
          </cell>
          <cell r="C59">
            <v>321</v>
          </cell>
          <cell r="D59">
            <v>85</v>
          </cell>
          <cell r="E59" t="str">
            <v>b</v>
          </cell>
          <cell r="F59" t="str">
            <v>321.85b</v>
          </cell>
          <cell r="G59" t="str">
            <v>crnt_yr_amt</v>
          </cell>
          <cell r="H59">
            <v>0</v>
          </cell>
          <cell r="I59">
            <v>0</v>
          </cell>
          <cell r="J59">
            <v>0</v>
          </cell>
          <cell r="K59">
            <v>0</v>
          </cell>
          <cell r="L59">
            <v>0</v>
          </cell>
        </row>
        <row r="60">
          <cell r="B60">
            <v>98</v>
          </cell>
          <cell r="C60">
            <v>321</v>
          </cell>
          <cell r="D60">
            <v>86</v>
          </cell>
          <cell r="E60" t="str">
            <v>b</v>
          </cell>
          <cell r="F60" t="str">
            <v>321.86b</v>
          </cell>
          <cell r="G60" t="str">
            <v>crnt_yr_amt</v>
          </cell>
          <cell r="H60">
            <v>7114390</v>
          </cell>
          <cell r="I60">
            <v>8347455</v>
          </cell>
          <cell r="J60">
            <v>7847328</v>
          </cell>
          <cell r="K60">
            <v>7794035</v>
          </cell>
          <cell r="L60">
            <v>6733470</v>
          </cell>
        </row>
        <row r="61">
          <cell r="B61">
            <v>99</v>
          </cell>
          <cell r="C61">
            <v>321</v>
          </cell>
          <cell r="D61">
            <v>87</v>
          </cell>
          <cell r="E61" t="str">
            <v>b</v>
          </cell>
          <cell r="F61" t="str">
            <v>321.87b</v>
          </cell>
          <cell r="G61" t="str">
            <v>crnt_yr_amt</v>
          </cell>
          <cell r="H61">
            <v>83728</v>
          </cell>
          <cell r="I61">
            <v>0</v>
          </cell>
          <cell r="J61">
            <v>0</v>
          </cell>
          <cell r="K61">
            <v>0</v>
          </cell>
          <cell r="L61">
            <v>0</v>
          </cell>
        </row>
        <row r="62">
          <cell r="B62">
            <v>100</v>
          </cell>
          <cell r="C62">
            <v>321</v>
          </cell>
          <cell r="D62">
            <v>88</v>
          </cell>
          <cell r="E62" t="str">
            <v>b</v>
          </cell>
          <cell r="F62" t="str">
            <v>321.88b</v>
          </cell>
          <cell r="G62" t="str">
            <v>crnt_yr_amt</v>
          </cell>
          <cell r="H62">
            <v>0</v>
          </cell>
          <cell r="I62">
            <v>0</v>
          </cell>
          <cell r="J62">
            <v>0</v>
          </cell>
          <cell r="K62">
            <v>0</v>
          </cell>
          <cell r="L62">
            <v>239500</v>
          </cell>
        </row>
        <row r="63">
          <cell r="B63">
            <v>101</v>
          </cell>
          <cell r="C63">
            <v>321</v>
          </cell>
          <cell r="D63">
            <v>88</v>
          </cell>
          <cell r="E63" t="str">
            <v>b</v>
          </cell>
          <cell r="F63" t="str">
            <v>321.88b</v>
          </cell>
          <cell r="G63" t="str">
            <v>crnt_yr_amt</v>
          </cell>
          <cell r="H63">
            <v>0</v>
          </cell>
          <cell r="I63">
            <v>0</v>
          </cell>
          <cell r="J63">
            <v>0</v>
          </cell>
          <cell r="K63">
            <v>0</v>
          </cell>
          <cell r="L63">
            <v>239500</v>
          </cell>
        </row>
        <row r="64">
          <cell r="B64">
            <v>102</v>
          </cell>
          <cell r="C64">
            <v>321</v>
          </cell>
          <cell r="D64">
            <v>89</v>
          </cell>
          <cell r="E64" t="str">
            <v>b</v>
          </cell>
          <cell r="F64" t="str">
            <v>321.89b</v>
          </cell>
          <cell r="G64" t="str">
            <v>crnt_yr_amt</v>
          </cell>
          <cell r="H64">
            <v>0</v>
          </cell>
          <cell r="I64">
            <v>0</v>
          </cell>
          <cell r="J64">
            <v>816883</v>
          </cell>
          <cell r="K64">
            <v>984307</v>
          </cell>
          <cell r="L64">
            <v>850396</v>
          </cell>
        </row>
        <row r="65">
          <cell r="B65">
            <v>103</v>
          </cell>
          <cell r="C65">
            <v>321</v>
          </cell>
          <cell r="D65">
            <v>92</v>
          </cell>
          <cell r="E65" t="str">
            <v>b</v>
          </cell>
          <cell r="F65" t="str">
            <v>321.92b</v>
          </cell>
          <cell r="G65" t="str">
            <v>crnt_yr_amt</v>
          </cell>
          <cell r="H65">
            <v>0</v>
          </cell>
          <cell r="I65">
            <v>0</v>
          </cell>
          <cell r="J65">
            <v>0</v>
          </cell>
          <cell r="K65">
            <v>0</v>
          </cell>
          <cell r="L65">
            <v>0</v>
          </cell>
        </row>
        <row r="66">
          <cell r="B66">
            <v>104</v>
          </cell>
          <cell r="C66">
            <v>321</v>
          </cell>
          <cell r="D66">
            <v>96</v>
          </cell>
          <cell r="E66" t="str">
            <v>b</v>
          </cell>
          <cell r="F66" t="str">
            <v>321.96b</v>
          </cell>
          <cell r="G66" t="str">
            <v>crnt_yr_amt</v>
          </cell>
          <cell r="H66">
            <v>121167183</v>
          </cell>
          <cell r="I66">
            <v>117161210</v>
          </cell>
          <cell r="J66">
            <v>136854649</v>
          </cell>
          <cell r="K66">
            <v>138234854</v>
          </cell>
          <cell r="L66">
            <v>142125115</v>
          </cell>
        </row>
        <row r="67">
          <cell r="B67">
            <v>105</v>
          </cell>
          <cell r="C67">
            <v>321</v>
          </cell>
          <cell r="D67">
            <v>100</v>
          </cell>
          <cell r="E67" t="str">
            <v>b</v>
          </cell>
          <cell r="F67" t="str">
            <v>321.100b</v>
          </cell>
          <cell r="G67" t="str">
            <v>crnt_yr_amt</v>
          </cell>
          <cell r="H67">
            <v>0</v>
          </cell>
          <cell r="I67">
            <v>0</v>
          </cell>
          <cell r="J67">
            <v>0</v>
          </cell>
          <cell r="K67">
            <v>0</v>
          </cell>
          <cell r="L67">
            <v>0</v>
          </cell>
        </row>
        <row r="68">
          <cell r="B68">
            <v>106</v>
          </cell>
          <cell r="C68">
            <v>321</v>
          </cell>
          <cell r="D68">
            <v>112</v>
          </cell>
          <cell r="E68" t="str">
            <v>b</v>
          </cell>
          <cell r="F68" t="str">
            <v>321.112b</v>
          </cell>
          <cell r="G68" t="str">
            <v>crnt_yr_amt</v>
          </cell>
          <cell r="H68">
            <v>174010394</v>
          </cell>
          <cell r="I68">
            <v>172874522</v>
          </cell>
          <cell r="J68">
            <v>195628269</v>
          </cell>
          <cell r="K68">
            <v>204716008</v>
          </cell>
          <cell r="L68">
            <v>206484082</v>
          </cell>
        </row>
        <row r="69">
          <cell r="B69">
            <v>107</v>
          </cell>
          <cell r="C69">
            <v>323</v>
          </cell>
          <cell r="D69">
            <v>168</v>
          </cell>
          <cell r="E69" t="str">
            <v>b</v>
          </cell>
          <cell r="F69" t="str">
            <v>323.168b</v>
          </cell>
          <cell r="G69" t="str">
            <v>crnt_yr_amt</v>
          </cell>
          <cell r="H69">
            <v>51829080</v>
          </cell>
          <cell r="I69">
            <v>66102006</v>
          </cell>
          <cell r="J69">
            <v>124155800</v>
          </cell>
          <cell r="K69">
            <v>103945691</v>
          </cell>
          <cell r="L69">
            <v>103156102</v>
          </cell>
        </row>
        <row r="70">
          <cell r="B70">
            <v>108</v>
          </cell>
          <cell r="C70">
            <v>323</v>
          </cell>
          <cell r="D70">
            <v>185</v>
          </cell>
          <cell r="E70" t="str">
            <v>b</v>
          </cell>
          <cell r="F70" t="str">
            <v>323.185b</v>
          </cell>
          <cell r="G70" t="str">
            <v>crnt_yr_amt</v>
          </cell>
          <cell r="H70">
            <v>31882383</v>
          </cell>
          <cell r="I70">
            <v>23970317</v>
          </cell>
          <cell r="J70">
            <v>23341430</v>
          </cell>
          <cell r="K70">
            <v>24984814</v>
          </cell>
          <cell r="L70">
            <v>16404849</v>
          </cell>
        </row>
        <row r="71">
          <cell r="B71">
            <v>109</v>
          </cell>
          <cell r="C71">
            <v>323</v>
          </cell>
          <cell r="D71">
            <v>189</v>
          </cell>
          <cell r="E71" t="str">
            <v>b</v>
          </cell>
          <cell r="F71" t="str">
            <v>323.189b</v>
          </cell>
          <cell r="G71" t="str">
            <v>crnt_yr_amt</v>
          </cell>
          <cell r="H71">
            <v>11630262</v>
          </cell>
          <cell r="I71">
            <v>16464747</v>
          </cell>
          <cell r="J71">
            <v>17926840</v>
          </cell>
          <cell r="K71">
            <v>21857100</v>
          </cell>
          <cell r="L71">
            <v>22965972</v>
          </cell>
        </row>
        <row r="72">
          <cell r="B72">
            <v>110</v>
          </cell>
          <cell r="C72">
            <v>323</v>
          </cell>
          <cell r="D72">
            <v>191</v>
          </cell>
          <cell r="E72" t="str">
            <v>b</v>
          </cell>
          <cell r="F72" t="str">
            <v>323.191b</v>
          </cell>
          <cell r="G72" t="str">
            <v>crnt_yr_amt</v>
          </cell>
          <cell r="H72">
            <v>35163</v>
          </cell>
          <cell r="I72">
            <v>35761</v>
          </cell>
          <cell r="J72">
            <v>20382</v>
          </cell>
          <cell r="K72">
            <v>5360</v>
          </cell>
          <cell r="L72">
            <v>4948</v>
          </cell>
        </row>
        <row r="73">
          <cell r="B73">
            <v>111</v>
          </cell>
          <cell r="C73">
            <v>323</v>
          </cell>
          <cell r="D73">
            <v>197</v>
          </cell>
          <cell r="E73" t="str">
            <v>b</v>
          </cell>
          <cell r="F73" t="str">
            <v>323.197b</v>
          </cell>
          <cell r="G73" t="str">
            <v>crnt_yr_amt</v>
          </cell>
          <cell r="H73">
            <v>170044137</v>
          </cell>
          <cell r="I73">
            <v>162619511</v>
          </cell>
          <cell r="J73">
            <v>146076484</v>
          </cell>
          <cell r="K73">
            <v>152657357</v>
          </cell>
          <cell r="L73">
            <v>188239678</v>
          </cell>
        </row>
        <row r="74">
          <cell r="B74">
            <v>112</v>
          </cell>
          <cell r="C74">
            <v>335</v>
          </cell>
          <cell r="D74">
            <v>1</v>
          </cell>
          <cell r="E74" t="str">
            <v>b</v>
          </cell>
          <cell r="F74" t="str">
            <v>335.1b</v>
          </cell>
          <cell r="G74" t="str">
            <v>amount</v>
          </cell>
          <cell r="H74">
            <v>645728</v>
          </cell>
          <cell r="I74">
            <v>1028546</v>
          </cell>
          <cell r="J74">
            <v>1329375</v>
          </cell>
          <cell r="K74">
            <v>2003108</v>
          </cell>
          <cell r="L74">
            <v>1715222</v>
          </cell>
        </row>
        <row r="75">
          <cell r="B75">
            <v>115</v>
          </cell>
          <cell r="C75">
            <v>336</v>
          </cell>
          <cell r="D75">
            <v>1</v>
          </cell>
          <cell r="E75" t="str">
            <v>d</v>
          </cell>
          <cell r="F75" t="str">
            <v>336.1d</v>
          </cell>
          <cell r="G75" t="str">
            <v>limterm_elc_plnt</v>
          </cell>
          <cell r="H75">
            <v>37623410</v>
          </cell>
          <cell r="I75">
            <v>29820783</v>
          </cell>
          <cell r="J75">
            <v>31747938</v>
          </cell>
          <cell r="K75">
            <v>38609300</v>
          </cell>
          <cell r="L75">
            <v>41692182</v>
          </cell>
        </row>
        <row r="76">
          <cell r="B76">
            <v>116</v>
          </cell>
          <cell r="C76">
            <v>336</v>
          </cell>
          <cell r="D76">
            <v>1</v>
          </cell>
          <cell r="E76" t="str">
            <v>e</v>
          </cell>
          <cell r="F76" t="str">
            <v>336.1e</v>
          </cell>
          <cell r="G76" t="str">
            <v>othr_elc_plnt</v>
          </cell>
          <cell r="H76">
            <v>0</v>
          </cell>
          <cell r="I76">
            <v>0</v>
          </cell>
          <cell r="J76">
            <v>0</v>
          </cell>
          <cell r="K76">
            <v>0</v>
          </cell>
          <cell r="L76">
            <v>0</v>
          </cell>
        </row>
        <row r="77">
          <cell r="B77">
            <v>132</v>
          </cell>
          <cell r="C77">
            <v>336</v>
          </cell>
          <cell r="D77">
            <v>7</v>
          </cell>
          <cell r="E77" t="str">
            <v>b</v>
          </cell>
          <cell r="F77" t="str">
            <v>336.7b</v>
          </cell>
          <cell r="G77" t="str">
            <v>depr_expn</v>
          </cell>
          <cell r="H77">
            <v>58235144</v>
          </cell>
          <cell r="I77">
            <v>62893206</v>
          </cell>
          <cell r="J77">
            <v>71678696</v>
          </cell>
          <cell r="K77">
            <v>84271946</v>
          </cell>
          <cell r="L77">
            <v>86537884</v>
          </cell>
        </row>
        <row r="78">
          <cell r="B78">
            <v>134</v>
          </cell>
          <cell r="C78">
            <v>336</v>
          </cell>
          <cell r="D78">
            <v>7</v>
          </cell>
          <cell r="E78" t="str">
            <v>d</v>
          </cell>
          <cell r="F78" t="str">
            <v>336.7d</v>
          </cell>
          <cell r="G78" t="str">
            <v>limterm_elc_plnt</v>
          </cell>
          <cell r="H78">
            <v>0</v>
          </cell>
          <cell r="I78">
            <v>0</v>
          </cell>
          <cell r="J78">
            <v>0</v>
          </cell>
          <cell r="K78">
            <v>0</v>
          </cell>
          <cell r="L78">
            <v>0</v>
          </cell>
        </row>
        <row r="79">
          <cell r="B79">
            <v>135</v>
          </cell>
          <cell r="C79">
            <v>336</v>
          </cell>
          <cell r="D79">
            <v>10</v>
          </cell>
          <cell r="E79" t="str">
            <v>b</v>
          </cell>
          <cell r="F79" t="str">
            <v>336.10b</v>
          </cell>
          <cell r="G79" t="str">
            <v>depr_expn</v>
          </cell>
          <cell r="H79">
            <v>37989569</v>
          </cell>
          <cell r="I79">
            <v>35397061</v>
          </cell>
          <cell r="J79">
            <v>34325996</v>
          </cell>
          <cell r="K79">
            <v>36082214</v>
          </cell>
          <cell r="L79">
            <v>38203550</v>
          </cell>
        </row>
        <row r="80">
          <cell r="B80">
            <v>137</v>
          </cell>
          <cell r="C80">
            <v>336</v>
          </cell>
          <cell r="D80">
            <v>10</v>
          </cell>
          <cell r="E80" t="str">
            <v>d</v>
          </cell>
          <cell r="F80" t="str">
            <v>336.10d</v>
          </cell>
          <cell r="G80" t="str">
            <v>limterm_elc_plnt</v>
          </cell>
          <cell r="H80">
            <v>2552628</v>
          </cell>
          <cell r="I80">
            <v>2524008</v>
          </cell>
          <cell r="J80">
            <v>2921169</v>
          </cell>
          <cell r="K80">
            <v>3340933</v>
          </cell>
          <cell r="L80">
            <v>2357362</v>
          </cell>
        </row>
        <row r="81">
          <cell r="B81">
            <v>138</v>
          </cell>
          <cell r="C81">
            <v>350</v>
          </cell>
          <cell r="D81">
            <v>30</v>
          </cell>
          <cell r="E81" t="str">
            <v>d</v>
          </cell>
          <cell r="F81" t="str">
            <v>350.30d</v>
          </cell>
          <cell r="G81" t="str">
            <v>tot_expn_to_date</v>
          </cell>
          <cell r="H81">
            <v>1716878</v>
          </cell>
          <cell r="I81">
            <v>1831753</v>
          </cell>
          <cell r="J81">
            <v>1917327</v>
          </cell>
          <cell r="K81" t="e">
            <v>#N/A</v>
          </cell>
          <cell r="L81">
            <v>0</v>
          </cell>
        </row>
        <row r="82">
          <cell r="B82">
            <v>139</v>
          </cell>
          <cell r="C82">
            <v>350</v>
          </cell>
          <cell r="D82">
            <v>31</v>
          </cell>
          <cell r="E82" t="str">
            <v>d</v>
          </cell>
          <cell r="F82" t="str">
            <v>350.31d</v>
          </cell>
          <cell r="G82" t="str">
            <v>tot_expn_to_date</v>
          </cell>
          <cell r="H82">
            <v>183061</v>
          </cell>
          <cell r="I82">
            <v>491725</v>
          </cell>
          <cell r="J82">
            <v>596587</v>
          </cell>
          <cell r="K82" t="e">
            <v>#N/A</v>
          </cell>
          <cell r="L82">
            <v>0</v>
          </cell>
        </row>
        <row r="83">
          <cell r="B83">
            <v>140</v>
          </cell>
          <cell r="C83">
            <v>350</v>
          </cell>
          <cell r="D83">
            <v>32</v>
          </cell>
          <cell r="E83" t="str">
            <v>d</v>
          </cell>
          <cell r="F83" t="str">
            <v>350.32d</v>
          </cell>
          <cell r="G83" t="str">
            <v>tot_expn_to_date</v>
          </cell>
          <cell r="H83">
            <v>0</v>
          </cell>
          <cell r="I83">
            <v>2368722</v>
          </cell>
          <cell r="J83">
            <v>762536</v>
          </cell>
          <cell r="K83" t="e">
            <v>#N/A</v>
          </cell>
          <cell r="L83">
            <v>2043517</v>
          </cell>
        </row>
        <row r="84">
          <cell r="B84">
            <v>141</v>
          </cell>
          <cell r="C84">
            <v>350</v>
          </cell>
          <cell r="D84">
            <v>46</v>
          </cell>
          <cell r="E84" t="str">
            <v>d</v>
          </cell>
          <cell r="F84" t="str">
            <v>350.46d</v>
          </cell>
          <cell r="G84" t="str">
            <v>tot_expn_to_date</v>
          </cell>
          <cell r="H84">
            <v>11630262</v>
          </cell>
          <cell r="I84">
            <v>16464747</v>
          </cell>
          <cell r="J84">
            <v>17926840</v>
          </cell>
          <cell r="K84">
            <v>21857100</v>
          </cell>
          <cell r="L84" t="e">
            <v>#N/A</v>
          </cell>
        </row>
        <row r="85">
          <cell r="B85">
            <v>148</v>
          </cell>
          <cell r="C85">
            <v>354</v>
          </cell>
          <cell r="D85">
            <v>21</v>
          </cell>
          <cell r="E85" t="str">
            <v>b</v>
          </cell>
          <cell r="F85" t="str">
            <v>354.21b</v>
          </cell>
          <cell r="G85" t="str">
            <v>drct_pyrl_dstrbt</v>
          </cell>
          <cell r="H85">
            <v>20976669</v>
          </cell>
          <cell r="I85">
            <v>21701683</v>
          </cell>
          <cell r="J85">
            <v>21424172</v>
          </cell>
          <cell r="K85">
            <v>22707903</v>
          </cell>
          <cell r="L85">
            <v>23499915</v>
          </cell>
        </row>
        <row r="86">
          <cell r="B86">
            <v>151</v>
          </cell>
          <cell r="C86">
            <v>354</v>
          </cell>
          <cell r="D86">
            <v>27</v>
          </cell>
          <cell r="E86" t="str">
            <v>b</v>
          </cell>
          <cell r="F86" t="str">
            <v>354.27b</v>
          </cell>
          <cell r="G86" t="str">
            <v>drct_pyrl_dstrbt</v>
          </cell>
          <cell r="H86">
            <v>39151807</v>
          </cell>
          <cell r="I86">
            <v>6194912</v>
          </cell>
          <cell r="J86">
            <v>39620131</v>
          </cell>
          <cell r="K86">
            <v>41949915</v>
          </cell>
          <cell r="L86">
            <v>43097996</v>
          </cell>
        </row>
        <row r="87">
          <cell r="B87">
            <v>152</v>
          </cell>
          <cell r="C87">
            <v>354</v>
          </cell>
          <cell r="D87">
            <v>28</v>
          </cell>
          <cell r="E87" t="str">
            <v>b</v>
          </cell>
          <cell r="F87" t="str">
            <v>354.28b</v>
          </cell>
          <cell r="G87" t="str">
            <v>drct_pyrl_dstrbt</v>
          </cell>
          <cell r="H87">
            <v>354492178</v>
          </cell>
          <cell r="I87">
            <v>361424755</v>
          </cell>
          <cell r="J87">
            <v>352150935</v>
          </cell>
          <cell r="K87">
            <v>357213635</v>
          </cell>
          <cell r="L87">
            <v>363265480</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Final Summary Sheet"/>
      <sheetName val="2012 data (2013 projection)"/>
    </sheetNames>
    <sheetDataSet>
      <sheetData sheetId="0" refreshError="1"/>
      <sheetData sheetId="1">
        <row r="132">
          <cell r="AB132">
            <v>0</v>
          </cell>
          <cell r="AC132">
            <v>0</v>
          </cell>
          <cell r="AD132">
            <v>0</v>
          </cell>
          <cell r="AE132">
            <v>0</v>
          </cell>
          <cell r="AF132">
            <v>0</v>
          </cell>
          <cell r="AG132">
            <v>0</v>
          </cell>
          <cell r="AH132">
            <v>0</v>
          </cell>
          <cell r="AI132">
            <v>0</v>
          </cell>
          <cell r="AJ132">
            <v>0</v>
          </cell>
          <cell r="AK132">
            <v>0</v>
          </cell>
          <cell r="AL132">
            <v>0</v>
          </cell>
          <cell r="AM132">
            <v>0</v>
          </cell>
        </row>
        <row r="133">
          <cell r="AB133">
            <v>-20999.920000000002</v>
          </cell>
          <cell r="AC133">
            <v>66350.159999999989</v>
          </cell>
          <cell r="AD133">
            <v>827519.35000000009</v>
          </cell>
          <cell r="AE133">
            <v>10000</v>
          </cell>
          <cell r="AF133">
            <v>10000</v>
          </cell>
          <cell r="AG133">
            <v>10000</v>
          </cell>
          <cell r="AH133">
            <v>30000</v>
          </cell>
          <cell r="AI133">
            <v>10000</v>
          </cell>
          <cell r="AJ133">
            <v>10000</v>
          </cell>
          <cell r="AK133">
            <v>10000</v>
          </cell>
          <cell r="AL133">
            <v>10000</v>
          </cell>
          <cell r="AM133">
            <v>10000</v>
          </cell>
        </row>
        <row r="134">
          <cell r="AB134">
            <v>-390.07000000000016</v>
          </cell>
          <cell r="AC134">
            <v>0</v>
          </cell>
          <cell r="AD134">
            <v>0</v>
          </cell>
          <cell r="AE134">
            <v>0</v>
          </cell>
          <cell r="AF134">
            <v>345596138.16000003</v>
          </cell>
          <cell r="AG134">
            <v>11111733</v>
          </cell>
          <cell r="AH134">
            <v>2150747</v>
          </cell>
          <cell r="AI134">
            <v>1463558</v>
          </cell>
          <cell r="AJ134">
            <v>1149487</v>
          </cell>
          <cell r="AK134">
            <v>921751</v>
          </cell>
          <cell r="AL134">
            <v>473400</v>
          </cell>
          <cell r="AM134">
            <v>105336</v>
          </cell>
        </row>
        <row r="135">
          <cell r="AB135">
            <v>0</v>
          </cell>
          <cell r="AC135">
            <v>0</v>
          </cell>
          <cell r="AD135">
            <v>0</v>
          </cell>
          <cell r="AE135">
            <v>0</v>
          </cell>
          <cell r="AF135">
            <v>0</v>
          </cell>
          <cell r="AG135">
            <v>0</v>
          </cell>
          <cell r="AH135">
            <v>0</v>
          </cell>
          <cell r="AI135">
            <v>0</v>
          </cell>
          <cell r="AJ135">
            <v>0</v>
          </cell>
          <cell r="AK135">
            <v>0</v>
          </cell>
          <cell r="AL135">
            <v>0</v>
          </cell>
          <cell r="AM135">
            <v>0</v>
          </cell>
        </row>
        <row r="136">
          <cell r="AB136">
            <v>0</v>
          </cell>
          <cell r="AC136">
            <v>0</v>
          </cell>
          <cell r="AD136">
            <v>0</v>
          </cell>
          <cell r="AE136">
            <v>0</v>
          </cell>
          <cell r="AF136">
            <v>0</v>
          </cell>
          <cell r="AG136">
            <v>0</v>
          </cell>
          <cell r="AH136">
            <v>0</v>
          </cell>
          <cell r="AI136">
            <v>0</v>
          </cell>
          <cell r="AJ136">
            <v>0</v>
          </cell>
          <cell r="AK136">
            <v>0</v>
          </cell>
          <cell r="AL136">
            <v>0</v>
          </cell>
          <cell r="AM136">
            <v>0</v>
          </cell>
        </row>
        <row r="137">
          <cell r="AB137">
            <v>-37897.029999998893</v>
          </cell>
          <cell r="AC137">
            <v>119152.57000000028</v>
          </cell>
          <cell r="AD137">
            <v>1511930.7099999997</v>
          </cell>
          <cell r="AE137">
            <v>0</v>
          </cell>
          <cell r="AF137">
            <v>5349832.6900000004</v>
          </cell>
          <cell r="AG137">
            <v>145213</v>
          </cell>
          <cell r="AH137">
            <v>0</v>
          </cell>
          <cell r="AI137">
            <v>0</v>
          </cell>
          <cell r="AJ137">
            <v>0</v>
          </cell>
          <cell r="AK137">
            <v>0</v>
          </cell>
          <cell r="AL137">
            <v>0</v>
          </cell>
          <cell r="AM137">
            <v>0</v>
          </cell>
        </row>
        <row r="138">
          <cell r="AB138">
            <v>0</v>
          </cell>
          <cell r="AC138">
            <v>0</v>
          </cell>
          <cell r="AD138">
            <v>0</v>
          </cell>
          <cell r="AE138">
            <v>0</v>
          </cell>
          <cell r="AF138">
            <v>2000000</v>
          </cell>
          <cell r="AG138">
            <v>0</v>
          </cell>
          <cell r="AH138">
            <v>0</v>
          </cell>
          <cell r="AI138">
            <v>0</v>
          </cell>
          <cell r="AJ138">
            <v>0</v>
          </cell>
          <cell r="AK138">
            <v>0</v>
          </cell>
          <cell r="AL138">
            <v>0</v>
          </cell>
          <cell r="AM138">
            <v>0</v>
          </cell>
        </row>
        <row r="139">
          <cell r="AB139">
            <v>0</v>
          </cell>
          <cell r="AC139">
            <v>0</v>
          </cell>
          <cell r="AD139">
            <v>190296.69</v>
          </cell>
          <cell r="AE139">
            <v>-190296.69</v>
          </cell>
          <cell r="AF139">
            <v>0</v>
          </cell>
          <cell r="AG139">
            <v>0</v>
          </cell>
          <cell r="AH139">
            <v>0</v>
          </cell>
          <cell r="AI139">
            <v>0</v>
          </cell>
          <cell r="AJ139">
            <v>0</v>
          </cell>
          <cell r="AK139">
            <v>0</v>
          </cell>
          <cell r="AL139">
            <v>0</v>
          </cell>
          <cell r="AM139">
            <v>0</v>
          </cell>
        </row>
        <row r="140">
          <cell r="AB140">
            <v>3992288.5300000007</v>
          </cell>
          <cell r="AC140">
            <v>7625573.330000001</v>
          </cell>
          <cell r="AD140">
            <v>5693982.3799999999</v>
          </cell>
          <cell r="AE140">
            <v>10184079.280000003</v>
          </cell>
          <cell r="AF140">
            <v>16641004.163303988</v>
          </cell>
          <cell r="AG140">
            <v>37416529.201457046</v>
          </cell>
          <cell r="AH140">
            <v>7905111.2525474746</v>
          </cell>
          <cell r="AI140">
            <v>8893021.5248183459</v>
          </cell>
          <cell r="AJ140">
            <v>13926173.173849482</v>
          </cell>
          <cell r="AK140">
            <v>22098349.088597469</v>
          </cell>
          <cell r="AL140">
            <v>14469713.982168067</v>
          </cell>
          <cell r="AM140">
            <v>9599588.802168062</v>
          </cell>
        </row>
        <row r="141">
          <cell r="AB141">
            <v>3933001.5100000016</v>
          </cell>
          <cell r="AC141">
            <v>7811076.0600000015</v>
          </cell>
          <cell r="AD141">
            <v>8223729.129999999</v>
          </cell>
          <cell r="AE141">
            <v>10003782.590000004</v>
          </cell>
          <cell r="AF141">
            <v>369596975.013304</v>
          </cell>
          <cell r="AG141">
            <v>48683475.201457046</v>
          </cell>
          <cell r="AH141">
            <v>10085858.252547475</v>
          </cell>
          <cell r="AI141">
            <v>10366579.524818346</v>
          </cell>
          <cell r="AJ141">
            <v>15085660.173849482</v>
          </cell>
          <cell r="AK141">
            <v>23030100.088597469</v>
          </cell>
          <cell r="AL141">
            <v>14953113.982168067</v>
          </cell>
          <cell r="AM141">
            <v>9714924.802168062</v>
          </cell>
        </row>
      </sheetData>
      <sheetData sheetId="2">
        <row r="5">
          <cell r="C5">
            <v>3933001.5100000016</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acts for Info"/>
      <sheetName val="Allocations"/>
      <sheetName val="Questions"/>
      <sheetName val="Changes &amp; Notes"/>
      <sheetName val="EPRI-REG-ADVT"/>
      <sheetName val="Data Entry and Forecaster"/>
      <sheetName val="IOU Cost of Service"/>
      <sheetName val="MISO notes"/>
    </sheetNames>
    <sheetDataSet>
      <sheetData sheetId="0"/>
      <sheetData sheetId="1"/>
      <sheetData sheetId="2"/>
      <sheetData sheetId="3"/>
      <sheetData sheetId="4"/>
      <sheetData sheetId="5"/>
      <sheetData sheetId="6"/>
      <sheetData sheetId="7"/>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acts for Info"/>
      <sheetName val="Allocations"/>
      <sheetName val="Questions"/>
      <sheetName val="Changes &amp; Notes"/>
      <sheetName val="EPRI-REG-ADVT"/>
      <sheetName val="Data Entry and Forecaster"/>
      <sheetName val="IOU Cost of Service"/>
      <sheetName val="MISO notes"/>
    </sheetNames>
    <sheetDataSet>
      <sheetData sheetId="0"/>
      <sheetData sheetId="1"/>
      <sheetData sheetId="2"/>
      <sheetData sheetId="3"/>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9.bin"/><Relationship Id="rId1" Type="http://schemas.openxmlformats.org/officeDocument/2006/relationships/printerSettings" Target="../printerSettings/printerSettings18.bin"/></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21.bin"/><Relationship Id="rId1" Type="http://schemas.openxmlformats.org/officeDocument/2006/relationships/printerSettings" Target="../printerSettings/printerSettings20.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17.xml.rels><?xml version="1.0" encoding="UTF-8" standalone="yes"?>
<Relationships xmlns="http://schemas.openxmlformats.org/package/2006/relationships"><Relationship Id="rId2" Type="http://schemas.openxmlformats.org/officeDocument/2006/relationships/printerSettings" Target="../printerSettings/printerSettings25.bin"/><Relationship Id="rId1" Type="http://schemas.openxmlformats.org/officeDocument/2006/relationships/printerSettings" Target="../printerSettings/printerSettings2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19.xml.rels><?xml version="1.0" encoding="UTF-8" standalone="yes"?>
<Relationships xmlns="http://schemas.openxmlformats.org/package/2006/relationships"><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2"/>
  <dimension ref="A1:U378"/>
  <sheetViews>
    <sheetView tabSelected="1" view="pageBreakPreview" zoomScale="50" zoomScaleNormal="75" zoomScaleSheetLayoutView="50" workbookViewId="0"/>
  </sheetViews>
  <sheetFormatPr defaultColWidth="8.90625" defaultRowHeight="15.65"/>
  <cols>
    <col min="1" max="1" width="5.81640625" style="1020" bestFit="1" customWidth="1"/>
    <col min="2" max="2" width="36.6328125" style="1020" customWidth="1"/>
    <col min="3" max="3" width="47" style="1020" customWidth="1"/>
    <col min="4" max="4" width="17.36328125" style="1020" customWidth="1"/>
    <col min="5" max="5" width="10.36328125" style="1020" customWidth="1"/>
    <col min="6" max="6" width="11.54296875" style="1020" customWidth="1"/>
    <col min="7" max="7" width="9.90625" style="1020" customWidth="1"/>
    <col min="8" max="8" width="4.08984375" style="1020" customWidth="1"/>
    <col min="9" max="9" width="16" style="1020" customWidth="1"/>
    <col min="10" max="10" width="13.81640625" style="1020" customWidth="1"/>
    <col min="11" max="11" width="10.54296875" style="1020" customWidth="1"/>
    <col min="12" max="12" width="15.54296875" style="1233" customWidth="1"/>
    <col min="13" max="13" width="10.81640625" style="1020" customWidth="1"/>
    <col min="14" max="14" width="10.453125" style="1020" customWidth="1"/>
    <col min="15" max="15" width="10.54296875" style="1020" customWidth="1"/>
    <col min="16" max="16384" width="8.90625" style="1020"/>
  </cols>
  <sheetData>
    <row r="1" spans="1:14" ht="16.45" customHeight="1">
      <c r="B1" s="1021"/>
      <c r="C1" s="1021"/>
      <c r="D1" s="1022"/>
      <c r="E1" s="1021"/>
      <c r="F1" s="1021"/>
      <c r="G1" s="1021"/>
      <c r="H1" s="1023"/>
      <c r="I1" s="1023"/>
      <c r="K1" s="1024" t="s">
        <v>733</v>
      </c>
      <c r="L1" s="1023"/>
      <c r="M1" s="1023"/>
      <c r="N1" s="1023"/>
    </row>
    <row r="2" spans="1:14" ht="16.45" customHeight="1">
      <c r="B2" s="1021"/>
      <c r="C2" s="1021"/>
      <c r="D2" s="1022"/>
      <c r="E2" s="1021"/>
      <c r="F2" s="1021"/>
      <c r="G2" s="1021"/>
      <c r="H2" s="1023"/>
      <c r="I2" s="1023"/>
      <c r="J2" s="1023"/>
      <c r="K2" s="1024" t="s">
        <v>0</v>
      </c>
      <c r="L2" s="1023"/>
      <c r="M2" s="1023"/>
      <c r="N2" s="1023"/>
    </row>
    <row r="3" spans="1:14" ht="16.45" customHeight="1">
      <c r="B3" s="1021"/>
      <c r="C3" s="1021"/>
      <c r="D3" s="1022"/>
      <c r="E3" s="1021"/>
      <c r="F3" s="1021"/>
      <c r="G3" s="1021"/>
      <c r="H3" s="1023"/>
      <c r="I3" s="1023"/>
      <c r="J3" s="1023"/>
      <c r="K3" s="1023"/>
      <c r="L3" s="1023"/>
      <c r="M3" s="1023"/>
      <c r="N3" s="1023"/>
    </row>
    <row r="4" spans="1:14">
      <c r="B4" s="1021" t="s">
        <v>1</v>
      </c>
      <c r="C4" s="1021"/>
      <c r="D4" s="1022" t="s">
        <v>2</v>
      </c>
      <c r="E4" s="1021"/>
      <c r="F4" s="1021"/>
      <c r="G4" s="1021"/>
      <c r="H4" s="1025"/>
      <c r="I4" s="1026"/>
      <c r="J4" s="1025"/>
      <c r="K4" s="1235" t="s">
        <v>1392</v>
      </c>
      <c r="L4" s="1023"/>
      <c r="M4" s="1023"/>
      <c r="N4" s="1023"/>
    </row>
    <row r="5" spans="1:14">
      <c r="B5" s="1021"/>
      <c r="C5" s="1027"/>
      <c r="D5" s="1028" t="s">
        <v>4</v>
      </c>
      <c r="E5" s="1028"/>
      <c r="F5" s="1028"/>
      <c r="G5" s="1028"/>
      <c r="H5" s="1023"/>
      <c r="I5" s="1023"/>
      <c r="J5" s="1023"/>
      <c r="K5" s="1023"/>
      <c r="L5" s="1023"/>
      <c r="M5" s="1023"/>
      <c r="N5" s="1023"/>
    </row>
    <row r="6" spans="1:14">
      <c r="B6" s="1023"/>
      <c r="C6" s="1023"/>
      <c r="D6" s="1023"/>
      <c r="E6" s="1023"/>
      <c r="F6" s="1023"/>
      <c r="G6" s="1023"/>
      <c r="H6" s="1023"/>
      <c r="I6" s="1023"/>
      <c r="J6" s="1023"/>
      <c r="K6" s="1023"/>
      <c r="L6" s="1023"/>
      <c r="M6" s="1023"/>
      <c r="N6" s="1023"/>
    </row>
    <row r="7" spans="1:14">
      <c r="A7" s="1029"/>
      <c r="B7" s="1023"/>
      <c r="C7" s="1023"/>
      <c r="D7" s="1030" t="s">
        <v>998</v>
      </c>
      <c r="E7" s="1023"/>
      <c r="F7" s="1023"/>
      <c r="G7" s="1023"/>
      <c r="H7" s="1023"/>
      <c r="I7" s="1023"/>
      <c r="J7" s="1023"/>
      <c r="K7" s="1023"/>
      <c r="L7" s="1023"/>
      <c r="M7" s="1023"/>
      <c r="N7" s="1023"/>
    </row>
    <row r="8" spans="1:14">
      <c r="A8" s="1029"/>
      <c r="B8" s="1029" t="s">
        <v>22</v>
      </c>
      <c r="C8" s="1029" t="s">
        <v>23</v>
      </c>
      <c r="D8" s="1029" t="s">
        <v>24</v>
      </c>
      <c r="E8" s="1028" t="s">
        <v>3</v>
      </c>
      <c r="F8" s="1028"/>
      <c r="G8" s="1031" t="s">
        <v>25</v>
      </c>
      <c r="H8" s="1028"/>
      <c r="I8" s="1032" t="s">
        <v>26</v>
      </c>
      <c r="J8" s="1023"/>
      <c r="K8" s="1023"/>
      <c r="L8" s="1023"/>
      <c r="M8" s="1023"/>
      <c r="N8" s="1023"/>
    </row>
    <row r="9" spans="1:14">
      <c r="A9" s="1029" t="s">
        <v>5</v>
      </c>
      <c r="B9" s="1023"/>
      <c r="C9" s="1023"/>
      <c r="D9" s="1033"/>
      <c r="E9" s="1023"/>
      <c r="F9" s="1023"/>
      <c r="G9" s="1023"/>
      <c r="H9" s="1023"/>
      <c r="I9" s="1029" t="s">
        <v>6</v>
      </c>
      <c r="J9" s="1023"/>
      <c r="K9" s="1023"/>
      <c r="L9" s="1023"/>
      <c r="M9" s="1023"/>
      <c r="N9" s="1023"/>
    </row>
    <row r="10" spans="1:14" ht="16.3" thickBot="1">
      <c r="A10" s="1034" t="s">
        <v>7</v>
      </c>
      <c r="B10" s="1023"/>
      <c r="C10" s="1023"/>
      <c r="D10" s="1023"/>
      <c r="E10" s="1023"/>
      <c r="F10" s="1023"/>
      <c r="G10" s="1029"/>
      <c r="H10" s="1023"/>
      <c r="I10" s="1034" t="s">
        <v>8</v>
      </c>
      <c r="J10" s="1023"/>
      <c r="K10" s="1035"/>
      <c r="L10" s="1023"/>
      <c r="M10" s="1023"/>
      <c r="N10" s="1023"/>
    </row>
    <row r="11" spans="1:14">
      <c r="A11" s="1029">
        <v>1</v>
      </c>
      <c r="B11" s="1023" t="s">
        <v>950</v>
      </c>
      <c r="C11" s="1023"/>
      <c r="D11" s="1036"/>
      <c r="E11" s="1023"/>
      <c r="F11" s="1023"/>
      <c r="G11" s="1023"/>
      <c r="H11" s="1023"/>
      <c r="I11" s="1037">
        <f>I187</f>
        <v>226923859.59152886</v>
      </c>
      <c r="J11" s="1023"/>
      <c r="K11" s="1038"/>
      <c r="L11" s="1023"/>
      <c r="M11" s="1023"/>
      <c r="N11" s="1023"/>
    </row>
    <row r="12" spans="1:14">
      <c r="A12" s="1029"/>
      <c r="B12" s="1023"/>
      <c r="C12" s="1023"/>
      <c r="D12" s="1023"/>
      <c r="E12" s="1023"/>
      <c r="F12" s="1023"/>
      <c r="G12" s="1039"/>
      <c r="H12" s="1023"/>
      <c r="I12" s="1036"/>
      <c r="J12" s="1023"/>
      <c r="K12" s="1038"/>
      <c r="L12" s="1023"/>
      <c r="M12" s="1023"/>
      <c r="N12" s="1023"/>
    </row>
    <row r="13" spans="1:14" ht="16.3" thickBot="1">
      <c r="A13" s="1029" t="s">
        <v>3</v>
      </c>
      <c r="B13" s="1021" t="s">
        <v>114</v>
      </c>
      <c r="C13" s="1027" t="s">
        <v>9</v>
      </c>
      <c r="D13" s="1034" t="s">
        <v>10</v>
      </c>
      <c r="E13" s="1028"/>
      <c r="F13" s="1040" t="s">
        <v>11</v>
      </c>
      <c r="G13" s="1040"/>
      <c r="H13" s="1023"/>
      <c r="I13" s="1036"/>
      <c r="J13" s="1023"/>
      <c r="K13" s="1038"/>
      <c r="L13" s="1023"/>
      <c r="M13" s="1023"/>
      <c r="N13" s="1023"/>
    </row>
    <row r="14" spans="1:14">
      <c r="A14" s="1041">
        <v>2</v>
      </c>
      <c r="B14" s="1042" t="s">
        <v>598</v>
      </c>
      <c r="C14" s="1028" t="s">
        <v>666</v>
      </c>
      <c r="D14" s="1043">
        <f>I260</f>
        <v>408</v>
      </c>
      <c r="E14" s="1028"/>
      <c r="F14" s="1028" t="s">
        <v>13</v>
      </c>
      <c r="G14" s="1044">
        <f>I216</f>
        <v>1</v>
      </c>
      <c r="H14" s="1023"/>
      <c r="I14" s="1045">
        <f t="shared" ref="I14:I18" si="0">+G14*D14</f>
        <v>408</v>
      </c>
      <c r="J14" s="1023"/>
      <c r="K14" s="1038"/>
      <c r="L14" s="1023"/>
      <c r="M14" s="1023"/>
      <c r="N14" s="1023"/>
    </row>
    <row r="15" spans="1:14">
      <c r="A15" s="1041">
        <v>3</v>
      </c>
      <c r="B15" s="1042" t="s">
        <v>12</v>
      </c>
      <c r="C15" s="1028" t="s">
        <v>667</v>
      </c>
      <c r="D15" s="1046">
        <f>I262</f>
        <v>3761087</v>
      </c>
      <c r="E15" s="1028"/>
      <c r="F15" s="1028" t="s">
        <v>13</v>
      </c>
      <c r="G15" s="1044">
        <f>I216</f>
        <v>1</v>
      </c>
      <c r="H15" s="1028"/>
      <c r="I15" s="1045">
        <f t="shared" si="0"/>
        <v>3761087</v>
      </c>
      <c r="J15" s="1047"/>
      <c r="K15" s="1038"/>
      <c r="L15" s="1023"/>
      <c r="M15" s="1023"/>
      <c r="N15" s="1023"/>
    </row>
    <row r="16" spans="1:14">
      <c r="A16" s="1041">
        <v>4</v>
      </c>
      <c r="B16" s="1042" t="s">
        <v>712</v>
      </c>
      <c r="C16" s="1028" t="s">
        <v>668</v>
      </c>
      <c r="D16" s="1046">
        <f>I264</f>
        <v>1440414</v>
      </c>
      <c r="E16" s="1028"/>
      <c r="F16" s="1028" t="str">
        <f t="shared" ref="F16:G18" si="1">+F15</f>
        <v>TP</v>
      </c>
      <c r="G16" s="1044">
        <f t="shared" si="1"/>
        <v>1</v>
      </c>
      <c r="H16" s="1028"/>
      <c r="I16" s="1045">
        <f t="shared" si="0"/>
        <v>1440414</v>
      </c>
      <c r="J16" s="1048"/>
      <c r="K16" s="1038"/>
      <c r="L16" s="1023"/>
      <c r="M16" s="1023"/>
      <c r="N16" s="1023"/>
    </row>
    <row r="17" spans="1:20">
      <c r="A17" s="1029">
        <v>5</v>
      </c>
      <c r="B17" s="1049" t="s">
        <v>14</v>
      </c>
      <c r="C17" s="1028"/>
      <c r="D17" s="1050">
        <v>0</v>
      </c>
      <c r="E17" s="1028"/>
      <c r="F17" s="1028" t="str">
        <f t="shared" si="1"/>
        <v>TP</v>
      </c>
      <c r="G17" s="1044">
        <f t="shared" si="1"/>
        <v>1</v>
      </c>
      <c r="H17" s="1028"/>
      <c r="I17" s="1045">
        <f t="shared" si="0"/>
        <v>0</v>
      </c>
      <c r="J17" s="1048"/>
      <c r="K17" s="1038"/>
      <c r="L17" s="1028"/>
      <c r="N17" s="1023"/>
    </row>
    <row r="18" spans="1:20">
      <c r="A18" s="1029">
        <v>6</v>
      </c>
      <c r="B18" s="1049" t="s">
        <v>15</v>
      </c>
      <c r="C18" s="1028"/>
      <c r="D18" s="1050">
        <v>0</v>
      </c>
      <c r="E18" s="1028"/>
      <c r="F18" s="1028" t="str">
        <f t="shared" si="1"/>
        <v>TP</v>
      </c>
      <c r="G18" s="1044">
        <f t="shared" si="1"/>
        <v>1</v>
      </c>
      <c r="H18" s="1028"/>
      <c r="I18" s="1045">
        <f t="shared" si="0"/>
        <v>0</v>
      </c>
      <c r="J18" s="1048"/>
      <c r="K18" s="1038"/>
      <c r="L18" s="1028"/>
      <c r="N18" s="1023"/>
    </row>
    <row r="19" spans="1:20" ht="17.55">
      <c r="A19" s="1029">
        <v>7</v>
      </c>
      <c r="B19" s="1049" t="s">
        <v>661</v>
      </c>
      <c r="C19" s="1028" t="s">
        <v>716</v>
      </c>
      <c r="D19" s="1051">
        <f>'Attachment 11 - TEC'!N84</f>
        <v>17061730.330230769</v>
      </c>
      <c r="E19" s="1028"/>
      <c r="F19" s="1028" t="s">
        <v>13</v>
      </c>
      <c r="G19" s="1044">
        <f>G18</f>
        <v>1</v>
      </c>
      <c r="H19" s="1028"/>
      <c r="I19" s="1052">
        <f>D19*G19</f>
        <v>17061730.330230769</v>
      </c>
      <c r="J19" s="1048"/>
      <c r="K19" s="1038"/>
      <c r="L19" s="1028"/>
      <c r="N19" s="1023"/>
    </row>
    <row r="20" spans="1:20">
      <c r="A20" s="1029">
        <v>8</v>
      </c>
      <c r="B20" s="1021" t="s">
        <v>645</v>
      </c>
      <c r="C20" s="1023"/>
      <c r="D20" s="1053">
        <f>SUM(D14:D19)</f>
        <v>22263639.330230769</v>
      </c>
      <c r="E20" s="1028"/>
      <c r="F20" s="1028"/>
      <c r="G20" s="1044"/>
      <c r="H20" s="1028"/>
      <c r="I20" s="1054">
        <f>SUM(I14:I19)</f>
        <v>22263639.330230769</v>
      </c>
      <c r="J20" s="1055"/>
      <c r="K20" s="1058"/>
      <c r="L20" s="1023"/>
      <c r="N20" s="1023"/>
    </row>
    <row r="21" spans="1:20">
      <c r="A21" s="1029"/>
      <c r="B21" s="1021"/>
      <c r="C21" s="1023"/>
      <c r="D21" s="1053"/>
      <c r="E21" s="1028"/>
      <c r="F21" s="1028"/>
      <c r="G21" s="1044"/>
      <c r="H21" s="1028"/>
      <c r="I21" s="1054"/>
      <c r="J21" s="1055"/>
      <c r="K21" s="1058"/>
      <c r="L21" s="1023"/>
      <c r="N21" s="1023"/>
    </row>
    <row r="22" spans="1:20">
      <c r="A22" s="1029">
        <v>9</v>
      </c>
      <c r="B22" s="1056" t="s">
        <v>647</v>
      </c>
      <c r="C22" s="1023" t="s">
        <v>717</v>
      </c>
      <c r="D22" s="1057"/>
      <c r="E22" s="1028"/>
      <c r="F22" s="1028"/>
      <c r="G22" s="1044"/>
      <c r="H22" s="1028"/>
      <c r="I22" s="1058">
        <v>0</v>
      </c>
      <c r="J22" s="1055"/>
      <c r="K22" s="1038"/>
      <c r="L22" s="1023"/>
      <c r="N22" s="1023"/>
    </row>
    <row r="23" spans="1:20">
      <c r="A23" s="1029"/>
      <c r="B23" s="1021"/>
      <c r="C23" s="1023"/>
      <c r="D23" s="1057"/>
      <c r="E23" s="1028"/>
      <c r="F23" s="1028"/>
      <c r="G23" s="1044"/>
      <c r="H23" s="1028"/>
      <c r="I23" s="1045"/>
      <c r="J23" s="1276"/>
      <c r="K23" s="1038"/>
      <c r="L23" s="1023"/>
      <c r="N23" s="1023"/>
    </row>
    <row r="24" spans="1:20">
      <c r="A24" s="1029">
        <v>10</v>
      </c>
      <c r="B24" s="1042" t="s">
        <v>646</v>
      </c>
      <c r="C24" s="1023" t="s">
        <v>662</v>
      </c>
      <c r="D24" s="1059"/>
      <c r="E24" s="1028"/>
      <c r="F24" s="1028"/>
      <c r="G24" s="1028"/>
      <c r="H24" s="1028"/>
      <c r="I24" s="1060">
        <f>(I11-I20+I22)</f>
        <v>204660220.26129809</v>
      </c>
      <c r="J24" s="1276"/>
      <c r="K24" s="1058"/>
      <c r="L24" s="1023"/>
      <c r="N24" s="1023"/>
    </row>
    <row r="25" spans="1:20">
      <c r="A25" s="1029"/>
      <c r="B25" s="1042"/>
      <c r="C25" s="1023"/>
      <c r="D25" s="1059"/>
      <c r="E25" s="1028"/>
      <c r="F25" s="1028"/>
      <c r="G25" s="1028"/>
      <c r="H25" s="1028"/>
      <c r="I25" s="1060"/>
      <c r="J25" s="7"/>
      <c r="K25" s="1038"/>
      <c r="L25" s="1023"/>
      <c r="N25" s="1023"/>
    </row>
    <row r="26" spans="1:20">
      <c r="A26" s="1029"/>
      <c r="B26" s="1042"/>
      <c r="C26" s="1023"/>
      <c r="D26" s="1059"/>
      <c r="E26" s="1028"/>
      <c r="F26" s="1028"/>
      <c r="G26" s="1028"/>
      <c r="H26" s="1028"/>
      <c r="I26" s="1060"/>
      <c r="J26" s="1277"/>
      <c r="L26" s="1023"/>
      <c r="N26" s="1023"/>
    </row>
    <row r="27" spans="1:20">
      <c r="A27" s="1029"/>
      <c r="C27" s="1028"/>
      <c r="I27" s="1028"/>
      <c r="J27" s="1023"/>
      <c r="K27" s="1038"/>
      <c r="L27" s="1023"/>
      <c r="N27" s="1023"/>
    </row>
    <row r="28" spans="1:20" ht="16.3" thickBot="1">
      <c r="A28" s="1029"/>
      <c r="B28" s="1021" t="s">
        <v>16</v>
      </c>
      <c r="C28" s="1023"/>
      <c r="D28" s="1036"/>
      <c r="E28" s="1023"/>
      <c r="F28" s="1023"/>
      <c r="G28" s="1023"/>
      <c r="H28" s="1023"/>
      <c r="I28" s="1061" t="s">
        <v>10</v>
      </c>
      <c r="J28" s="1029"/>
      <c r="K28" s="1038"/>
      <c r="L28" s="1023"/>
      <c r="N28" s="1023"/>
    </row>
    <row r="29" spans="1:20" s="1064" customFormat="1">
      <c r="A29" s="1029">
        <v>11</v>
      </c>
      <c r="B29" s="1042" t="s">
        <v>228</v>
      </c>
      <c r="C29" s="1020"/>
      <c r="D29" s="1036"/>
      <c r="E29" s="1023"/>
      <c r="F29" s="1023"/>
      <c r="G29" s="1055" t="s">
        <v>17</v>
      </c>
      <c r="H29" s="1023"/>
      <c r="I29" s="1062">
        <v>6025.0470000000005</v>
      </c>
      <c r="J29" s="1063"/>
      <c r="K29" s="1038"/>
      <c r="L29" s="1020"/>
      <c r="M29" s="1020"/>
      <c r="N29" s="1023"/>
      <c r="O29" s="1020"/>
      <c r="P29" s="1020"/>
      <c r="Q29" s="1020"/>
      <c r="R29" s="1020"/>
      <c r="S29" s="1020"/>
      <c r="T29" s="1020"/>
    </row>
    <row r="30" spans="1:20">
      <c r="A30" s="1029">
        <v>12</v>
      </c>
      <c r="B30" s="1042" t="s">
        <v>934</v>
      </c>
      <c r="C30" s="1028"/>
      <c r="D30" s="1028"/>
      <c r="E30" s="1028"/>
      <c r="F30" s="1028"/>
      <c r="G30" s="1055" t="s">
        <v>947</v>
      </c>
      <c r="H30" s="1028"/>
      <c r="I30" s="1062">
        <v>5268.3029999999999</v>
      </c>
      <c r="J30" s="1065"/>
      <c r="K30" s="1038"/>
      <c r="L30" s="1020"/>
      <c r="M30" s="1023"/>
      <c r="N30" s="1023"/>
    </row>
    <row r="31" spans="1:20" ht="16.45" customHeight="1">
      <c r="A31" s="1029"/>
      <c r="B31" s="1021"/>
      <c r="C31" s="1023"/>
      <c r="D31" s="1023"/>
      <c r="E31" s="1023"/>
      <c r="F31" s="1023"/>
      <c r="G31" s="1023"/>
      <c r="H31" s="1023"/>
      <c r="I31" s="1036"/>
      <c r="J31" s="1023"/>
      <c r="K31" s="1036"/>
      <c r="L31" s="1023"/>
      <c r="M31" s="1023"/>
      <c r="N31" s="1023"/>
    </row>
    <row r="32" spans="1:20" ht="16.3" thickBot="1">
      <c r="A32" s="1029"/>
      <c r="B32" s="1021"/>
      <c r="C32" s="1023"/>
      <c r="D32" s="1034" t="s">
        <v>10</v>
      </c>
      <c r="F32" s="1066"/>
      <c r="G32" s="1066"/>
      <c r="H32" s="1023"/>
      <c r="I32" s="1036"/>
      <c r="J32" s="1023"/>
      <c r="K32" s="1023"/>
      <c r="L32" s="1023"/>
      <c r="M32" s="1023"/>
      <c r="N32" s="1023"/>
    </row>
    <row r="33" spans="1:19">
      <c r="A33" s="1029">
        <v>13</v>
      </c>
      <c r="B33" s="1021" t="s">
        <v>894</v>
      </c>
      <c r="C33" s="1023" t="s">
        <v>660</v>
      </c>
      <c r="D33" s="1067">
        <f>IF(I29&gt;0,(I24/I29),0)</f>
        <v>33968.236307749641</v>
      </c>
      <c r="F33" s="1068"/>
      <c r="G33" s="1066"/>
      <c r="H33" s="1023"/>
      <c r="J33" s="1023"/>
      <c r="K33" s="1023"/>
      <c r="L33" s="1020"/>
      <c r="M33" s="1023"/>
      <c r="N33" s="1023"/>
    </row>
    <row r="34" spans="1:19">
      <c r="A34" s="1029"/>
      <c r="B34" s="1021"/>
      <c r="C34" s="1023"/>
      <c r="D34" s="1069"/>
      <c r="F34" s="1070"/>
      <c r="G34" s="1023"/>
      <c r="H34" s="1023"/>
      <c r="J34" s="1023"/>
      <c r="K34" s="1023"/>
      <c r="L34" s="1023"/>
      <c r="M34" s="1023"/>
      <c r="N34" s="1064"/>
      <c r="O34" s="1064"/>
      <c r="P34" s="1064"/>
      <c r="Q34" s="1064"/>
      <c r="R34" s="1064"/>
      <c r="S34" s="1064"/>
    </row>
    <row r="35" spans="1:19">
      <c r="A35" s="1029"/>
      <c r="B35" s="1021"/>
      <c r="C35" s="1023"/>
      <c r="D35" s="1071" t="s">
        <v>935</v>
      </c>
      <c r="E35" s="1070"/>
      <c r="F35" s="1072"/>
      <c r="G35" s="1073"/>
      <c r="H35" s="1023"/>
      <c r="I35" s="1074" t="s">
        <v>936</v>
      </c>
      <c r="J35" s="1023"/>
      <c r="K35" s="1023"/>
      <c r="L35" s="1023"/>
      <c r="M35" s="1023"/>
      <c r="N35" s="1064"/>
      <c r="O35" s="1064"/>
      <c r="P35" s="1064"/>
      <c r="Q35" s="1064"/>
      <c r="R35" s="1064"/>
      <c r="S35" s="1064"/>
    </row>
    <row r="36" spans="1:19" ht="16.3" thickBot="1">
      <c r="A36" s="1075"/>
      <c r="B36" s="1076"/>
      <c r="C36" s="1077"/>
      <c r="D36" s="1078" t="s">
        <v>10</v>
      </c>
      <c r="E36" s="1079"/>
      <c r="F36" s="1075"/>
      <c r="G36" s="1029"/>
      <c r="H36" s="1029"/>
      <c r="I36" s="1080" t="str">
        <f>D36</f>
        <v>Total</v>
      </c>
      <c r="K36" s="1023"/>
      <c r="L36" s="1023"/>
      <c r="M36" s="1023"/>
    </row>
    <row r="37" spans="1:19">
      <c r="A37" s="1075">
        <v>14</v>
      </c>
      <c r="B37" s="1076" t="s">
        <v>937</v>
      </c>
      <c r="C37" s="1077" t="s">
        <v>938</v>
      </c>
      <c r="D37" s="1081">
        <f>I24/I30</f>
        <v>38847.465732570447</v>
      </c>
      <c r="E37" s="1082"/>
      <c r="F37" s="1083"/>
      <c r="G37" s="1084"/>
      <c r="H37" s="1084"/>
      <c r="I37" s="1081">
        <f>I24/I30</f>
        <v>38847.465732570447</v>
      </c>
      <c r="J37" s="1066"/>
      <c r="K37" s="1085"/>
      <c r="L37" s="1023"/>
      <c r="M37" s="1023"/>
    </row>
    <row r="38" spans="1:19">
      <c r="A38" s="1075">
        <v>15</v>
      </c>
      <c r="B38" s="1076" t="s">
        <v>939</v>
      </c>
      <c r="C38" s="1077" t="s">
        <v>940</v>
      </c>
      <c r="D38" s="1084">
        <f>D37/12</f>
        <v>3237.2888110475374</v>
      </c>
      <c r="E38" s="1082"/>
      <c r="F38" s="1084"/>
      <c r="G38" s="1084"/>
      <c r="H38" s="1084"/>
      <c r="I38" s="1084">
        <f>I37/12</f>
        <v>3237.2888110475374</v>
      </c>
      <c r="J38" s="1068"/>
      <c r="K38" s="1085"/>
      <c r="L38" s="1023"/>
      <c r="M38" s="1023"/>
    </row>
    <row r="39" spans="1:19">
      <c r="A39" s="1075">
        <v>16</v>
      </c>
      <c r="B39" s="1076" t="s">
        <v>941</v>
      </c>
      <c r="C39" s="1086" t="s">
        <v>942</v>
      </c>
      <c r="D39" s="1084">
        <f>D37/52</f>
        <v>747.06664870327779</v>
      </c>
      <c r="E39" s="1082"/>
      <c r="F39" s="1087"/>
      <c r="G39" s="1088"/>
      <c r="H39" s="1084"/>
      <c r="I39" s="1084">
        <f>I37/52</f>
        <v>747.06664870327779</v>
      </c>
      <c r="J39" s="1089"/>
      <c r="K39" s="1090"/>
      <c r="L39" s="1023"/>
      <c r="M39" s="1023"/>
    </row>
    <row r="40" spans="1:19">
      <c r="A40" s="1075">
        <v>17</v>
      </c>
      <c r="B40" s="1076" t="s">
        <v>943</v>
      </c>
      <c r="C40" s="1086" t="s">
        <v>944</v>
      </c>
      <c r="D40" s="1084">
        <f>D39/5</f>
        <v>149.41332974065557</v>
      </c>
      <c r="E40" s="1082"/>
      <c r="F40" s="1087"/>
      <c r="G40" s="1088"/>
      <c r="H40" s="1084"/>
      <c r="I40" s="1084">
        <f>I39/7</f>
        <v>106.72380695761112</v>
      </c>
      <c r="J40" s="1089"/>
      <c r="K40" s="1090"/>
      <c r="L40" s="1023"/>
      <c r="M40" s="1023"/>
    </row>
    <row r="41" spans="1:19">
      <c r="A41" s="1075">
        <v>18</v>
      </c>
      <c r="B41" s="1076" t="s">
        <v>945</v>
      </c>
      <c r="C41" s="1077" t="s">
        <v>946</v>
      </c>
      <c r="D41" s="1084">
        <f>D37/4160</f>
        <v>9.3383331087909731</v>
      </c>
      <c r="E41" s="1082"/>
      <c r="F41" s="1087"/>
      <c r="G41" s="1088"/>
      <c r="H41" s="1084"/>
      <c r="I41" s="1067">
        <f>I37/8760</f>
        <v>4.4346422069144342</v>
      </c>
      <c r="J41" s="1068"/>
      <c r="K41" s="1090"/>
      <c r="L41" s="1023"/>
      <c r="M41" s="1023"/>
    </row>
    <row r="42" spans="1:19">
      <c r="A42" s="1075"/>
      <c r="B42" s="1076"/>
      <c r="C42" s="1077"/>
      <c r="D42" s="1083"/>
      <c r="E42" s="1082"/>
      <c r="F42" s="1082"/>
      <c r="G42" s="1091"/>
      <c r="H42" s="1083"/>
      <c r="I42" s="1092"/>
      <c r="J42" s="1093"/>
      <c r="K42" s="1023" t="s">
        <v>3</v>
      </c>
      <c r="L42" s="1023"/>
      <c r="M42" s="1023"/>
    </row>
    <row r="43" spans="1:19">
      <c r="A43" s="1075"/>
      <c r="B43" s="1076"/>
      <c r="C43" s="1077"/>
      <c r="D43" s="1083"/>
      <c r="E43" s="1083"/>
      <c r="F43" s="1091"/>
      <c r="G43" s="1082"/>
      <c r="H43" s="1083"/>
      <c r="I43" s="1092"/>
      <c r="J43" s="1023"/>
      <c r="K43" s="1023" t="s">
        <v>3</v>
      </c>
      <c r="L43" s="1023"/>
      <c r="M43" s="1023"/>
    </row>
    <row r="44" spans="1:19" ht="16.45" customHeight="1">
      <c r="B44" s="1021"/>
      <c r="C44" s="1021"/>
      <c r="D44" s="1022"/>
      <c r="E44" s="1021"/>
      <c r="F44" s="1021"/>
      <c r="G44" s="1021"/>
      <c r="H44" s="1023"/>
      <c r="I44" s="1023"/>
      <c r="K44" s="1024" t="str">
        <f>K1</f>
        <v>Attachment  H-28A</v>
      </c>
      <c r="L44" s="1023"/>
      <c r="M44" s="1023"/>
    </row>
    <row r="45" spans="1:19" ht="16.45" customHeight="1">
      <c r="B45" s="1021"/>
      <c r="C45" s="1021"/>
      <c r="D45" s="1022"/>
      <c r="E45" s="1021"/>
      <c r="F45" s="1021"/>
      <c r="G45" s="1021"/>
      <c r="H45" s="1023"/>
      <c r="I45" s="1023"/>
      <c r="J45" s="1023"/>
      <c r="K45" s="1024" t="s">
        <v>21</v>
      </c>
      <c r="L45" s="1023"/>
      <c r="M45" s="1023"/>
    </row>
    <row r="46" spans="1:19" ht="16.45" customHeight="1">
      <c r="B46" s="1021"/>
      <c r="C46" s="1021"/>
      <c r="D46" s="1022"/>
      <c r="E46" s="1021"/>
      <c r="F46" s="1021"/>
      <c r="G46" s="1021"/>
      <c r="H46" s="1023"/>
      <c r="I46" s="1023"/>
      <c r="J46" s="1023"/>
      <c r="K46" s="1024"/>
      <c r="L46" s="1023"/>
      <c r="M46" s="1023"/>
    </row>
    <row r="47" spans="1:19">
      <c r="B47" s="1021" t="s">
        <v>1</v>
      </c>
      <c r="C47" s="1021"/>
      <c r="D47" s="1022" t="s">
        <v>2</v>
      </c>
      <c r="E47" s="1021"/>
      <c r="F47" s="1021"/>
      <c r="G47" s="1021"/>
      <c r="H47" s="1055"/>
      <c r="I47" s="1064"/>
      <c r="J47" s="1055"/>
      <c r="K47" s="1094" t="str">
        <f>K4</f>
        <v>For the 12 months ended 12/31/2019</v>
      </c>
      <c r="L47" s="1023"/>
      <c r="M47" s="1023"/>
    </row>
    <row r="48" spans="1:19">
      <c r="B48" s="1021"/>
      <c r="C48" s="1028" t="s">
        <v>3</v>
      </c>
      <c r="D48" s="1028" t="s">
        <v>4</v>
      </c>
      <c r="E48" s="1028"/>
      <c r="F48" s="1028"/>
      <c r="G48" s="1028"/>
      <c r="H48" s="1023"/>
      <c r="I48" s="1023"/>
      <c r="J48" s="1023"/>
      <c r="K48" s="1023"/>
      <c r="L48" s="1023"/>
      <c r="M48" s="1023"/>
    </row>
    <row r="49" spans="1:13">
      <c r="B49" s="1021"/>
      <c r="C49" s="1028"/>
      <c r="D49" s="1028"/>
      <c r="E49" s="1028"/>
      <c r="F49" s="1028"/>
      <c r="G49" s="1028"/>
      <c r="H49" s="1023"/>
      <c r="I49" s="1023"/>
      <c r="J49" s="1023"/>
      <c r="K49" s="1023"/>
      <c r="L49" s="1023"/>
      <c r="M49" s="1023"/>
    </row>
    <row r="50" spans="1:13">
      <c r="B50" s="1021"/>
      <c r="C50" s="1023"/>
      <c r="D50" s="1028" t="str">
        <f>D7</f>
        <v>Mid-Atlantic Interstate Transmission, LLC</v>
      </c>
      <c r="E50" s="1028"/>
      <c r="F50" s="1028"/>
      <c r="G50" s="1028"/>
      <c r="H50" s="1028"/>
      <c r="I50" s="1028"/>
      <c r="J50" s="1028"/>
      <c r="K50" s="1028"/>
      <c r="L50" s="1028"/>
      <c r="M50" s="1028"/>
    </row>
    <row r="51" spans="1:13">
      <c r="B51" s="1029" t="s">
        <v>22</v>
      </c>
      <c r="C51" s="1029" t="s">
        <v>23</v>
      </c>
      <c r="D51" s="1029" t="s">
        <v>24</v>
      </c>
      <c r="E51" s="1028" t="s">
        <v>3</v>
      </c>
      <c r="F51" s="1028"/>
      <c r="G51" s="1031" t="s">
        <v>25</v>
      </c>
      <c r="H51" s="1028"/>
      <c r="I51" s="1032" t="s">
        <v>26</v>
      </c>
      <c r="J51" s="1028"/>
      <c r="K51" s="1095"/>
      <c r="L51" s="1029"/>
      <c r="M51" s="1028"/>
    </row>
    <row r="52" spans="1:13">
      <c r="B52" s="1021"/>
      <c r="C52" s="1096"/>
      <c r="D52" s="1028"/>
      <c r="E52" s="1028"/>
      <c r="F52" s="1028"/>
      <c r="G52" s="1029"/>
      <c r="H52" s="1028"/>
      <c r="I52" s="1097" t="s">
        <v>28</v>
      </c>
      <c r="J52" s="1028"/>
      <c r="K52" s="1098"/>
      <c r="L52" s="1029"/>
      <c r="M52" s="1029"/>
    </row>
    <row r="53" spans="1:13">
      <c r="A53" s="1029" t="s">
        <v>5</v>
      </c>
      <c r="B53" s="1021"/>
      <c r="C53" s="1096" t="s">
        <v>375</v>
      </c>
      <c r="D53" s="1097" t="s">
        <v>29</v>
      </c>
      <c r="E53" s="1099"/>
      <c r="F53" s="1097" t="s">
        <v>30</v>
      </c>
      <c r="H53" s="1099"/>
      <c r="I53" s="1029" t="s">
        <v>31</v>
      </c>
      <c r="J53" s="1028"/>
      <c r="K53" s="1100"/>
      <c r="L53" s="1029"/>
      <c r="M53" s="1029"/>
    </row>
    <row r="54" spans="1:13" ht="16.3" thickBot="1">
      <c r="A54" s="1034" t="s">
        <v>7</v>
      </c>
      <c r="B54" s="1101" t="s">
        <v>32</v>
      </c>
      <c r="C54" s="1028"/>
      <c r="D54" s="1028"/>
      <c r="E54" s="1028"/>
      <c r="F54" s="1028"/>
      <c r="G54" s="1028"/>
      <c r="H54" s="1028"/>
      <c r="I54" s="1028"/>
      <c r="J54" s="1028"/>
      <c r="K54" s="1102"/>
      <c r="L54" s="1028"/>
      <c r="M54" s="1028"/>
    </row>
    <row r="55" spans="1:13">
      <c r="A55" s="1029"/>
      <c r="B55" s="1021" t="s">
        <v>33</v>
      </c>
      <c r="C55" s="1028"/>
      <c r="D55" s="1028"/>
      <c r="E55" s="1028"/>
      <c r="F55" s="1028"/>
      <c r="G55" s="1028"/>
      <c r="H55" s="1028"/>
      <c r="I55" s="1028"/>
      <c r="J55" s="1028"/>
      <c r="K55" s="1103"/>
      <c r="L55" s="1028"/>
      <c r="M55" s="1028"/>
    </row>
    <row r="56" spans="1:13">
      <c r="A56" s="1029">
        <v>1</v>
      </c>
      <c r="B56" s="1021" t="s">
        <v>34</v>
      </c>
      <c r="C56" s="1028" t="s">
        <v>725</v>
      </c>
      <c r="D56" s="1046">
        <f>'Attachment 3 - Gross Plant'!E22</f>
        <v>0</v>
      </c>
      <c r="E56" s="1028"/>
      <c r="F56" s="1028" t="s">
        <v>35</v>
      </c>
      <c r="G56" s="1104" t="s">
        <v>3</v>
      </c>
      <c r="H56" s="1028"/>
      <c r="I56" s="1028" t="s">
        <v>3</v>
      </c>
      <c r="J56" s="1028"/>
      <c r="K56" s="1091"/>
      <c r="L56" s="1020"/>
      <c r="M56" s="1028"/>
    </row>
    <row r="57" spans="1:13">
      <c r="A57" s="1029">
        <v>2</v>
      </c>
      <c r="B57" s="1021" t="s">
        <v>36</v>
      </c>
      <c r="C57" s="1028" t="s">
        <v>726</v>
      </c>
      <c r="D57" s="1046">
        <f>'Attachment 3 - Gross Plant'!F22</f>
        <v>1584539137.284615</v>
      </c>
      <c r="E57" s="1028"/>
      <c r="F57" s="1028" t="s">
        <v>13</v>
      </c>
      <c r="G57" s="1104">
        <f>I216</f>
        <v>1</v>
      </c>
      <c r="H57" s="1028"/>
      <c r="I57" s="1105">
        <f>+G57*D57</f>
        <v>1584539137.284615</v>
      </c>
      <c r="J57" s="1028"/>
      <c r="K57" s="1091"/>
      <c r="L57" s="1020"/>
      <c r="M57" s="1028"/>
    </row>
    <row r="58" spans="1:13">
      <c r="A58" s="1029">
        <v>3</v>
      </c>
      <c r="B58" s="1021" t="s">
        <v>37</v>
      </c>
      <c r="C58" s="1028" t="s">
        <v>727</v>
      </c>
      <c r="D58" s="1046">
        <f>'Attachment 3 - Gross Plant'!G22</f>
        <v>0</v>
      </c>
      <c r="E58" s="1028"/>
      <c r="F58" s="1028" t="s">
        <v>35</v>
      </c>
      <c r="G58" s="1104" t="s">
        <v>3</v>
      </c>
      <c r="H58" s="1028"/>
      <c r="I58" s="1105" t="s">
        <v>3</v>
      </c>
      <c r="J58" s="1028"/>
      <c r="K58" s="1091"/>
      <c r="L58" s="1020"/>
      <c r="M58" s="1028"/>
    </row>
    <row r="59" spans="1:13">
      <c r="A59" s="1029">
        <v>4</v>
      </c>
      <c r="B59" s="1021" t="s">
        <v>38</v>
      </c>
      <c r="C59" s="1028" t="s">
        <v>728</v>
      </c>
      <c r="D59" s="1046">
        <f>'Attachment 3 - Gross Plant'!H22+'Attachment 3 - Gross Plant'!I22</f>
        <v>58074461.008461528</v>
      </c>
      <c r="E59" s="1028"/>
      <c r="F59" s="1027" t="s">
        <v>39</v>
      </c>
      <c r="G59" s="1104">
        <f>I233</f>
        <v>1</v>
      </c>
      <c r="H59" s="1028"/>
      <c r="I59" s="1105">
        <f>+G59*D59</f>
        <v>58074461.008461528</v>
      </c>
      <c r="J59" s="1028"/>
      <c r="K59" s="1091"/>
      <c r="L59" s="1020"/>
      <c r="M59" s="1029"/>
    </row>
    <row r="60" spans="1:13" ht="16.3" thickBot="1">
      <c r="A60" s="1029">
        <v>5</v>
      </c>
      <c r="B60" s="1021" t="s">
        <v>40</v>
      </c>
      <c r="C60" s="1028" t="s">
        <v>871</v>
      </c>
      <c r="D60" s="1106">
        <f>'Attachment 3 - Gross Plant'!J22</f>
        <v>0</v>
      </c>
      <c r="E60" s="1028"/>
      <c r="F60" s="1028" t="s">
        <v>41</v>
      </c>
      <c r="G60" s="1104">
        <f>K238</f>
        <v>1</v>
      </c>
      <c r="H60" s="1028"/>
      <c r="I60" s="1107">
        <f>+G60*D60</f>
        <v>0</v>
      </c>
      <c r="J60" s="1028"/>
      <c r="K60" s="1091"/>
      <c r="L60" s="1020"/>
      <c r="M60" s="1029"/>
    </row>
    <row r="61" spans="1:13">
      <c r="A61" s="1029">
        <v>6</v>
      </c>
      <c r="B61" s="1021" t="s">
        <v>42</v>
      </c>
      <c r="C61" s="1028"/>
      <c r="D61" s="1105">
        <f>SUM(D56:D60)</f>
        <v>1642613598.2930765</v>
      </c>
      <c r="E61" s="1028"/>
      <c r="F61" s="1028" t="s">
        <v>43</v>
      </c>
      <c r="G61" s="1108">
        <f>IF(I61&gt;0,I61/D61,0)</f>
        <v>1</v>
      </c>
      <c r="H61" s="1028"/>
      <c r="I61" s="1105">
        <f>SUM(I56:I60)</f>
        <v>1642613598.2930765</v>
      </c>
      <c r="J61" s="1028"/>
      <c r="K61" s="1109"/>
      <c r="L61" s="1028"/>
      <c r="M61" s="1028"/>
    </row>
    <row r="62" spans="1:13">
      <c r="B62" s="1021"/>
      <c r="C62" s="1028"/>
      <c r="D62" s="1105"/>
      <c r="E62" s="1028"/>
      <c r="F62" s="1028"/>
      <c r="G62" s="1108"/>
      <c r="H62" s="1028"/>
      <c r="I62" s="1105"/>
      <c r="J62" s="1028"/>
      <c r="K62" s="1109"/>
      <c r="L62" s="1028"/>
      <c r="M62" s="1028"/>
    </row>
    <row r="63" spans="1:13">
      <c r="B63" s="1021" t="s">
        <v>44</v>
      </c>
      <c r="C63" s="1028"/>
      <c r="D63" s="1105"/>
      <c r="E63" s="1028"/>
      <c r="F63" s="1028"/>
      <c r="G63" s="1028"/>
      <c r="H63" s="1028"/>
      <c r="I63" s="1105"/>
      <c r="J63" s="1028"/>
      <c r="K63" s="1091"/>
      <c r="L63" s="1020"/>
      <c r="M63" s="1028"/>
    </row>
    <row r="64" spans="1:13">
      <c r="A64" s="1029">
        <v>7</v>
      </c>
      <c r="B64" s="1021" t="str">
        <f>+B56</f>
        <v xml:space="preserve">  Production</v>
      </c>
      <c r="C64" s="1028" t="s">
        <v>729</v>
      </c>
      <c r="D64" s="1046">
        <f>'Attachment 4 - Accum Depr'!E22</f>
        <v>0</v>
      </c>
      <c r="E64" s="1028"/>
      <c r="F64" s="1028" t="str">
        <f t="shared" ref="F64:G68" si="2">+F56</f>
        <v>NA</v>
      </c>
      <c r="G64" s="1104" t="str">
        <f t="shared" si="2"/>
        <v xml:space="preserve"> </v>
      </c>
      <c r="H64" s="1028"/>
      <c r="I64" s="1105" t="s">
        <v>3</v>
      </c>
      <c r="J64" s="1028"/>
      <c r="K64" s="1091"/>
      <c r="L64" s="1020"/>
      <c r="M64" s="1028"/>
    </row>
    <row r="65" spans="1:13">
      <c r="A65" s="1029">
        <v>8</v>
      </c>
      <c r="B65" s="1021" t="str">
        <f>+B57</f>
        <v xml:space="preserve">  Transmission</v>
      </c>
      <c r="C65" s="1028" t="s">
        <v>730</v>
      </c>
      <c r="D65" s="1046">
        <f>'Attachment 4 - Accum Depr'!F22</f>
        <v>337285480.75</v>
      </c>
      <c r="E65" s="1028"/>
      <c r="F65" s="1028" t="str">
        <f t="shared" si="2"/>
        <v>TP</v>
      </c>
      <c r="G65" s="1104">
        <f>+G57</f>
        <v>1</v>
      </c>
      <c r="H65" s="1028"/>
      <c r="I65" s="1105">
        <f>+G65*D65</f>
        <v>337285480.75</v>
      </c>
      <c r="J65" s="1028"/>
      <c r="K65" s="1091"/>
      <c r="L65" s="1028"/>
      <c r="M65" s="1028"/>
    </row>
    <row r="66" spans="1:13">
      <c r="A66" s="1029">
        <v>9</v>
      </c>
      <c r="B66" s="1021" t="str">
        <f>+B58</f>
        <v xml:space="preserve">  Distribution</v>
      </c>
      <c r="C66" s="1028" t="s">
        <v>731</v>
      </c>
      <c r="D66" s="1046">
        <f>'Attachment 4 - Accum Depr'!G22</f>
        <v>0</v>
      </c>
      <c r="E66" s="1028"/>
      <c r="F66" s="1028" t="str">
        <f t="shared" si="2"/>
        <v>NA</v>
      </c>
      <c r="G66" s="1104" t="str">
        <f t="shared" si="2"/>
        <v xml:space="preserve"> </v>
      </c>
      <c r="H66" s="1028"/>
      <c r="I66" s="1105" t="s">
        <v>3</v>
      </c>
      <c r="J66" s="1028"/>
      <c r="K66" s="1091"/>
      <c r="L66" s="1028"/>
      <c r="M66" s="1028"/>
    </row>
    <row r="67" spans="1:13">
      <c r="A67" s="1029">
        <v>10</v>
      </c>
      <c r="B67" s="1021" t="str">
        <f>+B59</f>
        <v xml:space="preserve">  General &amp; Intangible</v>
      </c>
      <c r="C67" s="1028" t="s">
        <v>732</v>
      </c>
      <c r="D67" s="1046">
        <f>'Attachment 4 - Accum Depr'!H22+'Attachment 4 - Accum Depr'!I22</f>
        <v>10101938.671538461</v>
      </c>
      <c r="E67" s="1028"/>
      <c r="F67" s="1028" t="str">
        <f>F59</f>
        <v>W/S</v>
      </c>
      <c r="G67" s="1104">
        <f>G59</f>
        <v>1</v>
      </c>
      <c r="H67" s="1028"/>
      <c r="I67" s="1105">
        <f>+G67*D67</f>
        <v>10101938.671538461</v>
      </c>
      <c r="J67" s="1028"/>
      <c r="K67" s="1091"/>
      <c r="L67" s="1020"/>
      <c r="M67" s="1029"/>
    </row>
    <row r="68" spans="1:13" ht="16.3" thickBot="1">
      <c r="A68" s="1029">
        <v>11</v>
      </c>
      <c r="B68" s="1021" t="str">
        <f>+B60</f>
        <v xml:space="preserve">  Common</v>
      </c>
      <c r="C68" s="1028" t="s">
        <v>872</v>
      </c>
      <c r="D68" s="1106">
        <f>'Attachment 4 - Accum Depr'!J22</f>
        <v>0</v>
      </c>
      <c r="E68" s="1028"/>
      <c r="F68" s="1028" t="str">
        <f t="shared" si="2"/>
        <v>CE</v>
      </c>
      <c r="G68" s="1104">
        <f t="shared" si="2"/>
        <v>1</v>
      </c>
      <c r="H68" s="1028"/>
      <c r="I68" s="1107">
        <f>+G68*D68</f>
        <v>0</v>
      </c>
      <c r="J68" s="1028"/>
      <c r="K68" s="1091"/>
      <c r="L68" s="1028"/>
      <c r="M68" s="1029"/>
    </row>
    <row r="69" spans="1:13">
      <c r="A69" s="1029">
        <v>12</v>
      </c>
      <c r="B69" s="1021" t="s">
        <v>182</v>
      </c>
      <c r="C69" s="1028"/>
      <c r="D69" s="1105">
        <f>SUM(D64:D68)</f>
        <v>347387419.42153847</v>
      </c>
      <c r="E69" s="1028"/>
      <c r="F69" s="1028"/>
      <c r="G69" s="1028"/>
      <c r="H69" s="1028"/>
      <c r="I69" s="1105">
        <f>SUM(I64:I68)</f>
        <v>347387419.42153847</v>
      </c>
      <c r="J69" s="1028"/>
      <c r="K69" s="1091"/>
      <c r="L69" s="1110"/>
      <c r="M69" s="1028"/>
    </row>
    <row r="70" spans="1:13">
      <c r="A70" s="1029"/>
      <c r="C70" s="1028" t="s">
        <v>3</v>
      </c>
      <c r="E70" s="1028"/>
      <c r="F70" s="1028"/>
      <c r="G70" s="1108"/>
      <c r="H70" s="1028"/>
      <c r="I70" s="1067"/>
      <c r="J70" s="1028"/>
      <c r="K70" s="1109"/>
      <c r="L70" s="1028"/>
      <c r="M70" s="1028"/>
    </row>
    <row r="71" spans="1:13">
      <c r="A71" s="1029"/>
      <c r="B71" s="1021" t="s">
        <v>47</v>
      </c>
      <c r="C71" s="1028"/>
      <c r="D71" s="1028"/>
      <c r="E71" s="1028"/>
      <c r="F71" s="1028"/>
      <c r="G71" s="1028"/>
      <c r="H71" s="1028"/>
      <c r="I71" s="1067"/>
      <c r="J71" s="1028"/>
      <c r="K71" s="1091"/>
      <c r="L71" s="1028"/>
      <c r="M71" s="1028"/>
    </row>
    <row r="72" spans="1:13">
      <c r="A72" s="1029">
        <v>13</v>
      </c>
      <c r="B72" s="1021" t="str">
        <f>+B64</f>
        <v xml:space="preserve">  Production</v>
      </c>
      <c r="C72" s="1028" t="s">
        <v>167</v>
      </c>
      <c r="D72" s="1105">
        <f>D56-D64</f>
        <v>0</v>
      </c>
      <c r="E72" s="1028"/>
      <c r="F72" s="1028"/>
      <c r="G72" s="1108"/>
      <c r="H72" s="1028"/>
      <c r="I72" s="1105" t="s">
        <v>3</v>
      </c>
      <c r="J72" s="1028"/>
      <c r="K72" s="1109"/>
      <c r="L72" s="1028"/>
      <c r="M72" s="1028"/>
    </row>
    <row r="73" spans="1:13">
      <c r="A73" s="1029">
        <v>14</v>
      </c>
      <c r="B73" s="1021" t="str">
        <f>+B65</f>
        <v xml:space="preserve">  Transmission</v>
      </c>
      <c r="C73" s="1028" t="s">
        <v>168</v>
      </c>
      <c r="D73" s="1105">
        <f>D57-D65</f>
        <v>1247253656.534615</v>
      </c>
      <c r="E73" s="1028"/>
      <c r="F73" s="1028"/>
      <c r="G73" s="1104"/>
      <c r="H73" s="1028"/>
      <c r="I73" s="1105">
        <f>I57-I65</f>
        <v>1247253656.534615</v>
      </c>
      <c r="J73" s="1028"/>
      <c r="K73" s="1091"/>
      <c r="L73" s="1028"/>
      <c r="M73" s="1028"/>
    </row>
    <row r="74" spans="1:13">
      <c r="A74" s="1029">
        <v>15</v>
      </c>
      <c r="B74" s="1021" t="str">
        <f>+B66</f>
        <v xml:space="preserve">  Distribution</v>
      </c>
      <c r="C74" s="1028" t="s">
        <v>169</v>
      </c>
      <c r="D74" s="1105">
        <f>D58-D66</f>
        <v>0</v>
      </c>
      <c r="E74" s="1028"/>
      <c r="F74" s="1028"/>
      <c r="G74" s="1108"/>
      <c r="H74" s="1028"/>
      <c r="I74" s="1105" t="s">
        <v>3</v>
      </c>
      <c r="J74" s="1028"/>
      <c r="K74" s="1111"/>
      <c r="L74" s="1028"/>
      <c r="M74" s="1028"/>
    </row>
    <row r="75" spans="1:13">
      <c r="A75" s="1029">
        <v>16</v>
      </c>
      <c r="B75" s="1021" t="str">
        <f>+B67</f>
        <v xml:space="preserve">  General &amp; Intangible</v>
      </c>
      <c r="C75" s="1028" t="s">
        <v>170</v>
      </c>
      <c r="D75" s="1046">
        <f>D59-D67</f>
        <v>47972522.336923063</v>
      </c>
      <c r="E75" s="1028"/>
      <c r="F75" s="1028"/>
      <c r="G75" s="1108"/>
      <c r="H75" s="1028"/>
      <c r="I75" s="1105">
        <f>I59-I67</f>
        <v>47972522.336923063</v>
      </c>
      <c r="J75" s="1028"/>
      <c r="K75" s="1108"/>
      <c r="L75" s="1028"/>
      <c r="M75" s="1029"/>
    </row>
    <row r="76" spans="1:13" ht="16.3" thickBot="1">
      <c r="A76" s="1029">
        <v>17</v>
      </c>
      <c r="B76" s="1021" t="str">
        <f>+B68</f>
        <v xml:space="preserve">  Common</v>
      </c>
      <c r="C76" s="1028" t="s">
        <v>171</v>
      </c>
      <c r="D76" s="1107">
        <f>D60-D68</f>
        <v>0</v>
      </c>
      <c r="E76" s="1028"/>
      <c r="F76" s="1028"/>
      <c r="G76" s="1108"/>
      <c r="H76" s="1028"/>
      <c r="I76" s="1107">
        <f>I60-I68</f>
        <v>0</v>
      </c>
      <c r="J76" s="1028"/>
      <c r="K76" s="1108"/>
      <c r="L76" s="1028"/>
      <c r="M76" s="1029"/>
    </row>
    <row r="77" spans="1:13">
      <c r="A77" s="1029">
        <v>18</v>
      </c>
      <c r="B77" s="1021" t="s">
        <v>48</v>
      </c>
      <c r="C77" s="1028"/>
      <c r="D77" s="1105">
        <f>SUM(D72:D76)</f>
        <v>1295226178.8715382</v>
      </c>
      <c r="E77" s="1028"/>
      <c r="F77" s="1028" t="s">
        <v>49</v>
      </c>
      <c r="G77" s="1108">
        <f>IF(I77&gt;0,I77/D77,0)</f>
        <v>1</v>
      </c>
      <c r="H77" s="1028"/>
      <c r="I77" s="1105">
        <f>SUM(I72:I76)</f>
        <v>1295226178.8715382</v>
      </c>
      <c r="J77" s="1028"/>
      <c r="K77" s="1028"/>
      <c r="L77" s="1059"/>
      <c r="M77" s="1028"/>
    </row>
    <row r="78" spans="1:13">
      <c r="A78" s="1029"/>
      <c r="C78" s="1028"/>
      <c r="D78" s="1105"/>
      <c r="E78" s="1028"/>
      <c r="H78" s="1028"/>
      <c r="I78" s="1105"/>
      <c r="J78" s="1028"/>
      <c r="K78" s="1108"/>
      <c r="L78" s="1028"/>
      <c r="M78" s="1028"/>
    </row>
    <row r="79" spans="1:13">
      <c r="A79" s="1029"/>
      <c r="B79" s="1021" t="s">
        <v>892</v>
      </c>
      <c r="C79" s="1028"/>
      <c r="D79" s="1105"/>
      <c r="E79" s="1028"/>
      <c r="F79" s="1028"/>
      <c r="G79" s="1028"/>
      <c r="H79" s="1028"/>
      <c r="I79" s="1105"/>
      <c r="J79" s="1028"/>
      <c r="K79" s="1028"/>
      <c r="L79" s="1020"/>
      <c r="M79" s="1028"/>
    </row>
    <row r="80" spans="1:13">
      <c r="A80" s="1029">
        <v>19</v>
      </c>
      <c r="B80" s="1021" t="s">
        <v>50</v>
      </c>
      <c r="C80" s="1028" t="s">
        <v>1001</v>
      </c>
      <c r="D80" s="1046">
        <f>'Attachment 5 - ADIT'!E13</f>
        <v>0</v>
      </c>
      <c r="E80" s="1027"/>
      <c r="F80" s="1027" t="str">
        <f>+F64</f>
        <v>NA</v>
      </c>
      <c r="G80" s="1112"/>
      <c r="H80" s="1028"/>
      <c r="I80" s="1105"/>
      <c r="J80" s="1028"/>
      <c r="K80" s="1108"/>
      <c r="L80" s="1113"/>
      <c r="M80" s="1029"/>
    </row>
    <row r="81" spans="1:21">
      <c r="A81" s="1029">
        <v>20</v>
      </c>
      <c r="B81" s="1021" t="s">
        <v>52</v>
      </c>
      <c r="C81" s="1028" t="s">
        <v>1002</v>
      </c>
      <c r="D81" s="1046">
        <f>'Attachment 5 - ADIT'!F13</f>
        <v>-293770978.81999999</v>
      </c>
      <c r="E81" s="1028"/>
      <c r="F81" s="1028" t="s">
        <v>53</v>
      </c>
      <c r="G81" s="1104">
        <f>+G77</f>
        <v>1</v>
      </c>
      <c r="H81" s="1028"/>
      <c r="I81" s="1105">
        <f>D81*G81</f>
        <v>-293770978.81999999</v>
      </c>
      <c r="J81" s="1028"/>
      <c r="K81" s="1108"/>
      <c r="L81" s="1113"/>
      <c r="M81" s="1029"/>
    </row>
    <row r="82" spans="1:21">
      <c r="A82" s="1029">
        <v>21</v>
      </c>
      <c r="B82" s="1021" t="s">
        <v>54</v>
      </c>
      <c r="C82" s="1028" t="s">
        <v>1003</v>
      </c>
      <c r="D82" s="1114">
        <f>'Attachment 5 - ADIT'!G13</f>
        <v>-29158121</v>
      </c>
      <c r="E82" s="1028"/>
      <c r="F82" s="1028" t="s">
        <v>53</v>
      </c>
      <c r="G82" s="1104">
        <f>+G81</f>
        <v>1</v>
      </c>
      <c r="H82" s="1028"/>
      <c r="I82" s="1105">
        <f>D82*G82</f>
        <v>-29158121</v>
      </c>
      <c r="J82" s="1028"/>
      <c r="K82" s="1108"/>
      <c r="L82" s="1113"/>
      <c r="M82" s="1029"/>
    </row>
    <row r="83" spans="1:21">
      <c r="A83" s="1029">
        <v>22</v>
      </c>
      <c r="B83" s="1021" t="s">
        <v>55</v>
      </c>
      <c r="C83" s="1028" t="s">
        <v>1004</v>
      </c>
      <c r="D83" s="1114">
        <f>'Attachment 5 - ADIT'!H13</f>
        <v>39293808</v>
      </c>
      <c r="E83" s="1028"/>
      <c r="F83" s="1028" t="str">
        <f>+F82</f>
        <v>NP</v>
      </c>
      <c r="G83" s="1104">
        <f>+G82</f>
        <v>1</v>
      </c>
      <c r="H83" s="1028"/>
      <c r="I83" s="1105">
        <f>D83*G83</f>
        <v>39293808</v>
      </c>
      <c r="J83" s="1028"/>
      <c r="K83" s="1108"/>
      <c r="L83" s="1113"/>
      <c r="M83" s="1029"/>
    </row>
    <row r="84" spans="1:21">
      <c r="A84" s="1029">
        <v>23</v>
      </c>
      <c r="B84" s="1020" t="s">
        <v>56</v>
      </c>
      <c r="C84" s="1028" t="s">
        <v>1005</v>
      </c>
      <c r="D84" s="1114">
        <f>'Attachment 5 - ADIT'!I13</f>
        <v>0</v>
      </c>
      <c r="E84" s="1028"/>
      <c r="F84" s="1028" t="s">
        <v>53</v>
      </c>
      <c r="G84" s="1104">
        <f>+G82</f>
        <v>1</v>
      </c>
      <c r="H84" s="1028"/>
      <c r="I84" s="1115">
        <f>D84*G84</f>
        <v>0</v>
      </c>
      <c r="J84" s="1028"/>
      <c r="K84" s="1108"/>
      <c r="L84" s="1113"/>
      <c r="M84" s="1029"/>
    </row>
    <row r="85" spans="1:21">
      <c r="A85" s="1029">
        <v>24</v>
      </c>
      <c r="B85" s="1042" t="s">
        <v>759</v>
      </c>
      <c r="C85" s="1064" t="s">
        <v>1191</v>
      </c>
      <c r="D85" s="1114">
        <f>-'Attachment 14 - Other Rate Base'!H65</f>
        <v>0</v>
      </c>
      <c r="E85" s="1027"/>
      <c r="F85" s="1027" t="s">
        <v>417</v>
      </c>
      <c r="G85" s="1104">
        <v>1</v>
      </c>
      <c r="H85" s="1028"/>
      <c r="I85" s="1115">
        <f t="shared" ref="I85:I86" si="3">D85*G85</f>
        <v>0</v>
      </c>
      <c r="J85" s="1028"/>
      <c r="K85" s="1108"/>
      <c r="L85" s="1113"/>
      <c r="M85" s="1029"/>
    </row>
    <row r="86" spans="1:21">
      <c r="A86" s="1029">
        <v>25</v>
      </c>
      <c r="B86" s="1042" t="s">
        <v>760</v>
      </c>
      <c r="C86" s="1064" t="s">
        <v>1192</v>
      </c>
      <c r="D86" s="1114">
        <f>-'Attachment 14 - Other Rate Base'!H66</f>
        <v>0</v>
      </c>
      <c r="E86" s="1027"/>
      <c r="F86" s="1027" t="s">
        <v>417</v>
      </c>
      <c r="G86" s="1104">
        <v>1</v>
      </c>
      <c r="H86" s="1028"/>
      <c r="I86" s="1115">
        <f t="shared" si="3"/>
        <v>0</v>
      </c>
      <c r="J86" s="1028"/>
      <c r="K86" s="1108"/>
      <c r="L86" s="1113"/>
      <c r="M86" s="1029"/>
    </row>
    <row r="87" spans="1:21">
      <c r="A87" s="1029">
        <v>26</v>
      </c>
      <c r="B87" s="1064" t="s">
        <v>376</v>
      </c>
      <c r="C87" s="1064" t="s">
        <v>1263</v>
      </c>
      <c r="D87" s="1114">
        <f>'Attachment 18 - CWIP'!E22</f>
        <v>0</v>
      </c>
      <c r="E87" s="1027"/>
      <c r="F87" s="1027" t="s">
        <v>417</v>
      </c>
      <c r="G87" s="1104">
        <v>1</v>
      </c>
      <c r="H87" s="1028"/>
      <c r="I87" s="1115">
        <f>D87</f>
        <v>0</v>
      </c>
      <c r="J87" s="1028"/>
      <c r="K87" s="1108"/>
      <c r="L87" s="1028"/>
      <c r="M87" s="1029"/>
    </row>
    <row r="88" spans="1:21">
      <c r="A88" s="1029">
        <v>27</v>
      </c>
      <c r="B88" s="1064" t="s">
        <v>377</v>
      </c>
      <c r="C88" s="1064" t="s">
        <v>893</v>
      </c>
      <c r="D88" s="1114">
        <f>'Attach 16a Reg Asset-Storms'!H20+'Attach 16b Reg Asset-Veg Mgmt'!H20+'Attach 16c Reg Asset-start Cost'!H20</f>
        <v>3679596.2499999991</v>
      </c>
      <c r="E88" s="1027"/>
      <c r="F88" s="1027" t="s">
        <v>417</v>
      </c>
      <c r="G88" s="1104">
        <f>G87</f>
        <v>1</v>
      </c>
      <c r="H88" s="1028"/>
      <c r="I88" s="1115">
        <f>D88</f>
        <v>3679596.2499999991</v>
      </c>
      <c r="J88" s="1028"/>
      <c r="K88" s="1108"/>
      <c r="L88" s="1313"/>
      <c r="M88" s="1313"/>
      <c r="N88" s="1313"/>
      <c r="O88" s="1313"/>
      <c r="P88" s="1313"/>
      <c r="Q88" s="1313"/>
      <c r="R88" s="1313"/>
      <c r="S88" s="1313"/>
      <c r="T88" s="1313"/>
      <c r="U88" s="1313"/>
    </row>
    <row r="89" spans="1:21" ht="16.3" thickBot="1">
      <c r="A89" s="1029">
        <v>28</v>
      </c>
      <c r="B89" s="1064" t="s">
        <v>378</v>
      </c>
      <c r="C89" s="1064" t="s">
        <v>873</v>
      </c>
      <c r="D89" s="1106">
        <f>'Attachment 17 - Abandoned Plant'!H20</f>
        <v>0</v>
      </c>
      <c r="E89" s="1027"/>
      <c r="F89" s="1027" t="s">
        <v>417</v>
      </c>
      <c r="G89" s="1104">
        <f>G88</f>
        <v>1</v>
      </c>
      <c r="H89" s="1028"/>
      <c r="I89" s="1106">
        <f>D89</f>
        <v>0</v>
      </c>
      <c r="J89" s="1028"/>
      <c r="K89" s="1108"/>
      <c r="L89" s="1314"/>
      <c r="M89" s="1314"/>
      <c r="N89" s="1314"/>
      <c r="O89" s="1314"/>
      <c r="P89" s="1314"/>
      <c r="Q89" s="1314"/>
      <c r="R89" s="1314"/>
      <c r="S89" s="1314"/>
      <c r="T89" s="1314"/>
      <c r="U89" s="1314"/>
    </row>
    <row r="90" spans="1:21">
      <c r="A90" s="1029">
        <v>29</v>
      </c>
      <c r="B90" s="1021" t="s">
        <v>379</v>
      </c>
      <c r="C90" s="1028"/>
      <c r="D90" s="1046">
        <f>SUM(D80:D89)</f>
        <v>-279955695.56999999</v>
      </c>
      <c r="E90" s="1116"/>
      <c r="F90" s="1116"/>
      <c r="G90" s="1116"/>
      <c r="H90" s="1116"/>
      <c r="I90" s="1105">
        <f>SUM(I80:I89)</f>
        <v>-279955695.56999999</v>
      </c>
      <c r="J90" s="1028"/>
      <c r="K90" s="1028"/>
      <c r="L90" s="1110"/>
      <c r="M90" s="1028"/>
      <c r="N90" s="1117"/>
    </row>
    <row r="91" spans="1:21">
      <c r="A91" s="1029"/>
      <c r="C91" s="1028"/>
      <c r="D91" s="1105"/>
      <c r="E91" s="1028"/>
      <c r="F91" s="1028"/>
      <c r="G91" s="1108"/>
      <c r="H91" s="1028"/>
      <c r="I91" s="1105"/>
      <c r="J91" s="1028"/>
      <c r="K91" s="1108"/>
      <c r="L91" s="1028"/>
      <c r="M91" s="1028"/>
    </row>
    <row r="92" spans="1:21">
      <c r="A92" s="1029">
        <v>30</v>
      </c>
      <c r="B92" s="1021" t="s">
        <v>57</v>
      </c>
      <c r="C92" s="1028" t="s">
        <v>1193</v>
      </c>
      <c r="D92" s="1046">
        <f>'Attachment 14 - Other Rate Base'!E10</f>
        <v>0</v>
      </c>
      <c r="E92" s="1028"/>
      <c r="F92" s="1028" t="str">
        <f>+F65</f>
        <v>TP</v>
      </c>
      <c r="G92" s="1104">
        <f>+G65</f>
        <v>1</v>
      </c>
      <c r="H92" s="1028"/>
      <c r="I92" s="1105">
        <f>+G92*D92</f>
        <v>0</v>
      </c>
      <c r="J92" s="1028"/>
      <c r="K92" s="1028"/>
      <c r="L92" s="1028"/>
      <c r="M92" s="1028"/>
    </row>
    <row r="93" spans="1:21">
      <c r="A93" s="1029"/>
      <c r="B93" s="1021"/>
      <c r="C93" s="1028"/>
      <c r="D93" s="1067"/>
      <c r="E93" s="1028"/>
      <c r="F93" s="1028"/>
      <c r="G93" s="1028"/>
      <c r="H93" s="1028"/>
      <c r="I93" s="1105"/>
      <c r="J93" s="1028"/>
      <c r="K93" s="1028"/>
      <c r="L93" s="1028"/>
      <c r="M93" s="1028"/>
    </row>
    <row r="94" spans="1:21">
      <c r="A94" s="1029">
        <v>31</v>
      </c>
      <c r="B94" s="1021" t="s">
        <v>172</v>
      </c>
      <c r="C94" s="1028" t="s">
        <v>3</v>
      </c>
      <c r="D94" s="1067"/>
      <c r="E94" s="1028"/>
      <c r="F94" s="1028"/>
      <c r="G94" s="1028"/>
      <c r="H94" s="1028"/>
      <c r="I94" s="1067"/>
      <c r="J94" s="1028"/>
      <c r="K94" s="1028"/>
      <c r="L94" s="1028"/>
      <c r="M94" s="1028"/>
    </row>
    <row r="95" spans="1:21">
      <c r="A95" s="1029">
        <v>32</v>
      </c>
      <c r="B95" s="4" t="s">
        <v>1369</v>
      </c>
      <c r="C95" s="1118" t="s">
        <v>922</v>
      </c>
      <c r="D95" s="1105">
        <f>(D144-D140-D141)/8</f>
        <v>10247169.165867249</v>
      </c>
      <c r="E95" s="1028"/>
      <c r="F95" s="1028"/>
      <c r="G95" s="1108"/>
      <c r="H95" s="1028"/>
      <c r="I95" s="1105">
        <f>(I144-I140-I141)/8</f>
        <v>10089921.665867249</v>
      </c>
      <c r="J95" s="1023"/>
      <c r="K95" s="1108"/>
      <c r="L95" s="1119"/>
      <c r="M95" s="1029"/>
    </row>
    <row r="96" spans="1:21">
      <c r="A96" s="1029">
        <v>33</v>
      </c>
      <c r="B96" s="1021" t="s">
        <v>173</v>
      </c>
      <c r="C96" s="1028" t="s">
        <v>1194</v>
      </c>
      <c r="D96" s="1046">
        <f>'Attachment 14 - Other Rate Base'!E11</f>
        <v>0</v>
      </c>
      <c r="E96" s="1028"/>
      <c r="F96" s="1028" t="s">
        <v>58</v>
      </c>
      <c r="G96" s="1104">
        <f>I225</f>
        <v>0.98151765664843083</v>
      </c>
      <c r="H96" s="1028"/>
      <c r="I96" s="1105">
        <f>+G96*D96</f>
        <v>0</v>
      </c>
      <c r="J96" s="1028" t="s">
        <v>3</v>
      </c>
      <c r="K96" s="1108"/>
      <c r="L96" s="1119"/>
      <c r="M96" s="1029"/>
    </row>
    <row r="97" spans="1:13" ht="16.3" thickBot="1">
      <c r="A97" s="1029">
        <v>34</v>
      </c>
      <c r="B97" s="1021" t="s">
        <v>59</v>
      </c>
      <c r="C97" s="1028" t="s">
        <v>1195</v>
      </c>
      <c r="D97" s="1106">
        <f>'Attachment 14 - Other Rate Base'!E12</f>
        <v>479933</v>
      </c>
      <c r="E97" s="1028"/>
      <c r="F97" s="1028" t="s">
        <v>60</v>
      </c>
      <c r="G97" s="1104">
        <f>+G61</f>
        <v>1</v>
      </c>
      <c r="H97" s="1028"/>
      <c r="I97" s="1106">
        <f>+G97*D97</f>
        <v>479933</v>
      </c>
      <c r="J97" s="1028"/>
      <c r="K97" s="1108"/>
      <c r="L97" s="1119"/>
      <c r="M97" s="1029"/>
    </row>
    <row r="98" spans="1:13">
      <c r="A98" s="1029">
        <v>35</v>
      </c>
      <c r="B98" s="1021" t="s">
        <v>380</v>
      </c>
      <c r="C98" s="1023"/>
      <c r="D98" s="1046">
        <f>SUM(D95:D97)</f>
        <v>10727102.165867249</v>
      </c>
      <c r="E98" s="1023"/>
      <c r="F98" s="1023"/>
      <c r="G98" s="1023"/>
      <c r="H98" s="1023"/>
      <c r="I98" s="1105">
        <f>SUM(I95:I97)</f>
        <v>10569854.665867249</v>
      </c>
      <c r="J98" s="1023"/>
      <c r="K98" s="1023"/>
      <c r="L98" s="1022"/>
      <c r="M98" s="1028"/>
    </row>
    <row r="99" spans="1:13" ht="16.3" thickBot="1">
      <c r="C99" s="1028"/>
      <c r="D99" s="1107"/>
      <c r="E99" s="1028"/>
      <c r="F99" s="1028"/>
      <c r="G99" s="1028"/>
      <c r="H99" s="1028"/>
      <c r="I99" s="1107"/>
      <c r="J99" s="1028"/>
      <c r="K99" s="1028"/>
      <c r="L99" s="1028"/>
      <c r="M99" s="1028"/>
    </row>
    <row r="100" spans="1:13" ht="16.3" thickBot="1">
      <c r="A100" s="1029">
        <v>36</v>
      </c>
      <c r="B100" s="1021" t="s">
        <v>381</v>
      </c>
      <c r="C100" s="1028"/>
      <c r="D100" s="1120">
        <f>+D98+D92+D90+D77</f>
        <v>1025997585.4674054</v>
      </c>
      <c r="E100" s="1028"/>
      <c r="F100" s="1028"/>
      <c r="G100" s="1108"/>
      <c r="H100" s="1028"/>
      <c r="I100" s="1120">
        <f>+I98+I92+I90+I77</f>
        <v>1025840337.9674054</v>
      </c>
      <c r="J100" s="1028"/>
      <c r="K100" s="1108"/>
      <c r="L100" s="1028"/>
      <c r="M100" s="1028"/>
    </row>
    <row r="101" spans="1:13" ht="16.3" thickTop="1">
      <c r="A101" s="1029"/>
      <c r="B101" s="1021"/>
      <c r="C101" s="1028"/>
      <c r="D101" s="1092"/>
      <c r="E101" s="1028"/>
      <c r="F101" s="1028"/>
      <c r="G101" s="1108"/>
      <c r="H101" s="1028"/>
      <c r="I101" s="1121"/>
      <c r="J101" s="1028"/>
      <c r="K101" s="1108"/>
      <c r="L101" s="1028"/>
      <c r="M101" s="1028"/>
    </row>
    <row r="102" spans="1:13" ht="34.450000000000003" customHeight="1">
      <c r="A102" s="1257"/>
      <c r="B102" s="1311"/>
      <c r="C102" s="1312"/>
      <c r="D102" s="1312"/>
      <c r="E102" s="1312"/>
      <c r="F102" s="1312"/>
      <c r="G102" s="1312"/>
      <c r="H102" s="1312"/>
      <c r="I102" s="1312"/>
      <c r="J102" s="1312"/>
      <c r="K102" s="1312"/>
      <c r="L102" s="1028"/>
      <c r="M102" s="1028"/>
    </row>
    <row r="103" spans="1:13">
      <c r="A103" s="1029"/>
      <c r="B103" s="1021"/>
      <c r="C103" s="1028"/>
      <c r="D103" s="1092"/>
      <c r="E103" s="1028"/>
      <c r="F103" s="1028"/>
      <c r="G103" s="1108"/>
      <c r="H103" s="1028"/>
      <c r="I103" s="1121"/>
      <c r="J103" s="1028"/>
      <c r="K103" s="1108"/>
      <c r="L103" s="1028"/>
      <c r="M103" s="1028"/>
    </row>
    <row r="104" spans="1:13">
      <c r="A104" s="1029"/>
      <c r="B104" s="1021"/>
      <c r="C104" s="1028"/>
      <c r="D104" s="1121"/>
      <c r="E104" s="1028"/>
      <c r="F104" s="1028"/>
      <c r="G104" s="1108"/>
      <c r="H104" s="1028"/>
      <c r="I104" s="1121"/>
      <c r="J104" s="1028"/>
      <c r="K104" s="1108"/>
      <c r="L104" s="1028"/>
      <c r="M104" s="1028"/>
    </row>
    <row r="105" spans="1:13">
      <c r="A105" s="1029"/>
      <c r="B105" s="1021"/>
      <c r="C105" s="1028"/>
      <c r="D105" s="1121"/>
      <c r="E105" s="1028"/>
      <c r="F105" s="1028"/>
      <c r="G105" s="1108"/>
      <c r="H105" s="1028"/>
      <c r="I105" s="1121"/>
      <c r="J105" s="1028"/>
      <c r="K105" s="1108"/>
      <c r="L105" s="1028"/>
      <c r="M105" s="1028"/>
    </row>
    <row r="106" spans="1:13">
      <c r="A106" s="1029"/>
      <c r="B106" s="1021"/>
      <c r="C106" s="1028"/>
      <c r="D106" s="1121"/>
      <c r="E106" s="1028"/>
      <c r="F106" s="1028"/>
      <c r="G106" s="1108"/>
      <c r="H106" s="1028"/>
      <c r="I106" s="1121"/>
      <c r="J106" s="1028"/>
      <c r="K106" s="1108"/>
      <c r="L106" s="1028"/>
      <c r="M106" s="1028"/>
    </row>
    <row r="107" spans="1:13">
      <c r="A107" s="1029"/>
      <c r="B107" s="1021"/>
      <c r="C107" s="1028"/>
      <c r="D107" s="1121"/>
      <c r="E107" s="1028"/>
      <c r="F107" s="1028"/>
      <c r="G107" s="1108"/>
      <c r="H107" s="1028"/>
      <c r="I107" s="1121"/>
      <c r="J107" s="1028"/>
      <c r="K107" s="1108"/>
      <c r="L107" s="1028"/>
      <c r="M107" s="1028"/>
    </row>
    <row r="108" spans="1:13">
      <c r="A108" s="1029"/>
      <c r="B108" s="1021"/>
      <c r="C108" s="1028"/>
      <c r="D108" s="1121"/>
      <c r="E108" s="1028"/>
      <c r="F108" s="1028"/>
      <c r="G108" s="1108"/>
      <c r="H108" s="1028"/>
      <c r="I108" s="1121"/>
      <c r="J108" s="1028"/>
      <c r="K108" s="1108"/>
      <c r="L108" s="1028"/>
      <c r="M108" s="1028"/>
    </row>
    <row r="109" spans="1:13">
      <c r="A109" s="1029"/>
      <c r="B109" s="1021"/>
      <c r="C109" s="1028"/>
      <c r="D109" s="1121"/>
      <c r="E109" s="1028"/>
      <c r="F109" s="1028"/>
      <c r="G109" s="1108"/>
      <c r="H109" s="1028"/>
      <c r="I109" s="1121"/>
      <c r="J109" s="1028"/>
      <c r="K109" s="1108"/>
      <c r="L109" s="1028"/>
      <c r="M109" s="1028"/>
    </row>
    <row r="110" spans="1:13">
      <c r="A110" s="1029"/>
      <c r="B110" s="1021"/>
      <c r="C110" s="1028"/>
      <c r="D110" s="1121"/>
      <c r="E110" s="1028"/>
      <c r="F110" s="1028"/>
      <c r="G110" s="1108"/>
      <c r="H110" s="1028"/>
      <c r="I110" s="1121"/>
      <c r="J110" s="1028"/>
      <c r="K110" s="1108"/>
      <c r="L110" s="1028"/>
      <c r="M110" s="1028"/>
    </row>
    <row r="111" spans="1:13">
      <c r="A111" s="1029"/>
      <c r="B111" s="1021"/>
      <c r="C111" s="1028"/>
      <c r="D111" s="1121"/>
      <c r="E111" s="1028"/>
      <c r="F111" s="1028"/>
      <c r="G111" s="1108"/>
      <c r="H111" s="1028"/>
      <c r="I111" s="1121"/>
      <c r="J111" s="1028"/>
      <c r="K111" s="1108"/>
      <c r="L111" s="1028"/>
      <c r="M111" s="1028"/>
    </row>
    <row r="112" spans="1:13">
      <c r="A112" s="1029"/>
      <c r="B112" s="1021"/>
      <c r="C112" s="1028"/>
      <c r="D112" s="1121"/>
      <c r="E112" s="1028"/>
      <c r="F112" s="1028"/>
      <c r="G112" s="1108"/>
      <c r="H112" s="1028"/>
      <c r="I112" s="1121"/>
      <c r="J112" s="1028"/>
      <c r="K112" s="1108"/>
      <c r="L112" s="1028"/>
      <c r="M112" s="1028"/>
    </row>
    <row r="113" spans="1:13">
      <c r="A113" s="1029"/>
      <c r="B113" s="1021"/>
      <c r="C113" s="1028"/>
      <c r="D113" s="1121"/>
      <c r="E113" s="1028"/>
      <c r="F113" s="1028"/>
      <c r="G113" s="1108"/>
      <c r="H113" s="1028"/>
      <c r="I113" s="1121"/>
      <c r="J113" s="1028"/>
      <c r="K113" s="1108"/>
      <c r="L113" s="1028"/>
      <c r="M113" s="1028"/>
    </row>
    <row r="114" spans="1:13">
      <c r="A114" s="1029"/>
      <c r="B114" s="1021"/>
      <c r="C114" s="1028"/>
      <c r="D114" s="1121"/>
      <c r="E114" s="1028"/>
      <c r="F114" s="1028"/>
      <c r="G114" s="1108"/>
      <c r="H114" s="1028"/>
      <c r="I114" s="1121"/>
      <c r="J114" s="1028"/>
      <c r="K114" s="1108"/>
      <c r="L114" s="1028"/>
      <c r="M114" s="1028"/>
    </row>
    <row r="115" spans="1:13">
      <c r="A115" s="1122"/>
      <c r="B115" s="1021"/>
      <c r="C115" s="1028"/>
      <c r="D115" s="1121"/>
      <c r="E115" s="1028"/>
      <c r="F115" s="1028"/>
      <c r="G115" s="1108"/>
      <c r="H115" s="1028"/>
      <c r="I115" s="1121"/>
      <c r="J115" s="1027"/>
      <c r="K115" s="1123"/>
      <c r="L115" s="1020"/>
    </row>
    <row r="116" spans="1:13">
      <c r="A116" s="1122"/>
      <c r="B116" s="1042"/>
      <c r="C116" s="1028"/>
      <c r="D116" s="1121"/>
      <c r="E116" s="1028"/>
      <c r="F116" s="1028"/>
      <c r="G116" s="1108"/>
      <c r="H116" s="1028"/>
      <c r="I116" s="1121"/>
      <c r="J116" s="1028"/>
      <c r="K116" s="1123"/>
      <c r="L116" s="1020"/>
    </row>
    <row r="117" spans="1:13">
      <c r="B117" s="1021"/>
      <c r="C117" s="1021"/>
      <c r="D117" s="1022"/>
      <c r="E117" s="1021"/>
      <c r="F117" s="1021"/>
      <c r="G117" s="1021"/>
      <c r="H117" s="1023"/>
      <c r="I117" s="1029"/>
      <c r="J117" s="1029"/>
      <c r="K117" s="1024"/>
      <c r="L117" s="1023"/>
      <c r="M117" s="1023"/>
    </row>
    <row r="118" spans="1:13">
      <c r="B118" s="1021"/>
      <c r="C118" s="1021"/>
      <c r="D118" s="1022"/>
      <c r="E118" s="1021"/>
      <c r="F118" s="1021"/>
      <c r="G118" s="1021"/>
      <c r="H118" s="1023"/>
      <c r="I118" s="1024"/>
      <c r="J118" s="1024"/>
      <c r="K118" s="1024"/>
      <c r="L118" s="1023"/>
      <c r="M118" s="1023"/>
    </row>
    <row r="119" spans="1:13" ht="16.45" customHeight="1">
      <c r="B119" s="1021"/>
      <c r="C119" s="1021"/>
      <c r="D119" s="1022"/>
      <c r="E119" s="1021"/>
      <c r="F119" s="1021"/>
      <c r="G119" s="1021"/>
      <c r="H119" s="1023"/>
      <c r="I119" s="1023"/>
      <c r="K119" s="1024" t="str">
        <f>K44</f>
        <v>Attachment  H-28A</v>
      </c>
      <c r="L119" s="1023"/>
      <c r="M119" s="1023"/>
    </row>
    <row r="120" spans="1:13" ht="16.45" customHeight="1">
      <c r="B120" s="1021"/>
      <c r="C120" s="1021"/>
      <c r="D120" s="1022"/>
      <c r="E120" s="1021"/>
      <c r="F120" s="1021"/>
      <c r="G120" s="1021"/>
      <c r="H120" s="1023"/>
      <c r="I120" s="1023"/>
      <c r="J120" s="1023"/>
      <c r="K120" s="1024" t="s">
        <v>161</v>
      </c>
      <c r="L120" s="1023"/>
      <c r="M120" s="1023"/>
    </row>
    <row r="121" spans="1:13" ht="16.45" customHeight="1">
      <c r="B121" s="1021"/>
      <c r="C121" s="1021"/>
      <c r="D121" s="1022"/>
      <c r="E121" s="1021"/>
      <c r="F121" s="1021"/>
      <c r="G121" s="1021"/>
      <c r="H121" s="1023"/>
      <c r="I121" s="1023"/>
      <c r="J121" s="1023"/>
      <c r="K121" s="1024"/>
      <c r="L121" s="1023"/>
      <c r="M121" s="1023"/>
    </row>
    <row r="122" spans="1:13">
      <c r="B122" s="1021" t="s">
        <v>1</v>
      </c>
      <c r="C122" s="1021"/>
      <c r="D122" s="1022" t="s">
        <v>2</v>
      </c>
      <c r="E122" s="1021"/>
      <c r="F122" s="1021"/>
      <c r="G122" s="1021"/>
      <c r="H122" s="1055"/>
      <c r="I122" s="1064"/>
      <c r="J122" s="1055"/>
      <c r="K122" s="1094" t="str">
        <f>K4</f>
        <v>For the 12 months ended 12/31/2019</v>
      </c>
      <c r="L122" s="1023"/>
      <c r="M122" s="1023"/>
    </row>
    <row r="123" spans="1:13">
      <c r="B123" s="1021"/>
      <c r="C123" s="1028" t="s">
        <v>3</v>
      </c>
      <c r="D123" s="1028" t="s">
        <v>4</v>
      </c>
      <c r="E123" s="1028"/>
      <c r="F123" s="1028"/>
      <c r="G123" s="1028"/>
      <c r="H123" s="1023"/>
      <c r="I123" s="1023"/>
      <c r="J123" s="1023"/>
      <c r="K123" s="1023"/>
      <c r="L123" s="1023"/>
      <c r="M123" s="1023"/>
    </row>
    <row r="124" spans="1:13">
      <c r="B124" s="1021"/>
      <c r="C124" s="1028"/>
      <c r="D124" s="1028"/>
      <c r="E124" s="1028"/>
      <c r="F124" s="1028"/>
      <c r="G124" s="1028"/>
      <c r="H124" s="1023"/>
      <c r="I124" s="1023"/>
      <c r="J124" s="1023"/>
      <c r="K124" s="1023"/>
      <c r="L124" s="1023"/>
      <c r="M124" s="1023"/>
    </row>
    <row r="125" spans="1:13">
      <c r="A125" s="1029"/>
      <c r="D125" s="1020" t="str">
        <f>D7</f>
        <v>Mid-Atlantic Interstate Transmission, LLC</v>
      </c>
      <c r="J125" s="1028"/>
      <c r="K125" s="1028"/>
      <c r="L125" s="1028"/>
      <c r="M125" s="1028"/>
    </row>
    <row r="126" spans="1:13">
      <c r="A126" s="1029"/>
      <c r="B126" s="1029" t="s">
        <v>22</v>
      </c>
      <c r="C126" s="1029" t="s">
        <v>23</v>
      </c>
      <c r="D126" s="1029" t="s">
        <v>24</v>
      </c>
      <c r="E126" s="1028" t="s">
        <v>3</v>
      </c>
      <c r="F126" s="1028"/>
      <c r="G126" s="1031" t="s">
        <v>25</v>
      </c>
      <c r="H126" s="1028"/>
      <c r="I126" s="1032" t="s">
        <v>26</v>
      </c>
      <c r="J126" s="1028"/>
      <c r="K126" s="1028"/>
      <c r="L126" s="1023"/>
      <c r="M126" s="1028"/>
    </row>
    <row r="127" spans="1:13">
      <c r="A127" s="1029" t="s">
        <v>5</v>
      </c>
      <c r="B127" s="1021"/>
      <c r="C127" s="1096"/>
      <c r="D127" s="1028"/>
      <c r="E127" s="1028"/>
      <c r="F127" s="1028"/>
      <c r="G127" s="1029"/>
      <c r="H127" s="1028"/>
      <c r="I127" s="1097" t="s">
        <v>28</v>
      </c>
      <c r="J127" s="1028"/>
      <c r="K127" s="1097"/>
      <c r="L127" s="1029"/>
      <c r="M127" s="1028"/>
    </row>
    <row r="128" spans="1:13" ht="16.3" thickBot="1">
      <c r="A128" s="1034" t="s">
        <v>7</v>
      </c>
      <c r="B128" s="1021"/>
      <c r="C128" s="1096" t="s">
        <v>375</v>
      </c>
      <c r="D128" s="1097" t="s">
        <v>29</v>
      </c>
      <c r="E128" s="1099"/>
      <c r="F128" s="1097" t="s">
        <v>30</v>
      </c>
      <c r="H128" s="1099"/>
      <c r="I128" s="1029" t="s">
        <v>31</v>
      </c>
      <c r="J128" s="1028"/>
      <c r="K128" s="1097"/>
      <c r="L128" s="1097"/>
      <c r="M128" s="1028"/>
    </row>
    <row r="129" spans="1:13">
      <c r="A129" s="1029"/>
      <c r="B129" s="1021" t="s">
        <v>711</v>
      </c>
      <c r="C129" s="1028"/>
      <c r="D129" s="1028"/>
      <c r="E129" s="1028"/>
      <c r="F129" s="1028"/>
      <c r="G129" s="1028"/>
      <c r="H129" s="1028"/>
      <c r="I129" s="1028"/>
      <c r="J129" s="1028"/>
      <c r="K129" s="1028"/>
      <c r="L129" s="1028"/>
      <c r="M129" s="1028"/>
    </row>
    <row r="130" spans="1:13">
      <c r="A130" s="1029">
        <v>1</v>
      </c>
      <c r="B130" s="1021" t="s">
        <v>61</v>
      </c>
      <c r="C130" s="1028" t="s">
        <v>1203</v>
      </c>
      <c r="D130" s="1050">
        <v>68063880</v>
      </c>
      <c r="E130" s="1028"/>
      <c r="F130" s="1028" t="s">
        <v>58</v>
      </c>
      <c r="G130" s="1104">
        <f>I225</f>
        <v>0.98151765664843083</v>
      </c>
      <c r="H130" s="1028"/>
      <c r="I130" s="1105">
        <f>+G130*D130</f>
        <v>66805900</v>
      </c>
      <c r="J130" s="1023"/>
      <c r="K130" s="1028"/>
      <c r="L130" s="1028"/>
      <c r="M130" s="1029"/>
    </row>
    <row r="131" spans="1:13">
      <c r="A131" s="1041">
        <v>2</v>
      </c>
      <c r="B131" s="1042" t="s">
        <v>310</v>
      </c>
      <c r="C131" s="1027"/>
      <c r="D131" s="1050">
        <v>48493</v>
      </c>
      <c r="E131" s="1027"/>
      <c r="F131" s="1027" t="s">
        <v>601</v>
      </c>
      <c r="G131" s="1124">
        <v>1</v>
      </c>
      <c r="H131" s="1028"/>
      <c r="I131" s="1105">
        <f>+G131*D131</f>
        <v>48493</v>
      </c>
      <c r="J131" s="1023"/>
      <c r="K131" s="1028"/>
      <c r="L131" s="1028"/>
      <c r="M131" s="1029"/>
    </row>
    <row r="132" spans="1:13">
      <c r="A132" s="1029">
        <v>3</v>
      </c>
      <c r="B132" s="1042" t="s">
        <v>62</v>
      </c>
      <c r="C132" s="1027" t="s">
        <v>154</v>
      </c>
      <c r="D132" s="1050">
        <v>0</v>
      </c>
      <c r="E132" s="1027"/>
      <c r="F132" s="1027" t="s">
        <v>601</v>
      </c>
      <c r="G132" s="1124">
        <v>1</v>
      </c>
      <c r="H132" s="1028"/>
      <c r="I132" s="1105">
        <f t="shared" ref="I132:I140" si="4">+G132*D132</f>
        <v>0</v>
      </c>
      <c r="J132" s="1023"/>
      <c r="K132" s="1028"/>
      <c r="L132" s="1028"/>
      <c r="M132" s="1029"/>
    </row>
    <row r="133" spans="1:13">
      <c r="A133" s="1029">
        <v>4</v>
      </c>
      <c r="B133" s="1042" t="s">
        <v>599</v>
      </c>
      <c r="C133" s="1027" t="s">
        <v>600</v>
      </c>
      <c r="D133" s="1050">
        <v>7650763</v>
      </c>
      <c r="E133" s="1027"/>
      <c r="F133" s="1027" t="s">
        <v>601</v>
      </c>
      <c r="G133" s="1124">
        <f>G89</f>
        <v>1</v>
      </c>
      <c r="H133" s="1028"/>
      <c r="I133" s="1105">
        <f>+G133*D133</f>
        <v>7650763</v>
      </c>
      <c r="J133" s="1023"/>
      <c r="K133" s="1028"/>
      <c r="L133" s="1028"/>
      <c r="M133" s="1125"/>
    </row>
    <row r="134" spans="1:13">
      <c r="A134" s="1029">
        <v>5</v>
      </c>
      <c r="B134" s="1021" t="s">
        <v>63</v>
      </c>
      <c r="C134" s="1028" t="s">
        <v>1204</v>
      </c>
      <c r="D134" s="1050">
        <v>14816536</v>
      </c>
      <c r="E134" s="1028"/>
      <c r="F134" s="1028" t="s">
        <v>39</v>
      </c>
      <c r="G134" s="1104">
        <f>+G67</f>
        <v>1</v>
      </c>
      <c r="H134" s="1028"/>
      <c r="I134" s="1105">
        <f t="shared" si="4"/>
        <v>14816536</v>
      </c>
      <c r="J134" s="1028"/>
      <c r="K134" s="1028" t="s">
        <v>3</v>
      </c>
      <c r="L134" s="1028"/>
      <c r="M134" s="1029"/>
    </row>
    <row r="135" spans="1:13">
      <c r="A135" s="1029">
        <v>6</v>
      </c>
      <c r="B135" s="1021" t="s">
        <v>64</v>
      </c>
      <c r="C135" s="1027"/>
      <c r="D135" s="1050"/>
      <c r="E135" s="1028"/>
      <c r="F135" s="1028" t="str">
        <f>+F134</f>
        <v>W/S</v>
      </c>
      <c r="G135" s="1104">
        <f>+G134</f>
        <v>1</v>
      </c>
      <c r="H135" s="1028"/>
      <c r="I135" s="1105">
        <f>+G135*D135</f>
        <v>0</v>
      </c>
      <c r="J135" s="1028"/>
      <c r="K135" s="1028"/>
      <c r="L135" s="1028"/>
      <c r="M135" s="1029"/>
    </row>
    <row r="136" spans="1:13">
      <c r="A136" s="1029">
        <v>7</v>
      </c>
      <c r="B136" s="1042" t="s">
        <v>311</v>
      </c>
      <c r="C136" s="1027"/>
      <c r="D136" s="1050">
        <v>95169</v>
      </c>
      <c r="E136" s="1028"/>
      <c r="F136" s="1028" t="str">
        <f>+F135</f>
        <v>W/S</v>
      </c>
      <c r="G136" s="1104">
        <f>+G135</f>
        <v>1</v>
      </c>
      <c r="H136" s="1028"/>
      <c r="I136" s="1105">
        <f>+G136*D136</f>
        <v>95169</v>
      </c>
      <c r="J136" s="1028"/>
      <c r="K136" s="1028"/>
      <c r="L136" s="1028"/>
      <c r="M136" s="1029"/>
    </row>
    <row r="137" spans="1:13">
      <c r="A137" s="1029">
        <v>8</v>
      </c>
      <c r="B137" s="1042" t="s">
        <v>312</v>
      </c>
      <c r="C137" s="1027"/>
      <c r="D137" s="1050"/>
      <c r="E137" s="1027"/>
      <c r="F137" s="1126" t="str">
        <f>+F130</f>
        <v>TE</v>
      </c>
      <c r="G137" s="1124">
        <f>+G130</f>
        <v>0.98151765664843083</v>
      </c>
      <c r="H137" s="1028"/>
      <c r="I137" s="1105">
        <f t="shared" si="4"/>
        <v>0</v>
      </c>
      <c r="J137" s="1028"/>
      <c r="K137" s="1028"/>
      <c r="L137" s="1028"/>
      <c r="M137" s="1029"/>
    </row>
    <row r="138" spans="1:13">
      <c r="A138" s="1029">
        <v>9</v>
      </c>
      <c r="B138" s="1042" t="s">
        <v>416</v>
      </c>
      <c r="C138" s="1027" t="s">
        <v>734</v>
      </c>
      <c r="D138" s="1046">
        <f>'Attachment 6 - PBOP'!E14</f>
        <v>-759400.67306201835</v>
      </c>
      <c r="E138" s="1027"/>
      <c r="F138" s="1126" t="s">
        <v>601</v>
      </c>
      <c r="G138" s="1124">
        <v>1</v>
      </c>
      <c r="H138" s="1028"/>
      <c r="I138" s="1105">
        <f>D138*G138</f>
        <v>-759400.67306201835</v>
      </c>
      <c r="J138" s="1028"/>
      <c r="K138" s="1028"/>
      <c r="L138" s="1020"/>
      <c r="M138" s="1029"/>
    </row>
    <row r="139" spans="1:13">
      <c r="A139" s="1029">
        <v>10</v>
      </c>
      <c r="B139" s="1021" t="s">
        <v>40</v>
      </c>
      <c r="C139" s="1125">
        <v>356.1</v>
      </c>
      <c r="D139" s="1050"/>
      <c r="E139" s="1028"/>
      <c r="F139" s="1028" t="s">
        <v>41</v>
      </c>
      <c r="G139" s="1104">
        <f>+G68</f>
        <v>1</v>
      </c>
      <c r="H139" s="1028"/>
      <c r="I139" s="1105">
        <f t="shared" si="4"/>
        <v>0</v>
      </c>
      <c r="J139" s="1028"/>
      <c r="K139" s="1028"/>
      <c r="L139" s="1028"/>
      <c r="M139" s="1029"/>
    </row>
    <row r="140" spans="1:13">
      <c r="A140" s="1029">
        <v>11</v>
      </c>
      <c r="B140" s="1127" t="s">
        <v>932</v>
      </c>
      <c r="C140" s="1027" t="s">
        <v>979</v>
      </c>
      <c r="D140" s="1114">
        <f>'Attach 16a Reg Asset-Storms'!F20+'Attach 16b Reg Asset-Veg Mgmt'!F20+'Attach 16c Reg Asset-start Cost'!F20</f>
        <v>860405.49999999977</v>
      </c>
      <c r="E140" s="1027"/>
      <c r="F140" s="1027" t="s">
        <v>417</v>
      </c>
      <c r="G140" s="1104">
        <v>1</v>
      </c>
      <c r="H140" s="1028"/>
      <c r="I140" s="1105">
        <f t="shared" si="4"/>
        <v>860405.49999999977</v>
      </c>
      <c r="J140" s="1028"/>
      <c r="K140" s="1028"/>
      <c r="L140" s="1028"/>
      <c r="M140" s="1029"/>
    </row>
    <row r="141" spans="1:13">
      <c r="A141" s="1029">
        <v>12</v>
      </c>
      <c r="B141" s="1127" t="s">
        <v>919</v>
      </c>
      <c r="C141" s="1027" t="s">
        <v>997</v>
      </c>
      <c r="D141" s="1117">
        <v>0</v>
      </c>
      <c r="E141" s="1027"/>
      <c r="F141" s="1027" t="s">
        <v>417</v>
      </c>
      <c r="G141" s="1104">
        <v>1</v>
      </c>
      <c r="H141" s="1028"/>
      <c r="I141" s="1115">
        <f>D141*G141</f>
        <v>0</v>
      </c>
      <c r="J141" s="1028"/>
      <c r="K141" s="1028"/>
      <c r="L141" s="1028"/>
      <c r="M141" s="1029"/>
    </row>
    <row r="142" spans="1:13">
      <c r="A142" s="1029">
        <v>13</v>
      </c>
      <c r="B142" s="1127" t="s">
        <v>921</v>
      </c>
      <c r="C142" s="1027"/>
      <c r="D142" s="1114">
        <f>D133-D141</f>
        <v>7650763</v>
      </c>
      <c r="E142" s="1027"/>
      <c r="F142" s="1027" t="s">
        <v>601</v>
      </c>
      <c r="G142" s="1104">
        <v>1</v>
      </c>
      <c r="H142" s="1028"/>
      <c r="I142" s="1115">
        <f>D142*G142</f>
        <v>7650763</v>
      </c>
      <c r="J142" s="1028"/>
      <c r="K142" s="1028"/>
      <c r="L142" s="1028"/>
      <c r="M142" s="1029"/>
    </row>
    <row r="143" spans="1:13" ht="16.3" thickBot="1">
      <c r="A143" s="1029">
        <v>14</v>
      </c>
      <c r="B143" s="1127" t="s">
        <v>899</v>
      </c>
      <c r="C143" s="1027"/>
      <c r="D143" s="1128">
        <f>D141+D142</f>
        <v>7650763</v>
      </c>
      <c r="E143" s="1027"/>
      <c r="F143" s="1027"/>
      <c r="G143" s="1104"/>
      <c r="H143" s="1028"/>
      <c r="I143" s="1129">
        <f>I141+I142</f>
        <v>7650763</v>
      </c>
      <c r="J143" s="1028"/>
      <c r="K143" s="1028"/>
      <c r="L143" s="1028"/>
      <c r="M143" s="1029"/>
    </row>
    <row r="144" spans="1:13">
      <c r="A144" s="1029">
        <v>15</v>
      </c>
      <c r="B144" s="1021" t="s">
        <v>920</v>
      </c>
      <c r="C144" s="1027"/>
      <c r="D144" s="1046">
        <f>D130+D134+D138+D139+D140-D131-D132-D133-D135-D136+D137+D143</f>
        <v>82837758.826937988</v>
      </c>
      <c r="E144" s="1028"/>
      <c r="F144" s="1028"/>
      <c r="G144" s="1028"/>
      <c r="H144" s="1028"/>
      <c r="I144" s="1046">
        <f>I130+I134+I138+I139+I140-I131-I132-I133-I135-I136+I137+I143</f>
        <v>81579778.826937988</v>
      </c>
      <c r="J144" s="1028"/>
      <c r="K144" s="1028"/>
      <c r="L144" s="1110"/>
      <c r="M144" s="1028"/>
    </row>
    <row r="145" spans="1:20">
      <c r="A145" s="1029"/>
      <c r="C145" s="1027"/>
      <c r="D145" s="1105"/>
      <c r="E145" s="1028"/>
      <c r="F145" s="1028"/>
      <c r="G145" s="1028"/>
      <c r="H145" s="1028"/>
      <c r="I145" s="1105"/>
      <c r="J145" s="1028"/>
      <c r="K145" s="1028"/>
      <c r="L145" s="1028"/>
      <c r="M145" s="1028"/>
    </row>
    <row r="146" spans="1:20">
      <c r="A146" s="1029"/>
      <c r="B146" s="1042" t="s">
        <v>233</v>
      </c>
      <c r="C146" s="1027"/>
      <c r="D146" s="1105"/>
      <c r="E146" s="1028"/>
      <c r="F146" s="1028"/>
      <c r="G146" s="1028"/>
      <c r="H146" s="1028"/>
      <c r="I146" s="1105"/>
      <c r="J146" s="1028"/>
      <c r="K146" s="1028"/>
      <c r="L146" s="1028"/>
      <c r="M146" s="1028"/>
    </row>
    <row r="147" spans="1:20">
      <c r="A147" s="1029">
        <v>16</v>
      </c>
      <c r="B147" s="1021" t="str">
        <f>+B130</f>
        <v xml:space="preserve">  Transmission </v>
      </c>
      <c r="C147" s="1027" t="s">
        <v>341</v>
      </c>
      <c r="D147" s="1050">
        <v>34316420</v>
      </c>
      <c r="E147" s="1028"/>
      <c r="F147" s="1028" t="s">
        <v>13</v>
      </c>
      <c r="G147" s="1104">
        <f>+G92</f>
        <v>1</v>
      </c>
      <c r="H147" s="1028"/>
      <c r="I147" s="1105">
        <f>+G147*D147</f>
        <v>34316420</v>
      </c>
      <c r="J147" s="1028"/>
      <c r="K147" s="1108"/>
      <c r="L147" s="1028"/>
      <c r="M147" s="1029"/>
    </row>
    <row r="148" spans="1:20" s="1064" customFormat="1">
      <c r="A148" s="1029">
        <v>17</v>
      </c>
      <c r="B148" s="1125" t="s">
        <v>38</v>
      </c>
      <c r="C148" s="1027" t="s">
        <v>342</v>
      </c>
      <c r="D148" s="1050">
        <v>3227114</v>
      </c>
      <c r="E148" s="1028"/>
      <c r="F148" s="1028" t="str">
        <f>F67</f>
        <v>W/S</v>
      </c>
      <c r="G148" s="1104">
        <f>G67</f>
        <v>1</v>
      </c>
      <c r="H148" s="1028"/>
      <c r="I148" s="1105">
        <f>+G148*D148</f>
        <v>3227114</v>
      </c>
      <c r="J148" s="1028"/>
      <c r="K148" s="1108"/>
      <c r="L148" s="1020"/>
      <c r="M148" s="1029"/>
      <c r="N148" s="1020"/>
      <c r="O148" s="1020"/>
      <c r="P148" s="1020"/>
      <c r="Q148" s="1020"/>
      <c r="R148" s="1020"/>
      <c r="S148" s="1020"/>
      <c r="T148" s="1020"/>
    </row>
    <row r="149" spans="1:20">
      <c r="A149" s="1029">
        <v>18</v>
      </c>
      <c r="B149" s="1021" t="str">
        <f>+B139</f>
        <v xml:space="preserve">  Common</v>
      </c>
      <c r="C149" s="1027" t="s">
        <v>343</v>
      </c>
      <c r="D149" s="1117">
        <v>0</v>
      </c>
      <c r="E149" s="1028"/>
      <c r="F149" s="1028" t="s">
        <v>41</v>
      </c>
      <c r="G149" s="1104">
        <f>+G139</f>
        <v>1</v>
      </c>
      <c r="H149" s="1028"/>
      <c r="I149" s="1115">
        <f>+G149*D149</f>
        <v>0</v>
      </c>
      <c r="J149" s="1028"/>
      <c r="K149" s="1108"/>
      <c r="L149" s="1028"/>
      <c r="M149" s="1029"/>
    </row>
    <row r="150" spans="1:20" ht="16.3" thickBot="1">
      <c r="A150" s="1029">
        <v>19</v>
      </c>
      <c r="B150" s="1042" t="s">
        <v>382</v>
      </c>
      <c r="C150" s="1027" t="s">
        <v>980</v>
      </c>
      <c r="D150" s="1106">
        <f>'Attachment 17 - Abandoned Plant'!F20</f>
        <v>0</v>
      </c>
      <c r="E150" s="1027"/>
      <c r="F150" s="1027" t="s">
        <v>417</v>
      </c>
      <c r="G150" s="1124">
        <v>1</v>
      </c>
      <c r="H150" s="1028"/>
      <c r="I150" s="1107">
        <f>D150*G150</f>
        <v>0</v>
      </c>
      <c r="J150" s="1028"/>
      <c r="K150" s="1108"/>
      <c r="L150" s="1028"/>
      <c r="M150" s="1029"/>
    </row>
    <row r="151" spans="1:20">
      <c r="A151" s="1029">
        <v>20</v>
      </c>
      <c r="B151" s="1021" t="s">
        <v>855</v>
      </c>
      <c r="C151" s="1028"/>
      <c r="D151" s="1105">
        <f>SUM(D147:D150)</f>
        <v>37543534</v>
      </c>
      <c r="E151" s="1028"/>
      <c r="F151" s="1028"/>
      <c r="G151" s="1028"/>
      <c r="H151" s="1028"/>
      <c r="I151" s="1105">
        <f>SUM(I147:I150)</f>
        <v>37543534</v>
      </c>
      <c r="J151" s="1028"/>
      <c r="K151" s="1028"/>
      <c r="L151" s="1028"/>
      <c r="M151" s="1028"/>
    </row>
    <row r="152" spans="1:20">
      <c r="A152" s="1029"/>
      <c r="B152" s="1021"/>
      <c r="C152" s="1028"/>
      <c r="D152" s="1105"/>
      <c r="E152" s="1028"/>
      <c r="F152" s="1028"/>
      <c r="G152" s="1028"/>
      <c r="H152" s="1028"/>
      <c r="I152" s="1105"/>
      <c r="J152" s="1028"/>
      <c r="K152" s="1028"/>
      <c r="L152" s="1028"/>
      <c r="M152" s="1028"/>
    </row>
    <row r="153" spans="1:20">
      <c r="A153" s="1029" t="s">
        <v>3</v>
      </c>
      <c r="B153" s="1021" t="s">
        <v>174</v>
      </c>
      <c r="D153" s="1105"/>
      <c r="E153" s="1028"/>
      <c r="F153" s="1028"/>
      <c r="G153" s="1028"/>
      <c r="H153" s="1028"/>
      <c r="I153" s="1105"/>
      <c r="J153" s="1028"/>
      <c r="K153" s="1028"/>
      <c r="L153" s="1028"/>
      <c r="M153" s="1028"/>
    </row>
    <row r="154" spans="1:20">
      <c r="A154" s="1029"/>
      <c r="B154" s="1021" t="s">
        <v>65</v>
      </c>
      <c r="D154" s="1105"/>
      <c r="E154" s="1028"/>
      <c r="F154" s="1028"/>
      <c r="H154" s="1028"/>
      <c r="I154" s="1105"/>
      <c r="J154" s="1028"/>
      <c r="K154" s="1108"/>
      <c r="L154" s="1119"/>
      <c r="M154" s="1029"/>
    </row>
    <row r="155" spans="1:20">
      <c r="A155" s="1029">
        <v>21</v>
      </c>
      <c r="B155" s="1021" t="s">
        <v>66</v>
      </c>
      <c r="C155" s="1028" t="s">
        <v>761</v>
      </c>
      <c r="D155" s="1046">
        <f>'Attachment 7 - Taxes Other '!D11</f>
        <v>585815</v>
      </c>
      <c r="E155" s="1028"/>
      <c r="F155" s="1028" t="s">
        <v>39</v>
      </c>
      <c r="G155" s="1044">
        <f>I233</f>
        <v>1</v>
      </c>
      <c r="H155" s="1028"/>
      <c r="I155" s="1105">
        <f>+G155*D155</f>
        <v>585815</v>
      </c>
      <c r="J155" s="1028"/>
      <c r="K155" s="1108"/>
      <c r="L155" s="1130"/>
      <c r="M155" s="1029"/>
    </row>
    <row r="156" spans="1:20">
      <c r="A156" s="1029">
        <v>22</v>
      </c>
      <c r="B156" s="1021" t="s">
        <v>68</v>
      </c>
      <c r="C156" s="1028" t="s">
        <v>762</v>
      </c>
      <c r="D156" s="1046">
        <f>'Attachment 7 - Taxes Other '!D15</f>
        <v>0</v>
      </c>
      <c r="E156" s="1028"/>
      <c r="F156" s="1028" t="str">
        <f>+F155</f>
        <v>W/S</v>
      </c>
      <c r="G156" s="1044">
        <f>+G155</f>
        <v>1</v>
      </c>
      <c r="H156" s="1028"/>
      <c r="I156" s="1105">
        <f>+G156*D156</f>
        <v>0</v>
      </c>
      <c r="J156" s="1028"/>
      <c r="K156" s="1108"/>
      <c r="L156" s="1130"/>
      <c r="M156" s="1029"/>
    </row>
    <row r="157" spans="1:20">
      <c r="A157" s="1029">
        <v>23</v>
      </c>
      <c r="B157" s="1021" t="s">
        <v>69</v>
      </c>
      <c r="C157" s="1028" t="s">
        <v>3</v>
      </c>
      <c r="D157" s="1046"/>
      <c r="E157" s="1028"/>
      <c r="F157" s="1028"/>
      <c r="H157" s="1028"/>
      <c r="I157" s="1105"/>
      <c r="J157" s="1028"/>
      <c r="K157" s="1108"/>
      <c r="L157" s="1130"/>
      <c r="M157" s="1029"/>
    </row>
    <row r="158" spans="1:20">
      <c r="A158" s="1029">
        <v>24</v>
      </c>
      <c r="B158" s="1021" t="s">
        <v>70</v>
      </c>
      <c r="C158" s="1028" t="s">
        <v>763</v>
      </c>
      <c r="D158" s="1046">
        <f>'Attachment 7 - Taxes Other '!D21</f>
        <v>97165</v>
      </c>
      <c r="E158" s="1028"/>
      <c r="F158" s="1028" t="s">
        <v>60</v>
      </c>
      <c r="G158" s="1044">
        <f>+G61</f>
        <v>1</v>
      </c>
      <c r="H158" s="1028"/>
      <c r="I158" s="1105">
        <f>+G158*D158</f>
        <v>97165</v>
      </c>
      <c r="J158" s="1028"/>
      <c r="K158" s="1108"/>
      <c r="L158" s="1130"/>
      <c r="M158" s="1022"/>
    </row>
    <row r="159" spans="1:20">
      <c r="A159" s="1029">
        <v>25</v>
      </c>
      <c r="B159" s="1021" t="s">
        <v>71</v>
      </c>
      <c r="C159" s="1028" t="s">
        <v>764</v>
      </c>
      <c r="D159" s="1046">
        <f>'Attachment 7 - Taxes Other '!D25</f>
        <v>0</v>
      </c>
      <c r="E159" s="1028"/>
      <c r="F159" s="1027" t="str">
        <f>+F80</f>
        <v>NA</v>
      </c>
      <c r="G159" s="1131"/>
      <c r="H159" s="1028"/>
      <c r="I159" s="1105">
        <v>0</v>
      </c>
      <c r="J159" s="1028"/>
      <c r="K159" s="1108"/>
      <c r="L159" s="1130"/>
      <c r="M159" s="1029"/>
    </row>
    <row r="160" spans="1:20">
      <c r="A160" s="1029">
        <v>26</v>
      </c>
      <c r="B160" s="1021" t="s">
        <v>72</v>
      </c>
      <c r="C160" s="1028" t="s">
        <v>765</v>
      </c>
      <c r="D160" s="1046">
        <f>'Attachment 7 - Taxes Other '!D31</f>
        <v>24</v>
      </c>
      <c r="E160" s="1028"/>
      <c r="F160" s="1028" t="str">
        <f>+F158</f>
        <v>GP</v>
      </c>
      <c r="G160" s="1044">
        <f>+G158</f>
        <v>1</v>
      </c>
      <c r="H160" s="1028"/>
      <c r="I160" s="1105">
        <f>+G160*D160</f>
        <v>24</v>
      </c>
      <c r="J160" s="1028"/>
      <c r="K160" s="1108"/>
      <c r="L160" s="1130"/>
      <c r="M160" s="1029"/>
    </row>
    <row r="161" spans="1:13" ht="16.3" thickBot="1">
      <c r="A161" s="1029">
        <v>27</v>
      </c>
      <c r="B161" s="1021" t="s">
        <v>73</v>
      </c>
      <c r="C161" s="1028" t="s">
        <v>752</v>
      </c>
      <c r="D161" s="1106">
        <f>'Attachment 7 - Taxes Other '!D33</f>
        <v>0</v>
      </c>
      <c r="E161" s="1028"/>
      <c r="F161" s="1028" t="s">
        <v>60</v>
      </c>
      <c r="G161" s="1044">
        <f>+G158</f>
        <v>1</v>
      </c>
      <c r="H161" s="1028"/>
      <c r="I161" s="1107">
        <f>+G161*D161</f>
        <v>0</v>
      </c>
      <c r="J161" s="1028"/>
      <c r="K161" s="1108"/>
      <c r="L161" s="1130"/>
      <c r="M161" s="1029"/>
    </row>
    <row r="162" spans="1:13">
      <c r="A162" s="1029">
        <v>28</v>
      </c>
      <c r="B162" s="1021" t="s">
        <v>856</v>
      </c>
      <c r="C162" s="1028"/>
      <c r="D162" s="1046">
        <f>SUM(D155:D161)</f>
        <v>683004</v>
      </c>
      <c r="E162" s="1028"/>
      <c r="F162" s="1028"/>
      <c r="G162" s="1044"/>
      <c r="H162" s="1028"/>
      <c r="I162" s="1105">
        <f>SUM(I155:I161)</f>
        <v>683004</v>
      </c>
      <c r="J162" s="1028"/>
      <c r="K162" s="1028"/>
      <c r="L162" s="1110"/>
      <c r="M162" s="1028"/>
    </row>
    <row r="163" spans="1:13">
      <c r="A163" s="1029"/>
      <c r="B163" s="1021"/>
      <c r="C163" s="1028"/>
      <c r="D163" s="1028"/>
      <c r="E163" s="1028"/>
      <c r="F163" s="1028"/>
      <c r="G163" s="1044"/>
      <c r="H163" s="1028"/>
      <c r="I163" s="1067"/>
      <c r="J163" s="1028"/>
      <c r="K163" s="1028"/>
      <c r="L163" s="1110"/>
      <c r="M163" s="1028"/>
    </row>
    <row r="164" spans="1:13">
      <c r="A164" s="1029" t="s">
        <v>3</v>
      </c>
      <c r="B164" s="1021" t="s">
        <v>74</v>
      </c>
      <c r="C164" s="1028" t="s">
        <v>165</v>
      </c>
      <c r="D164" s="1099"/>
      <c r="E164" s="1028"/>
      <c r="G164" s="1132"/>
      <c r="H164" s="1028"/>
      <c r="I164" s="1067"/>
      <c r="J164" s="1028"/>
      <c r="L164" s="1028"/>
      <c r="M164" s="1029"/>
    </row>
    <row r="165" spans="1:13">
      <c r="A165" s="1029">
        <v>29</v>
      </c>
      <c r="B165" s="1113" t="s">
        <v>75</v>
      </c>
      <c r="C165" s="1028"/>
      <c r="D165" s="1133">
        <f>IF(D299&gt;0,1-(((1-D300)*(1-D299))/(1-D300*D299*D301)),0)</f>
        <v>0.28892099999999998</v>
      </c>
      <c r="E165" s="1099"/>
      <c r="G165" s="1132"/>
      <c r="H165" s="1028"/>
      <c r="I165" s="1067"/>
      <c r="J165" s="1028"/>
      <c r="L165" s="1134"/>
      <c r="M165" s="1029"/>
    </row>
    <row r="166" spans="1:13">
      <c r="A166" s="1029">
        <v>30</v>
      </c>
      <c r="B166" s="1020" t="s">
        <v>76</v>
      </c>
      <c r="C166" s="1028"/>
      <c r="D166" s="1133">
        <f>IF(I252&gt;0,(D165/(1-D165))*(1-I249/I252),0)</f>
        <v>0.31930537306166018</v>
      </c>
      <c r="E166" s="1028"/>
      <c r="G166" s="1132"/>
      <c r="H166" s="1028"/>
      <c r="I166" s="1067"/>
      <c r="J166" s="1028"/>
      <c r="K166" s="1134"/>
      <c r="L166" s="1134"/>
      <c r="M166" s="1029"/>
    </row>
    <row r="167" spans="1:13">
      <c r="A167" s="1029"/>
      <c r="B167" s="1021" t="s">
        <v>669</v>
      </c>
      <c r="C167" s="1028"/>
      <c r="D167" s="1028"/>
      <c r="E167" s="1028"/>
      <c r="G167" s="1132"/>
      <c r="H167" s="1028"/>
      <c r="I167" s="1067"/>
      <c r="J167" s="1028"/>
      <c r="K167" s="1134"/>
      <c r="L167" s="1134"/>
      <c r="M167" s="1029"/>
    </row>
    <row r="168" spans="1:13">
      <c r="A168" s="1029"/>
      <c r="B168" s="1021" t="s">
        <v>77</v>
      </c>
      <c r="C168" s="1028"/>
      <c r="D168" s="1028"/>
      <c r="E168" s="1028"/>
      <c r="G168" s="1132"/>
      <c r="H168" s="1028"/>
      <c r="I168" s="1067"/>
      <c r="J168" s="1028"/>
      <c r="K168" s="1134"/>
      <c r="L168" s="1134"/>
      <c r="M168" s="1029"/>
    </row>
    <row r="169" spans="1:13">
      <c r="A169" s="1029">
        <v>31</v>
      </c>
      <c r="B169" s="1113" t="s">
        <v>1006</v>
      </c>
      <c r="C169" s="1028"/>
      <c r="D169" s="1135">
        <f>IF(D165&gt;0,1/(1-D165),0)</f>
        <v>1.4063135038441579</v>
      </c>
      <c r="E169" s="1028"/>
      <c r="G169" s="1132"/>
      <c r="H169" s="1028"/>
      <c r="I169" s="1105"/>
      <c r="J169" s="1028"/>
      <c r="K169" s="1134"/>
      <c r="L169" s="1136"/>
      <c r="M169" s="1029"/>
    </row>
    <row r="170" spans="1:13">
      <c r="A170" s="1029">
        <v>32</v>
      </c>
      <c r="B170" s="1021" t="s">
        <v>313</v>
      </c>
      <c r="C170" s="1028"/>
      <c r="D170" s="1050">
        <v>-99685</v>
      </c>
      <c r="E170" s="1028"/>
      <c r="G170" s="1132"/>
      <c r="H170" s="1028"/>
      <c r="I170" s="1105"/>
      <c r="J170" s="1028"/>
      <c r="K170" s="1134"/>
      <c r="L170" s="1028"/>
      <c r="M170" s="1029"/>
    </row>
    <row r="171" spans="1:13">
      <c r="A171" s="1029">
        <v>33</v>
      </c>
      <c r="B171" s="1042" t="s">
        <v>953</v>
      </c>
      <c r="C171" s="1027"/>
      <c r="D171" s="1046">
        <f>'Attachment 15 - Income Tax Adj'!D8</f>
        <v>598660</v>
      </c>
      <c r="E171" s="1027"/>
      <c r="F171" s="1064"/>
      <c r="G171" s="1132"/>
      <c r="H171" s="1028"/>
      <c r="I171" s="1105"/>
      <c r="J171" s="1028"/>
      <c r="K171" s="1134"/>
      <c r="L171" s="1028"/>
      <c r="M171" s="1029"/>
    </row>
    <row r="172" spans="1:13">
      <c r="A172" s="1029">
        <v>34</v>
      </c>
      <c r="B172" s="1042" t="s">
        <v>952</v>
      </c>
      <c r="C172" s="1027"/>
      <c r="D172" s="1046">
        <f>'Attachment 15 - Income Tax Adj'!D9+'Attachment 15 - Income Tax Adj'!D10</f>
        <v>-10870</v>
      </c>
      <c r="E172" s="1027"/>
      <c r="F172" s="1064"/>
      <c r="G172" s="1132"/>
      <c r="H172" s="1028"/>
      <c r="I172" s="1105"/>
      <c r="J172" s="1028"/>
      <c r="K172" s="1134"/>
      <c r="L172" s="1028"/>
      <c r="M172" s="1029"/>
    </row>
    <row r="173" spans="1:13">
      <c r="A173" s="1029">
        <v>35</v>
      </c>
      <c r="B173" s="1137" t="s">
        <v>854</v>
      </c>
      <c r="C173" s="1138"/>
      <c r="D173" s="1046">
        <f>D166*D179</f>
        <v>25762978.446210869</v>
      </c>
      <c r="E173" s="1027"/>
      <c r="F173" s="1027" t="s">
        <v>35</v>
      </c>
      <c r="G173" s="1044"/>
      <c r="H173" s="1028"/>
      <c r="I173" s="1105">
        <f>D166*I179</f>
        <v>25759029.934040274</v>
      </c>
      <c r="J173" s="1028"/>
      <c r="K173" s="1139"/>
      <c r="L173" s="1028"/>
      <c r="M173" s="1028"/>
    </row>
    <row r="174" spans="1:13">
      <c r="A174" s="1029">
        <v>36</v>
      </c>
      <c r="B174" s="1064" t="s">
        <v>853</v>
      </c>
      <c r="C174" s="1138"/>
      <c r="D174" s="1114">
        <f>D169*D170</f>
        <v>-140188.36163070487</v>
      </c>
      <c r="E174" s="1140"/>
      <c r="F174" s="1140" t="s">
        <v>53</v>
      </c>
      <c r="G174" s="1141">
        <f>G77</f>
        <v>1</v>
      </c>
      <c r="H174" s="1142"/>
      <c r="I174" s="1115">
        <f>G174*D174</f>
        <v>-140188.36163070487</v>
      </c>
      <c r="J174" s="1028"/>
      <c r="K174" s="1130"/>
      <c r="L174" s="1028"/>
      <c r="M174" s="1028"/>
    </row>
    <row r="175" spans="1:13">
      <c r="A175" s="1029">
        <v>37</v>
      </c>
      <c r="B175" s="1064" t="s">
        <v>852</v>
      </c>
      <c r="C175" s="1138"/>
      <c r="D175" s="1114">
        <f>D169*D171</f>
        <v>841903.64221134351</v>
      </c>
      <c r="E175" s="1140"/>
      <c r="F175" s="1140" t="s">
        <v>417</v>
      </c>
      <c r="G175" s="1141">
        <v>1</v>
      </c>
      <c r="H175" s="1142"/>
      <c r="I175" s="1115">
        <f>G175*D175</f>
        <v>841903.64221134351</v>
      </c>
      <c r="J175" s="1028"/>
      <c r="K175" s="1130"/>
      <c r="L175" s="1028"/>
      <c r="M175" s="1028"/>
    </row>
    <row r="176" spans="1:13" ht="16.3" thickBot="1">
      <c r="A176" s="1029">
        <v>38</v>
      </c>
      <c r="B176" s="1064" t="s">
        <v>851</v>
      </c>
      <c r="C176" s="1138"/>
      <c r="D176" s="1106">
        <f>D169*D172</f>
        <v>-15286.627786785995</v>
      </c>
      <c r="E176" s="1140"/>
      <c r="F176" s="1140" t="s">
        <v>417</v>
      </c>
      <c r="G176" s="1141">
        <f>G175</f>
        <v>1</v>
      </c>
      <c r="H176" s="1142"/>
      <c r="I176" s="1107">
        <f>D176*G176</f>
        <v>-15286.627786785995</v>
      </c>
      <c r="J176" s="1028"/>
      <c r="K176" s="1130"/>
      <c r="L176" s="1028"/>
      <c r="M176" s="1028"/>
    </row>
    <row r="177" spans="1:13">
      <c r="A177" s="1029">
        <v>39</v>
      </c>
      <c r="B177" s="1113" t="s">
        <v>78</v>
      </c>
      <c r="C177" s="1020" t="s">
        <v>850</v>
      </c>
      <c r="D177" s="1143">
        <f>+D173+D174+D175+D176</f>
        <v>26449407.099004723</v>
      </c>
      <c r="E177" s="1028"/>
      <c r="F177" s="1028" t="s">
        <v>3</v>
      </c>
      <c r="G177" s="1044" t="s">
        <v>3</v>
      </c>
      <c r="H177" s="1028"/>
      <c r="I177" s="1143">
        <f>+I173+I174+I175+I176</f>
        <v>26445458.586834129</v>
      </c>
      <c r="J177" s="1028"/>
      <c r="K177" s="1028"/>
      <c r="L177" s="1028"/>
      <c r="M177" s="1028"/>
    </row>
    <row r="178" spans="1:13">
      <c r="A178" s="1029" t="s">
        <v>3</v>
      </c>
      <c r="C178" s="1144"/>
      <c r="D178" s="1105"/>
      <c r="E178" s="1028"/>
      <c r="F178" s="1028"/>
      <c r="G178" s="1044"/>
      <c r="H178" s="1028"/>
      <c r="I178" s="1105"/>
      <c r="J178" s="1028"/>
      <c r="K178" s="1028"/>
      <c r="L178" s="1028"/>
      <c r="M178" s="1028"/>
    </row>
    <row r="179" spans="1:13">
      <c r="A179" s="1029">
        <v>40</v>
      </c>
      <c r="B179" s="1021" t="s">
        <v>79</v>
      </c>
      <c r="C179" s="1145" t="s">
        <v>991</v>
      </c>
      <c r="D179" s="1146">
        <f>+$I252*D100</f>
        <v>80684450.121156752</v>
      </c>
      <c r="E179" s="1028"/>
      <c r="F179" s="1028" t="s">
        <v>35</v>
      </c>
      <c r="G179" s="1132"/>
      <c r="H179" s="1028"/>
      <c r="I179" s="1105">
        <f>+$I252*I100</f>
        <v>80672084.177756757</v>
      </c>
      <c r="J179" s="1028"/>
      <c r="L179" s="1028"/>
      <c r="M179" s="1029"/>
    </row>
    <row r="180" spans="1:13">
      <c r="A180" s="1029"/>
      <c r="B180" s="1147"/>
      <c r="D180" s="1105"/>
      <c r="E180" s="1028"/>
      <c r="F180" s="1028"/>
      <c r="G180" s="1132"/>
      <c r="H180" s="1028"/>
      <c r="I180" s="1105"/>
      <c r="J180" s="1028"/>
      <c r="K180" s="1108"/>
      <c r="L180" s="1028"/>
      <c r="M180" s="1029"/>
    </row>
    <row r="181" spans="1:13">
      <c r="A181" s="1029"/>
      <c r="B181" s="1021"/>
      <c r="D181" s="1115"/>
      <c r="E181" s="1028"/>
      <c r="F181" s="1028"/>
      <c r="G181" s="1132"/>
      <c r="H181" s="1028"/>
      <c r="I181" s="1115"/>
      <c r="J181" s="1028"/>
      <c r="K181" s="1108"/>
      <c r="L181" s="1028"/>
      <c r="M181" s="1029"/>
    </row>
    <row r="182" spans="1:13" ht="31.3">
      <c r="A182" s="1029">
        <v>41</v>
      </c>
      <c r="B182" s="1148" t="s">
        <v>644</v>
      </c>
      <c r="C182" s="1028" t="s">
        <v>990</v>
      </c>
      <c r="D182" s="1149">
        <f>+D144+D151+D162+D177+D179</f>
        <v>228198154.04709947</v>
      </c>
      <c r="E182" s="1027"/>
      <c r="F182" s="1027"/>
      <c r="G182" s="1027"/>
      <c r="H182" s="1027"/>
      <c r="I182" s="1149">
        <f>+I144+I151+I162+I177+I179</f>
        <v>226923859.59152886</v>
      </c>
      <c r="J182" s="1023"/>
      <c r="K182" s="1023"/>
      <c r="L182" s="1023"/>
      <c r="M182" s="1023"/>
    </row>
    <row r="183" spans="1:13">
      <c r="A183" s="1029"/>
      <c r="B183" s="1147"/>
      <c r="D183" s="1121"/>
      <c r="E183" s="1028"/>
      <c r="F183" s="1028"/>
      <c r="G183" s="1028"/>
      <c r="H183" s="1028"/>
      <c r="I183" s="1121"/>
      <c r="J183" s="1023"/>
      <c r="K183" s="1023"/>
      <c r="L183" s="1023"/>
      <c r="M183" s="1023"/>
    </row>
    <row r="184" spans="1:13">
      <c r="A184" s="1029"/>
      <c r="C184" s="1028"/>
      <c r="J184" s="1023"/>
      <c r="K184" s="1023"/>
      <c r="L184" s="1023"/>
      <c r="M184" s="1023"/>
    </row>
    <row r="185" spans="1:13">
      <c r="A185" s="1029">
        <v>42</v>
      </c>
      <c r="B185" s="1113" t="s">
        <v>643</v>
      </c>
      <c r="C185" s="1102" t="s">
        <v>1179</v>
      </c>
      <c r="D185" s="1102">
        <f>'Attachment 11 - TEC'!M85</f>
        <v>0</v>
      </c>
      <c r="E185" s="1102"/>
      <c r="F185" s="1102"/>
      <c r="G185" s="1102"/>
      <c r="H185" s="1102"/>
      <c r="I185" s="1102">
        <f>D185</f>
        <v>0</v>
      </c>
      <c r="J185" s="1066"/>
      <c r="K185" s="1023"/>
      <c r="L185" s="1023"/>
      <c r="M185" s="1023"/>
    </row>
    <row r="186" spans="1:13" ht="16.3" thickBot="1">
      <c r="A186" s="1029"/>
      <c r="B186" s="1113"/>
      <c r="C186" s="1102"/>
      <c r="D186" s="1102"/>
      <c r="E186" s="1102"/>
      <c r="F186" s="1102"/>
      <c r="G186" s="1102"/>
      <c r="H186" s="1102"/>
      <c r="I186" s="1102"/>
      <c r="J186" s="1066"/>
      <c r="K186" s="1023"/>
      <c r="L186" s="1023"/>
      <c r="M186" s="1023"/>
    </row>
    <row r="187" spans="1:13" ht="16.3" thickBot="1">
      <c r="A187" s="1029">
        <v>43</v>
      </c>
      <c r="B187" s="1113" t="s">
        <v>951</v>
      </c>
      <c r="C187" s="1113" t="s">
        <v>849</v>
      </c>
      <c r="D187" s="1150">
        <f>D182+D185</f>
        <v>228198154.04709947</v>
      </c>
      <c r="E187" s="1102"/>
      <c r="F187" s="1102"/>
      <c r="G187" s="1102"/>
      <c r="H187" s="1102"/>
      <c r="I187" s="1150">
        <f>I182+I185</f>
        <v>226923859.59152886</v>
      </c>
      <c r="J187" s="1066"/>
      <c r="K187" s="1023"/>
      <c r="L187" s="1023"/>
      <c r="M187" s="1023"/>
    </row>
    <row r="188" spans="1:13" ht="16.3" thickTop="1">
      <c r="A188" s="1029"/>
      <c r="B188" s="1147"/>
      <c r="D188" s="1102"/>
      <c r="E188" s="1102"/>
      <c r="F188" s="1102"/>
      <c r="G188" s="1102"/>
      <c r="H188" s="1102"/>
      <c r="I188" s="1102"/>
      <c r="J188" s="1066"/>
      <c r="K188" s="1023"/>
      <c r="L188" s="1023"/>
      <c r="M188" s="1023"/>
    </row>
    <row r="189" spans="1:13">
      <c r="A189" s="1029"/>
      <c r="B189" s="1113"/>
      <c r="C189" s="1028"/>
      <c r="D189" s="1121"/>
      <c r="E189" s="1028"/>
      <c r="F189" s="1028"/>
      <c r="G189" s="1028"/>
      <c r="H189" s="1028"/>
      <c r="I189" s="1121"/>
      <c r="J189" s="1023"/>
      <c r="K189" s="1023"/>
      <c r="L189" s="1023"/>
      <c r="M189" s="1023"/>
    </row>
    <row r="190" spans="1:13">
      <c r="A190" s="1029"/>
      <c r="B190" s="1113"/>
      <c r="C190" s="1028"/>
      <c r="D190" s="1121"/>
      <c r="E190" s="1028"/>
      <c r="F190" s="1028"/>
      <c r="G190" s="1028"/>
      <c r="H190" s="1028"/>
      <c r="I190" s="1121"/>
      <c r="J190" s="1023"/>
      <c r="K190" s="1023"/>
      <c r="L190" s="1023"/>
      <c r="M190" s="1023"/>
    </row>
    <row r="191" spans="1:13">
      <c r="A191" s="1029"/>
      <c r="B191" s="1113"/>
      <c r="C191" s="1028"/>
      <c r="D191" s="1121"/>
      <c r="E191" s="1028"/>
      <c r="F191" s="1028"/>
      <c r="G191" s="1028"/>
      <c r="H191" s="1028"/>
      <c r="I191" s="1121"/>
      <c r="J191" s="1023"/>
      <c r="K191" s="1023"/>
      <c r="L191" s="1023"/>
      <c r="M191" s="1023"/>
    </row>
    <row r="192" spans="1:13">
      <c r="A192" s="1029"/>
      <c r="B192" s="1113"/>
      <c r="C192" s="1028"/>
      <c r="D192" s="1121"/>
      <c r="E192" s="1028"/>
      <c r="F192" s="1028"/>
      <c r="G192" s="1028"/>
      <c r="H192" s="1028"/>
      <c r="I192" s="1121"/>
      <c r="J192" s="1023"/>
      <c r="K192" s="1023"/>
      <c r="L192" s="1023"/>
      <c r="M192" s="1023"/>
    </row>
    <row r="193" spans="1:13">
      <c r="A193" s="1029"/>
      <c r="B193" s="1113"/>
      <c r="C193" s="1028"/>
      <c r="D193" s="1121"/>
      <c r="E193" s="1028"/>
      <c r="F193" s="1028"/>
      <c r="G193" s="1028"/>
      <c r="H193" s="1028"/>
      <c r="I193" s="1121"/>
      <c r="J193" s="1023"/>
      <c r="K193" s="1023"/>
      <c r="L193" s="1023"/>
      <c r="M193" s="1023"/>
    </row>
    <row r="194" spans="1:13">
      <c r="A194" s="1029"/>
      <c r="B194" s="1113"/>
      <c r="C194" s="1028"/>
      <c r="D194" s="1121"/>
      <c r="E194" s="1028"/>
      <c r="F194" s="1028"/>
      <c r="G194" s="1028"/>
      <c r="H194" s="1028"/>
      <c r="I194" s="1121"/>
      <c r="J194" s="1023"/>
      <c r="K194" s="1023"/>
      <c r="L194" s="1023"/>
      <c r="M194" s="1023"/>
    </row>
    <row r="195" spans="1:13">
      <c r="A195" s="1029"/>
      <c r="B195" s="1113"/>
      <c r="C195" s="1028"/>
      <c r="D195" s="1121"/>
      <c r="E195" s="1028"/>
      <c r="F195" s="1028"/>
      <c r="G195" s="1028"/>
      <c r="H195" s="1028"/>
      <c r="I195" s="1121"/>
      <c r="J195" s="1023"/>
      <c r="K195" s="1023"/>
      <c r="L195" s="1023"/>
      <c r="M195" s="1023"/>
    </row>
    <row r="196" spans="1:13">
      <c r="A196" s="1029"/>
      <c r="B196" s="1113"/>
      <c r="C196" s="1028"/>
      <c r="D196" s="1121"/>
      <c r="E196" s="1028"/>
      <c r="F196" s="1028"/>
      <c r="G196" s="1028"/>
      <c r="H196" s="1028"/>
      <c r="I196" s="1121"/>
      <c r="J196" s="1023"/>
      <c r="K196" s="1023"/>
      <c r="L196" s="1023"/>
      <c r="M196" s="1023"/>
    </row>
    <row r="197" spans="1:13">
      <c r="A197" s="1029"/>
      <c r="B197" s="1113"/>
      <c r="C197" s="1028"/>
      <c r="D197" s="1121"/>
      <c r="E197" s="1028"/>
      <c r="F197" s="1028"/>
      <c r="G197" s="1028"/>
      <c r="H197" s="1028"/>
      <c r="I197" s="1121"/>
      <c r="J197" s="1023"/>
      <c r="K197" s="1023"/>
      <c r="L197" s="1023"/>
      <c r="M197" s="1023"/>
    </row>
    <row r="198" spans="1:13">
      <c r="A198" s="1122"/>
      <c r="B198" s="1021"/>
      <c r="C198" s="1028"/>
      <c r="D198" s="1121"/>
      <c r="E198" s="1028"/>
      <c r="F198" s="1028"/>
      <c r="G198" s="1108"/>
      <c r="H198" s="1028"/>
      <c r="I198" s="1121"/>
      <c r="J198" s="1027"/>
      <c r="K198" s="1123"/>
      <c r="L198" s="1020"/>
    </row>
    <row r="199" spans="1:13">
      <c r="A199" s="1122"/>
      <c r="B199" s="1042"/>
      <c r="C199" s="1028"/>
      <c r="D199" s="1121"/>
      <c r="E199" s="1028"/>
      <c r="F199" s="1028"/>
      <c r="G199" s="1108"/>
      <c r="H199" s="1028"/>
      <c r="I199" s="1121"/>
      <c r="J199" s="1028"/>
      <c r="K199" s="1123"/>
      <c r="L199" s="1020"/>
    </row>
    <row r="200" spans="1:13">
      <c r="B200" s="1021"/>
      <c r="C200" s="1021"/>
      <c r="D200" s="1022"/>
      <c r="E200" s="1021"/>
      <c r="F200" s="1021"/>
      <c r="G200" s="1021"/>
      <c r="H200" s="1023"/>
      <c r="I200" s="1029"/>
      <c r="J200" s="1029"/>
      <c r="K200" s="1024"/>
      <c r="L200" s="1023"/>
      <c r="M200" s="1023"/>
    </row>
    <row r="201" spans="1:13">
      <c r="B201" s="1021"/>
      <c r="C201" s="1021"/>
      <c r="D201" s="1022"/>
      <c r="E201" s="1021"/>
      <c r="F201" s="1021"/>
      <c r="G201" s="1021"/>
      <c r="H201" s="1023"/>
      <c r="I201" s="1024"/>
      <c r="J201" s="1024"/>
      <c r="K201" s="1024"/>
      <c r="L201" s="1023"/>
      <c r="M201" s="1023"/>
    </row>
    <row r="202" spans="1:13" ht="16.45" customHeight="1">
      <c r="B202" s="1021"/>
      <c r="C202" s="1021"/>
      <c r="D202" s="1022"/>
      <c r="E202" s="1021"/>
      <c r="F202" s="1021"/>
      <c r="G202" s="1021"/>
      <c r="H202" s="1023"/>
      <c r="I202" s="1023"/>
      <c r="K202" s="1024" t="str">
        <f>K119</f>
        <v>Attachment  H-28A</v>
      </c>
      <c r="L202" s="1023"/>
      <c r="M202" s="1023"/>
    </row>
    <row r="203" spans="1:13" ht="16.45" customHeight="1">
      <c r="B203" s="1021"/>
      <c r="C203" s="1021"/>
      <c r="D203" s="1022"/>
      <c r="E203" s="1021"/>
      <c r="F203" s="1021"/>
      <c r="G203" s="1021"/>
      <c r="H203" s="1023"/>
      <c r="I203" s="1023"/>
      <c r="J203" s="1023"/>
      <c r="K203" s="1024" t="s">
        <v>162</v>
      </c>
      <c r="L203" s="1023"/>
      <c r="M203" s="1023"/>
    </row>
    <row r="204" spans="1:13" ht="16.45" customHeight="1">
      <c r="B204" s="1021"/>
      <c r="C204" s="1021"/>
      <c r="D204" s="1022"/>
      <c r="E204" s="1021"/>
      <c r="F204" s="1021"/>
      <c r="G204" s="1021"/>
      <c r="H204" s="1023"/>
      <c r="I204" s="1023"/>
      <c r="J204" s="1023"/>
      <c r="K204" s="1024"/>
      <c r="L204" s="1023"/>
      <c r="M204" s="1023"/>
    </row>
    <row r="205" spans="1:13">
      <c r="B205" s="1021" t="s">
        <v>1</v>
      </c>
      <c r="C205" s="1021"/>
      <c r="D205" s="1022" t="s">
        <v>2</v>
      </c>
      <c r="E205" s="1021"/>
      <c r="F205" s="1021"/>
      <c r="G205" s="1021"/>
      <c r="H205" s="1055"/>
      <c r="I205" s="1055"/>
      <c r="J205" s="1055"/>
      <c r="K205" s="1094" t="str">
        <f>K4</f>
        <v>For the 12 months ended 12/31/2019</v>
      </c>
      <c r="L205" s="1023"/>
      <c r="M205" s="1023"/>
    </row>
    <row r="206" spans="1:13">
      <c r="B206" s="1021"/>
      <c r="C206" s="1028" t="s">
        <v>3</v>
      </c>
      <c r="D206" s="1028" t="s">
        <v>4</v>
      </c>
      <c r="E206" s="1028"/>
      <c r="F206" s="1028"/>
      <c r="G206" s="1028"/>
      <c r="H206" s="1023"/>
      <c r="I206" s="1023"/>
      <c r="J206" s="1023"/>
      <c r="K206" s="1023"/>
      <c r="L206" s="1023"/>
      <c r="M206" s="1023"/>
    </row>
    <row r="207" spans="1:13" ht="9.6999999999999993" customHeight="1">
      <c r="A207" s="1029"/>
      <c r="J207" s="1028"/>
      <c r="K207" s="1028"/>
      <c r="L207" s="1028"/>
      <c r="M207" s="1028"/>
    </row>
    <row r="208" spans="1:13">
      <c r="A208" s="1029"/>
      <c r="D208" s="1020" t="str">
        <f>D7</f>
        <v>Mid-Atlantic Interstate Transmission, LLC</v>
      </c>
      <c r="J208" s="1028"/>
      <c r="K208" s="1028"/>
      <c r="L208" s="1028"/>
      <c r="M208" s="1028"/>
    </row>
    <row r="209" spans="1:13">
      <c r="A209" s="1029"/>
      <c r="C209" s="1101" t="s">
        <v>80</v>
      </c>
      <c r="E209" s="1023"/>
      <c r="F209" s="1023"/>
      <c r="G209" s="1023"/>
      <c r="H209" s="1023"/>
      <c r="I209" s="1023"/>
      <c r="J209" s="1028"/>
      <c r="K209" s="1028"/>
      <c r="L209" s="1023"/>
      <c r="M209" s="1028"/>
    </row>
    <row r="210" spans="1:13">
      <c r="A210" s="1029" t="s">
        <v>5</v>
      </c>
      <c r="B210" s="1029" t="s">
        <v>22</v>
      </c>
      <c r="C210" s="1029" t="s">
        <v>23</v>
      </c>
      <c r="D210" s="1029" t="s">
        <v>24</v>
      </c>
      <c r="E210" s="1032" t="s">
        <v>25</v>
      </c>
      <c r="F210" s="1028"/>
      <c r="G210" s="1032" t="s">
        <v>26</v>
      </c>
      <c r="H210" s="1028"/>
      <c r="I210" s="1032" t="s">
        <v>27</v>
      </c>
      <c r="J210" s="1028"/>
      <c r="L210" s="1023"/>
      <c r="M210" s="1028"/>
    </row>
    <row r="211" spans="1:13" ht="16.3" thickBot="1">
      <c r="A211" s="1034" t="s">
        <v>7</v>
      </c>
      <c r="B211" s="1042" t="s">
        <v>81</v>
      </c>
      <c r="C211" s="1055"/>
      <c r="D211" s="1055"/>
      <c r="E211" s="1055"/>
      <c r="F211" s="1055"/>
      <c r="G211" s="1055"/>
      <c r="H211" s="1064"/>
      <c r="I211" s="1064"/>
      <c r="J211" s="1027"/>
      <c r="K211" s="1028"/>
      <c r="L211" s="1023"/>
      <c r="M211" s="1028"/>
    </row>
    <row r="212" spans="1:13">
      <c r="A212" s="1029">
        <v>1</v>
      </c>
      <c r="B212" s="1055" t="s">
        <v>180</v>
      </c>
      <c r="C212" s="1055"/>
      <c r="D212" s="1027"/>
      <c r="E212" s="1027"/>
      <c r="F212" s="1027"/>
      <c r="G212" s="1027"/>
      <c r="H212" s="1027"/>
      <c r="I212" s="1046">
        <f>D57</f>
        <v>1584539137.284615</v>
      </c>
      <c r="J212" s="1027"/>
      <c r="K212" s="1028"/>
      <c r="L212" s="1023"/>
      <c r="M212" s="1028"/>
    </row>
    <row r="213" spans="1:13">
      <c r="A213" s="1029">
        <v>2</v>
      </c>
      <c r="B213" s="1055" t="s">
        <v>314</v>
      </c>
      <c r="C213" s="1064"/>
      <c r="D213" s="1064"/>
      <c r="E213" s="1064"/>
      <c r="F213" s="1064"/>
      <c r="G213" s="1064"/>
      <c r="H213" s="1064"/>
      <c r="I213" s="1050"/>
      <c r="J213" s="1027"/>
      <c r="K213" s="1028"/>
      <c r="L213" s="1028"/>
      <c r="M213" s="1028"/>
    </row>
    <row r="214" spans="1:13" ht="16.3" thickBot="1">
      <c r="A214" s="1029">
        <v>3</v>
      </c>
      <c r="B214" s="1151" t="s">
        <v>315</v>
      </c>
      <c r="C214" s="1151"/>
      <c r="D214" s="1102"/>
      <c r="E214" s="1102"/>
      <c r="F214" s="1027"/>
      <c r="G214" s="1152"/>
      <c r="H214" s="1027"/>
      <c r="I214" s="1153"/>
      <c r="J214" s="1027"/>
      <c r="K214" s="1028"/>
      <c r="L214" s="1028"/>
      <c r="M214" s="1028"/>
    </row>
    <row r="215" spans="1:13">
      <c r="A215" s="1029">
        <v>4</v>
      </c>
      <c r="B215" s="1055" t="s">
        <v>82</v>
      </c>
      <c r="C215" s="1055"/>
      <c r="D215" s="1102"/>
      <c r="E215" s="1102"/>
      <c r="F215" s="1027"/>
      <c r="G215" s="1152"/>
      <c r="H215" s="1027"/>
      <c r="I215" s="1046">
        <f>I212-I213-I214</f>
        <v>1584539137.284615</v>
      </c>
      <c r="J215" s="1027"/>
      <c r="K215" s="1028"/>
      <c r="L215" s="1023"/>
      <c r="M215" s="1028"/>
    </row>
    <row r="216" spans="1:13">
      <c r="A216" s="1029">
        <v>5</v>
      </c>
      <c r="B216" s="1055" t="s">
        <v>184</v>
      </c>
      <c r="C216" s="1030"/>
      <c r="D216" s="1154"/>
      <c r="E216" s="1154"/>
      <c r="F216" s="1155"/>
      <c r="G216" s="1156"/>
      <c r="H216" s="1027" t="s">
        <v>83</v>
      </c>
      <c r="I216" s="1157">
        <f>IF(I212&gt;0,I215/I212,0)</f>
        <v>1</v>
      </c>
      <c r="J216" s="1027"/>
      <c r="K216" s="1028"/>
      <c r="L216" s="1023"/>
      <c r="M216" s="1028"/>
    </row>
    <row r="217" spans="1:13" ht="9.6999999999999993" customHeight="1">
      <c r="A217" s="1029"/>
      <c r="B217" s="1055"/>
      <c r="C217" s="1030"/>
      <c r="D217" s="1154"/>
      <c r="E217" s="1154"/>
      <c r="F217" s="1155"/>
      <c r="G217" s="1156"/>
      <c r="H217" s="1027"/>
      <c r="I217" s="1157"/>
      <c r="J217" s="1027"/>
      <c r="K217" s="1028"/>
      <c r="L217" s="1023"/>
      <c r="M217" s="1028"/>
    </row>
    <row r="218" spans="1:13">
      <c r="A218" s="1029"/>
      <c r="B218" s="1042" t="s">
        <v>84</v>
      </c>
      <c r="C218" s="1064"/>
      <c r="D218" s="1103"/>
      <c r="E218" s="1103"/>
      <c r="F218" s="1064"/>
      <c r="G218" s="1064"/>
      <c r="H218" s="1064"/>
      <c r="I218" s="1064"/>
      <c r="J218" s="1027"/>
      <c r="K218" s="1028"/>
      <c r="L218" s="1023"/>
      <c r="M218" s="1028"/>
    </row>
    <row r="219" spans="1:13" ht="9.6999999999999993" customHeight="1">
      <c r="A219" s="1029"/>
      <c r="B219" s="1064"/>
      <c r="C219" s="1064"/>
      <c r="D219" s="1103"/>
      <c r="E219" s="1103"/>
      <c r="F219" s="1064"/>
      <c r="G219" s="1064"/>
      <c r="H219" s="1064"/>
      <c r="I219" s="1064"/>
      <c r="J219" s="1027"/>
      <c r="K219" s="1028"/>
      <c r="L219" s="1023"/>
      <c r="M219" s="1028"/>
    </row>
    <row r="220" spans="1:13">
      <c r="A220" s="1029">
        <v>6</v>
      </c>
      <c r="B220" s="1064" t="s">
        <v>181</v>
      </c>
      <c r="C220" s="1064"/>
      <c r="D220" s="1066"/>
      <c r="E220" s="1066"/>
      <c r="F220" s="1055"/>
      <c r="G220" s="1041"/>
      <c r="H220" s="1055"/>
      <c r="I220" s="1046">
        <f>D130</f>
        <v>68063880</v>
      </c>
      <c r="J220" s="1027"/>
      <c r="K220" s="1028"/>
      <c r="L220" s="1028"/>
      <c r="M220" s="1028"/>
    </row>
    <row r="221" spans="1:13" ht="16.3" thickBot="1">
      <c r="A221" s="1029">
        <v>7</v>
      </c>
      <c r="B221" s="1151" t="s">
        <v>316</v>
      </c>
      <c r="C221" s="1151"/>
      <c r="D221" s="1102"/>
      <c r="E221" s="1102"/>
      <c r="F221" s="1027"/>
      <c r="G221" s="1027"/>
      <c r="H221" s="1027"/>
      <c r="I221" s="1153">
        <v>1257980</v>
      </c>
      <c r="J221" s="1027"/>
      <c r="K221" s="1027"/>
      <c r="L221" s="1028"/>
      <c r="M221" s="1028"/>
    </row>
    <row r="222" spans="1:13">
      <c r="A222" s="1029">
        <v>8</v>
      </c>
      <c r="B222" s="1055" t="s">
        <v>176</v>
      </c>
      <c r="C222" s="1030"/>
      <c r="D222" s="1154"/>
      <c r="E222" s="1154"/>
      <c r="F222" s="1155"/>
      <c r="G222" s="1156"/>
      <c r="H222" s="1155"/>
      <c r="I222" s="1046">
        <f>SUM(I220-I221)</f>
        <v>66805900</v>
      </c>
      <c r="J222" s="1064"/>
      <c r="L222" s="1028"/>
      <c r="M222" s="1028"/>
    </row>
    <row r="223" spans="1:13">
      <c r="A223" s="1029">
        <v>9</v>
      </c>
      <c r="B223" s="1055" t="s">
        <v>177</v>
      </c>
      <c r="C223" s="1055"/>
      <c r="D223" s="1027"/>
      <c r="E223" s="1027"/>
      <c r="F223" s="1027"/>
      <c r="G223" s="1027"/>
      <c r="H223" s="1027"/>
      <c r="I223" s="1124">
        <f>IF(I220&gt;0,I222/I220,0)</f>
        <v>0.98151765664843083</v>
      </c>
      <c r="J223" s="1064"/>
      <c r="L223" s="1028"/>
      <c r="M223" s="1028"/>
    </row>
    <row r="224" spans="1:13">
      <c r="A224" s="1029">
        <v>10</v>
      </c>
      <c r="B224" s="1055" t="s">
        <v>178</v>
      </c>
      <c r="C224" s="1055"/>
      <c r="D224" s="1027"/>
      <c r="E224" s="1027"/>
      <c r="F224" s="1027"/>
      <c r="G224" s="1027"/>
      <c r="H224" s="1055" t="s">
        <v>13</v>
      </c>
      <c r="I224" s="1158">
        <f>I216</f>
        <v>1</v>
      </c>
      <c r="J224" s="1064"/>
      <c r="L224" s="1028"/>
      <c r="M224" s="1028"/>
    </row>
    <row r="225" spans="1:18">
      <c r="A225" s="1029">
        <v>11</v>
      </c>
      <c r="B225" s="1055" t="s">
        <v>179</v>
      </c>
      <c r="C225" s="1055"/>
      <c r="D225" s="1055"/>
      <c r="E225" s="1055"/>
      <c r="F225" s="1055"/>
      <c r="G225" s="1055"/>
      <c r="H225" s="1055" t="s">
        <v>85</v>
      </c>
      <c r="I225" s="1159">
        <f>+I224*I223</f>
        <v>0.98151765664843083</v>
      </c>
      <c r="J225" s="1064"/>
      <c r="L225" s="1028"/>
      <c r="M225" s="1028"/>
    </row>
    <row r="226" spans="1:18" ht="9.6999999999999993" customHeight="1">
      <c r="A226" s="1029"/>
      <c r="C226" s="1023"/>
      <c r="D226" s="1028"/>
      <c r="E226" s="1028"/>
      <c r="F226" s="1028"/>
      <c r="G226" s="1119"/>
      <c r="H226" s="1028"/>
      <c r="L226" s="1028"/>
      <c r="M226" s="1028"/>
    </row>
    <row r="227" spans="1:18">
      <c r="A227" s="1029" t="s">
        <v>3</v>
      </c>
      <c r="B227" s="1021" t="s">
        <v>86</v>
      </c>
      <c r="C227" s="1028"/>
      <c r="D227" s="1028"/>
      <c r="E227" s="1028"/>
      <c r="F227" s="1028"/>
      <c r="G227" s="1028"/>
      <c r="H227" s="1028"/>
      <c r="I227" s="1028"/>
      <c r="J227" s="1028"/>
      <c r="K227" s="1028"/>
      <c r="L227" s="1028"/>
      <c r="M227" s="1028"/>
    </row>
    <row r="228" spans="1:18" ht="16.3" thickBot="1">
      <c r="A228" s="1029" t="s">
        <v>3</v>
      </c>
      <c r="B228" s="1021"/>
      <c r="C228" s="1160" t="s">
        <v>87</v>
      </c>
      <c r="D228" s="1061" t="s">
        <v>88</v>
      </c>
      <c r="E228" s="1061" t="s">
        <v>13</v>
      </c>
      <c r="F228" s="1028"/>
      <c r="G228" s="1061" t="s">
        <v>89</v>
      </c>
      <c r="H228" s="1028"/>
      <c r="I228" s="1028"/>
      <c r="J228" s="1028"/>
      <c r="K228" s="1028"/>
      <c r="L228" s="1028"/>
      <c r="M228" s="1028"/>
    </row>
    <row r="229" spans="1:18">
      <c r="A229" s="1029">
        <v>12</v>
      </c>
      <c r="B229" s="1021" t="s">
        <v>34</v>
      </c>
      <c r="C229" s="1028" t="s">
        <v>155</v>
      </c>
      <c r="D229" s="1050"/>
      <c r="E229" s="1161">
        <v>0</v>
      </c>
      <c r="F229" s="1161"/>
      <c r="G229" s="1105">
        <f>D229*E229</f>
        <v>0</v>
      </c>
      <c r="H229" s="1028"/>
      <c r="I229" s="1028"/>
      <c r="J229" s="1028"/>
      <c r="K229" s="1028"/>
      <c r="L229" s="1028"/>
      <c r="M229" s="1028"/>
    </row>
    <row r="230" spans="1:18">
      <c r="A230" s="1029">
        <v>13</v>
      </c>
      <c r="B230" s="1021" t="s">
        <v>36</v>
      </c>
      <c r="C230" s="1028" t="s">
        <v>156</v>
      </c>
      <c r="D230" s="1050"/>
      <c r="E230" s="1161">
        <f>+I216</f>
        <v>1</v>
      </c>
      <c r="F230" s="1161"/>
      <c r="G230" s="1146">
        <f>D230*E230</f>
        <v>0</v>
      </c>
      <c r="H230" s="1028"/>
      <c r="I230" s="1028"/>
      <c r="J230" s="1028"/>
      <c r="K230" s="1028"/>
      <c r="L230" s="1028"/>
      <c r="M230" s="1028"/>
    </row>
    <row r="231" spans="1:18">
      <c r="A231" s="1029">
        <v>14</v>
      </c>
      <c r="B231" s="1021" t="s">
        <v>37</v>
      </c>
      <c r="C231" s="1028" t="s">
        <v>157</v>
      </c>
      <c r="D231" s="1050"/>
      <c r="E231" s="1161">
        <v>0</v>
      </c>
      <c r="F231" s="1161"/>
      <c r="G231" s="1105">
        <f>D231*E231</f>
        <v>0</v>
      </c>
      <c r="H231" s="1028"/>
      <c r="I231" s="1162" t="s">
        <v>90</v>
      </c>
      <c r="J231" s="1028"/>
      <c r="K231" s="1028"/>
      <c r="L231" s="1028"/>
      <c r="M231" s="1028"/>
    </row>
    <row r="232" spans="1:18" ht="16.3" thickBot="1">
      <c r="A232" s="1029">
        <v>15</v>
      </c>
      <c r="B232" s="1021" t="s">
        <v>91</v>
      </c>
      <c r="C232" s="1028" t="s">
        <v>158</v>
      </c>
      <c r="D232" s="1153"/>
      <c r="E232" s="1161">
        <v>0</v>
      </c>
      <c r="F232" s="1161"/>
      <c r="G232" s="1107">
        <f>D232*E232</f>
        <v>0</v>
      </c>
      <c r="H232" s="1028"/>
      <c r="I232" s="1034" t="s">
        <v>92</v>
      </c>
      <c r="J232" s="1028"/>
      <c r="K232" s="1028"/>
      <c r="L232" s="1028"/>
      <c r="M232" s="1028"/>
    </row>
    <row r="233" spans="1:18">
      <c r="A233" s="1029">
        <v>16</v>
      </c>
      <c r="B233" s="1021" t="s">
        <v>93</v>
      </c>
      <c r="C233" s="1028"/>
      <c r="D233" s="1046">
        <f>SUM(D229:D232)</f>
        <v>0</v>
      </c>
      <c r="E233" s="1028"/>
      <c r="F233" s="1028"/>
      <c r="G233" s="1146">
        <f>SUM(G229:G232)</f>
        <v>0</v>
      </c>
      <c r="H233" s="1029" t="s">
        <v>94</v>
      </c>
      <c r="I233" s="1104">
        <f>IF(G233&gt;0,G233/D233,1)</f>
        <v>1</v>
      </c>
      <c r="J233" s="1163" t="s">
        <v>183</v>
      </c>
      <c r="K233" s="1028"/>
      <c r="L233" s="1028"/>
      <c r="M233" s="1028"/>
    </row>
    <row r="234" spans="1:18" ht="9.6999999999999993" customHeight="1">
      <c r="A234" s="1029"/>
      <c r="B234" s="1021"/>
      <c r="C234" s="1028"/>
      <c r="D234" s="1028"/>
      <c r="E234" s="1028"/>
      <c r="F234" s="1028"/>
      <c r="G234" s="1028"/>
      <c r="H234" s="1028"/>
      <c r="I234" s="1028"/>
      <c r="J234" s="1028"/>
      <c r="K234" s="1028"/>
      <c r="L234" s="1028"/>
      <c r="M234" s="1028"/>
    </row>
    <row r="235" spans="1:18">
      <c r="A235" s="1029"/>
      <c r="B235" s="1021" t="s">
        <v>175</v>
      </c>
      <c r="C235" s="1028"/>
      <c r="D235" s="1028"/>
      <c r="E235" s="1028"/>
      <c r="F235" s="1028"/>
      <c r="G235" s="1028"/>
      <c r="H235" s="1028"/>
      <c r="I235" s="1028"/>
      <c r="J235" s="1028"/>
      <c r="K235" s="1028"/>
      <c r="L235" s="1028"/>
      <c r="M235" s="1028"/>
    </row>
    <row r="236" spans="1:18">
      <c r="A236" s="1029"/>
      <c r="B236" s="1021"/>
      <c r="C236" s="1028"/>
      <c r="D236" s="1164" t="s">
        <v>88</v>
      </c>
      <c r="E236" s="1028"/>
      <c r="F236" s="1028"/>
      <c r="G236" s="1152" t="s">
        <v>95</v>
      </c>
      <c r="H236" s="1165" t="s">
        <v>3</v>
      </c>
      <c r="I236" s="1166" t="str">
        <f>+I231</f>
        <v>W&amp;S Allocator</v>
      </c>
      <c r="J236" s="1064"/>
      <c r="K236" s="1064"/>
      <c r="L236" s="1028"/>
      <c r="M236" s="1028"/>
    </row>
    <row r="237" spans="1:18">
      <c r="A237" s="1029">
        <v>17</v>
      </c>
      <c r="B237" s="1021" t="s">
        <v>96</v>
      </c>
      <c r="C237" s="1028" t="s">
        <v>97</v>
      </c>
      <c r="D237" s="1167">
        <v>1481080066</v>
      </c>
      <c r="E237" s="1028"/>
      <c r="G237" s="1041" t="s">
        <v>98</v>
      </c>
      <c r="H237" s="1165"/>
      <c r="I237" s="1041" t="s">
        <v>99</v>
      </c>
      <c r="J237" s="1027"/>
      <c r="K237" s="1041" t="s">
        <v>41</v>
      </c>
      <c r="L237" s="1028"/>
      <c r="M237" s="1028"/>
    </row>
    <row r="238" spans="1:18">
      <c r="A238" s="1029">
        <v>18</v>
      </c>
      <c r="B238" s="1021" t="s">
        <v>100</v>
      </c>
      <c r="C238" s="1028" t="s">
        <v>101</v>
      </c>
      <c r="D238" s="1167">
        <v>0</v>
      </c>
      <c r="E238" s="1028"/>
      <c r="G238" s="1168">
        <f>IF(D240&gt;0,D237/D240,1)</f>
        <v>1</v>
      </c>
      <c r="H238" s="1152" t="s">
        <v>102</v>
      </c>
      <c r="I238" s="1168">
        <f>I233</f>
        <v>1</v>
      </c>
      <c r="J238" s="1165" t="s">
        <v>94</v>
      </c>
      <c r="K238" s="1168">
        <f>G238*I238</f>
        <v>1</v>
      </c>
      <c r="L238" s="1028"/>
      <c r="M238" s="1169"/>
      <c r="N238" s="1169"/>
      <c r="O238" s="1170"/>
      <c r="P238" s="1171"/>
      <c r="Q238" s="1171"/>
      <c r="R238" s="1171"/>
    </row>
    <row r="239" spans="1:18" ht="16.3" thickBot="1">
      <c r="A239" s="1029">
        <v>19</v>
      </c>
      <c r="B239" s="1172" t="s">
        <v>103</v>
      </c>
      <c r="C239" s="1160" t="s">
        <v>104</v>
      </c>
      <c r="D239" s="1173">
        <v>0</v>
      </c>
      <c r="E239" s="1028"/>
      <c r="F239" s="1028"/>
      <c r="G239" s="1028" t="s">
        <v>3</v>
      </c>
      <c r="H239" s="1028"/>
      <c r="I239" s="1028"/>
      <c r="J239" s="1028"/>
      <c r="K239" s="1028"/>
      <c r="L239" s="1028"/>
      <c r="M239" s="1174"/>
      <c r="N239" s="1174"/>
      <c r="O239" s="1171"/>
      <c r="P239" s="1171"/>
      <c r="Q239" s="1171"/>
      <c r="R239" s="1171"/>
    </row>
    <row r="240" spans="1:18">
      <c r="A240" s="1029">
        <v>20</v>
      </c>
      <c r="B240" s="1021" t="s">
        <v>105</v>
      </c>
      <c r="C240" s="1028"/>
      <c r="D240" s="1088">
        <f>SUM(D237:D239)</f>
        <v>1481080066</v>
      </c>
      <c r="E240" s="1028"/>
      <c r="F240" s="1028"/>
      <c r="G240" s="1028"/>
      <c r="H240" s="1028"/>
      <c r="I240" s="1028"/>
      <c r="J240" s="1028"/>
      <c r="K240" s="1028"/>
      <c r="L240" s="1028"/>
      <c r="M240" s="1175"/>
      <c r="N240" s="1176"/>
      <c r="O240" s="1177"/>
      <c r="P240" s="1178"/>
      <c r="Q240" s="1176"/>
      <c r="R240" s="1176"/>
    </row>
    <row r="241" spans="1:18">
      <c r="A241" s="1029"/>
      <c r="B241" s="1021"/>
      <c r="C241" s="1028"/>
      <c r="E241" s="1028"/>
      <c r="F241" s="1028"/>
      <c r="G241" s="1028"/>
      <c r="H241" s="1028"/>
      <c r="I241" s="1028"/>
      <c r="J241" s="1028"/>
      <c r="K241" s="1028"/>
      <c r="L241" s="1028"/>
      <c r="M241" s="1305"/>
      <c r="N241" s="1305"/>
      <c r="O241" s="1305"/>
      <c r="P241" s="1305"/>
      <c r="Q241" s="1305"/>
      <c r="R241" s="1305"/>
    </row>
    <row r="242" spans="1:18" ht="16.3" thickBot="1">
      <c r="A242" s="1029"/>
      <c r="B242" s="1021" t="s">
        <v>106</v>
      </c>
      <c r="C242" s="1028"/>
      <c r="D242" s="1028"/>
      <c r="E242" s="1028"/>
      <c r="F242" s="1028"/>
      <c r="G242" s="1028"/>
      <c r="H242" s="1028"/>
      <c r="I242" s="1061" t="s">
        <v>88</v>
      </c>
      <c r="J242" s="1028"/>
      <c r="K242" s="1028"/>
      <c r="L242" s="1028"/>
      <c r="M242" s="1176"/>
      <c r="N242" s="1176"/>
      <c r="O242" s="1177"/>
      <c r="P242" s="1178"/>
      <c r="Q242" s="1176"/>
      <c r="R242" s="1176"/>
    </row>
    <row r="243" spans="1:18">
      <c r="A243" s="1029"/>
      <c r="B243" s="1023"/>
      <c r="C243" s="1027"/>
      <c r="D243" s="1027"/>
      <c r="E243" s="1027"/>
      <c r="F243" s="1027"/>
      <c r="G243" s="1027"/>
      <c r="H243" s="1027"/>
      <c r="I243" s="1046"/>
      <c r="J243" s="1027"/>
      <c r="K243" s="1028"/>
      <c r="L243" s="1028"/>
      <c r="M243" s="1177"/>
      <c r="N243" s="1177"/>
      <c r="O243" s="1177"/>
      <c r="P243" s="1178"/>
      <c r="Q243" s="1176"/>
      <c r="R243" s="1176"/>
    </row>
    <row r="244" spans="1:18">
      <c r="A244" s="1029">
        <v>21</v>
      </c>
      <c r="B244" s="1021"/>
      <c r="C244" s="1027" t="s">
        <v>185</v>
      </c>
      <c r="D244" s="1027"/>
      <c r="E244" s="1027"/>
      <c r="F244" s="1027"/>
      <c r="G244" s="1027"/>
      <c r="H244" s="1027"/>
      <c r="I244" s="1046">
        <v>0</v>
      </c>
      <c r="J244" s="1027"/>
      <c r="K244" s="1028"/>
      <c r="L244" s="1028"/>
      <c r="M244" s="1177"/>
      <c r="N244" s="1176"/>
      <c r="O244" s="1179"/>
      <c r="P244" s="1179"/>
      <c r="Q244" s="1176"/>
      <c r="R244" s="1176"/>
    </row>
    <row r="245" spans="1:18">
      <c r="A245" s="1029"/>
      <c r="B245" s="1021"/>
      <c r="C245" s="1028"/>
      <c r="D245" s="1028"/>
      <c r="E245" s="1028"/>
      <c r="F245" s="1028"/>
      <c r="G245" s="1028"/>
      <c r="H245" s="1028"/>
      <c r="I245" s="1105"/>
      <c r="J245" s="1028"/>
      <c r="K245" s="1028"/>
      <c r="L245" s="1028"/>
      <c r="M245" s="1177"/>
      <c r="N245" s="1176"/>
      <c r="O245" s="1176"/>
      <c r="P245" s="1176"/>
      <c r="Q245" s="1176"/>
      <c r="R245" s="1176"/>
    </row>
    <row r="246" spans="1:18">
      <c r="A246" s="1029"/>
      <c r="B246" s="1066"/>
      <c r="C246" s="1102"/>
      <c r="D246" s="1066"/>
      <c r="E246" s="1066"/>
      <c r="F246" s="1066"/>
      <c r="G246" s="1066"/>
      <c r="H246" s="1066"/>
      <c r="I246" s="1114"/>
      <c r="J246" s="1028"/>
      <c r="K246" s="1028"/>
      <c r="L246" s="1028"/>
      <c r="M246" s="1177"/>
      <c r="N246" s="1176"/>
      <c r="O246" s="1177"/>
      <c r="P246" s="1178"/>
      <c r="Q246" s="1176"/>
      <c r="R246" s="1176"/>
    </row>
    <row r="247" spans="1:18">
      <c r="A247" s="1029"/>
      <c r="B247" s="1021"/>
      <c r="C247" s="1028"/>
      <c r="D247" s="1028"/>
      <c r="E247" s="1152" t="s">
        <v>19</v>
      </c>
      <c r="F247" s="1028"/>
      <c r="G247" s="1119" t="s">
        <v>108</v>
      </c>
      <c r="H247" s="1028"/>
      <c r="I247" s="1028"/>
      <c r="J247" s="1028"/>
      <c r="K247" s="1028"/>
      <c r="L247" s="1028"/>
      <c r="M247" s="1177"/>
      <c r="N247" s="1176"/>
      <c r="O247" s="1177"/>
      <c r="P247" s="1178"/>
      <c r="Q247" s="1176"/>
      <c r="R247" s="1176"/>
    </row>
    <row r="248" spans="1:18" ht="16.3" thickBot="1">
      <c r="A248" s="1029"/>
      <c r="B248" s="1021"/>
      <c r="C248" s="1028"/>
      <c r="D248" s="1034" t="s">
        <v>88</v>
      </c>
      <c r="E248" s="1034" t="s">
        <v>109</v>
      </c>
      <c r="F248" s="1028"/>
      <c r="G248" s="1034" t="s">
        <v>110</v>
      </c>
      <c r="H248" s="1028"/>
      <c r="I248" s="1256" t="s">
        <v>111</v>
      </c>
      <c r="J248" s="1028"/>
      <c r="K248" s="1028"/>
      <c r="L248" s="1028"/>
      <c r="M248" s="1121"/>
      <c r="N248" s="1178"/>
      <c r="O248" s="1175"/>
      <c r="P248" s="1175"/>
      <c r="Q248" s="1175"/>
      <c r="R248" s="1175"/>
    </row>
    <row r="249" spans="1:18">
      <c r="A249" s="1029">
        <v>22</v>
      </c>
      <c r="B249" s="1021" t="s">
        <v>954</v>
      </c>
      <c r="D249" s="1046">
        <f>'Attachment 8 - Cap Structure'!K23</f>
        <v>449900326</v>
      </c>
      <c r="E249" s="1180">
        <v>0.4</v>
      </c>
      <c r="F249" s="1181"/>
      <c r="G249" s="1181">
        <f>'Attachment 10 - Debt Cost'!W26</f>
        <v>4.2099999999999999E-2</v>
      </c>
      <c r="I249" s="1181">
        <f>(G249*E249)</f>
        <v>1.6840000000000001E-2</v>
      </c>
      <c r="J249" s="1163" t="s">
        <v>112</v>
      </c>
      <c r="K249" s="1252"/>
      <c r="L249" s="1020"/>
      <c r="M249" s="1121"/>
      <c r="N249" s="1175"/>
      <c r="O249" s="1175"/>
      <c r="P249" s="1175"/>
      <c r="Q249" s="1175"/>
      <c r="R249" s="1175"/>
    </row>
    <row r="250" spans="1:18">
      <c r="A250" s="1029">
        <v>23</v>
      </c>
      <c r="B250" s="1021" t="s">
        <v>955</v>
      </c>
      <c r="D250" s="1046">
        <f>'Attachment 8 - Cap Structure'!F23</f>
        <v>0</v>
      </c>
      <c r="E250" s="1180">
        <f>IF($D$252&gt;0,D250/$D$252,0)</f>
        <v>0</v>
      </c>
      <c r="F250" s="1181"/>
      <c r="G250" s="1181">
        <f>IF(D250&gt;0,I244/D250,0)</f>
        <v>0</v>
      </c>
      <c r="I250" s="1181">
        <f>(G250*E250)</f>
        <v>0</v>
      </c>
      <c r="J250" s="1028"/>
      <c r="K250" s="1252"/>
      <c r="L250" s="1028"/>
      <c r="M250" s="1121"/>
      <c r="N250" s="1175"/>
      <c r="O250" s="1175"/>
      <c r="P250" s="1175"/>
      <c r="Q250" s="1175"/>
      <c r="R250" s="1175"/>
    </row>
    <row r="251" spans="1:18" ht="16.3" thickBot="1">
      <c r="A251" s="1029">
        <v>24</v>
      </c>
      <c r="B251" s="1021" t="s">
        <v>956</v>
      </c>
      <c r="D251" s="1107">
        <f>'Attachment 8 - Cap Structure'!J23</f>
        <v>719998034.69230771</v>
      </c>
      <c r="E251" s="1180">
        <v>0.6</v>
      </c>
      <c r="F251" s="1181"/>
      <c r="G251" s="1182">
        <v>0.10299999999999999</v>
      </c>
      <c r="I251" s="1183">
        <f>(G251*E251)</f>
        <v>6.1799999999999994E-2</v>
      </c>
      <c r="J251" s="1028"/>
      <c r="K251" s="1252"/>
      <c r="L251" s="1028"/>
      <c r="M251" s="1028"/>
    </row>
    <row r="252" spans="1:18">
      <c r="A252" s="1029">
        <v>25</v>
      </c>
      <c r="B252" s="1021" t="s">
        <v>670</v>
      </c>
      <c r="D252" s="1046">
        <f>SUM(D249:D251)</f>
        <v>1169898360.6923077</v>
      </c>
      <c r="E252" s="1028" t="s">
        <v>3</v>
      </c>
      <c r="F252" s="1028"/>
      <c r="G252" s="1184"/>
      <c r="H252" s="1028"/>
      <c r="I252" s="1181">
        <f>SUM(I249:I251)</f>
        <v>7.8639999999999988E-2</v>
      </c>
      <c r="J252" s="1163" t="s">
        <v>113</v>
      </c>
      <c r="K252" s="1252"/>
      <c r="L252" s="1028"/>
      <c r="M252" s="1028"/>
    </row>
    <row r="253" spans="1:18" ht="9.6999999999999993" customHeight="1">
      <c r="A253" s="1029"/>
      <c r="K253" s="1028"/>
      <c r="L253" s="1028"/>
      <c r="M253" s="1028"/>
    </row>
    <row r="254" spans="1:18">
      <c r="A254" s="1029"/>
      <c r="B254" s="1021" t="s">
        <v>114</v>
      </c>
      <c r="C254" s="1023"/>
      <c r="D254" s="1023"/>
      <c r="E254" s="1023"/>
      <c r="F254" s="1023"/>
      <c r="G254" s="1023"/>
      <c r="H254" s="1023"/>
      <c r="I254" s="1023"/>
      <c r="J254" s="1023"/>
      <c r="K254" s="1023"/>
      <c r="L254" s="1119"/>
      <c r="M254" s="1028"/>
    </row>
    <row r="255" spans="1:18">
      <c r="A255" s="1029"/>
      <c r="B255" s="1021" t="s">
        <v>115</v>
      </c>
      <c r="C255" s="1023"/>
      <c r="D255" s="1023" t="s">
        <v>116</v>
      </c>
      <c r="E255" s="1023" t="s">
        <v>117</v>
      </c>
      <c r="F255" s="1023"/>
      <c r="G255" s="1023" t="s">
        <v>3</v>
      </c>
      <c r="I255" s="1185"/>
      <c r="J255" s="1185"/>
      <c r="L255" s="1020"/>
      <c r="M255" s="1028"/>
    </row>
    <row r="256" spans="1:18">
      <c r="A256" s="1029">
        <v>26</v>
      </c>
      <c r="B256" s="1020" t="s">
        <v>317</v>
      </c>
      <c r="C256" s="1023"/>
      <c r="D256" s="1023"/>
      <c r="F256" s="1023"/>
      <c r="I256" s="1186">
        <v>0</v>
      </c>
      <c r="J256" s="1187"/>
      <c r="L256" s="1028"/>
      <c r="M256" s="1028"/>
    </row>
    <row r="257" spans="1:13" ht="16.3" thickBot="1">
      <c r="A257" s="1029">
        <v>27</v>
      </c>
      <c r="B257" s="1188" t="s">
        <v>318</v>
      </c>
      <c r="C257" s="1189"/>
      <c r="D257" s="1175"/>
      <c r="E257" s="1077"/>
      <c r="F257" s="1077"/>
      <c r="G257" s="1077"/>
      <c r="H257" s="1023"/>
      <c r="I257" s="1190">
        <v>0</v>
      </c>
      <c r="J257" s="1191"/>
      <c r="L257" s="1028"/>
      <c r="M257" s="1028"/>
    </row>
    <row r="258" spans="1:13">
      <c r="A258" s="1029">
        <v>28</v>
      </c>
      <c r="B258" s="1020" t="s">
        <v>118</v>
      </c>
      <c r="C258" s="1023"/>
      <c r="E258" s="1023"/>
      <c r="F258" s="1023"/>
      <c r="G258" s="1023"/>
      <c r="H258" s="1023"/>
      <c r="I258" s="1192">
        <f>+I256-I257</f>
        <v>0</v>
      </c>
      <c r="J258" s="1187"/>
      <c r="L258" s="1020"/>
      <c r="M258" s="1028"/>
    </row>
    <row r="259" spans="1:13">
      <c r="A259" s="1029"/>
      <c r="B259" s="1020" t="s">
        <v>3</v>
      </c>
      <c r="C259" s="1023"/>
      <c r="E259" s="1023"/>
      <c r="F259" s="1023"/>
      <c r="G259" s="1071"/>
      <c r="H259" s="1023"/>
      <c r="I259" s="1192"/>
      <c r="J259" s="1185"/>
      <c r="K259" s="1193"/>
      <c r="L259" s="1119"/>
      <c r="M259" s="1028"/>
    </row>
    <row r="260" spans="1:13">
      <c r="A260" s="1029">
        <v>29</v>
      </c>
      <c r="B260" s="1020" t="s">
        <v>353</v>
      </c>
      <c r="C260" s="1023"/>
      <c r="E260" s="1020" t="s">
        <v>1206</v>
      </c>
      <c r="F260" s="1023"/>
      <c r="G260" s="1071"/>
      <c r="H260" s="1023"/>
      <c r="I260" s="1192">
        <f>'Attachment 21 - Revenue Credits'!I11</f>
        <v>408</v>
      </c>
      <c r="J260" s="1185"/>
      <c r="K260" s="1193"/>
      <c r="L260" s="1130"/>
      <c r="M260" s="1028"/>
    </row>
    <row r="261" spans="1:13">
      <c r="A261" s="1029"/>
      <c r="C261" s="1023"/>
      <c r="F261" s="1023"/>
      <c r="G261" s="1071"/>
      <c r="H261" s="1023"/>
      <c r="I261" s="1192"/>
      <c r="J261" s="1185"/>
      <c r="K261" s="1193"/>
      <c r="L261" s="1130"/>
      <c r="M261" s="1028"/>
    </row>
    <row r="262" spans="1:13">
      <c r="A262" s="1029">
        <v>30</v>
      </c>
      <c r="B262" s="1021" t="s">
        <v>319</v>
      </c>
      <c r="C262" s="1023"/>
      <c r="E262" s="1020" t="s">
        <v>1207</v>
      </c>
      <c r="F262" s="1023"/>
      <c r="G262" s="1070"/>
      <c r="H262" s="1023"/>
      <c r="I262" s="1192">
        <f>'Attachment 21 - Revenue Credits'!I17</f>
        <v>3761087</v>
      </c>
      <c r="J262" s="1185"/>
      <c r="K262" s="1194"/>
      <c r="L262" s="1130"/>
      <c r="M262" s="1028"/>
    </row>
    <row r="263" spans="1:13" ht="15.85" customHeight="1">
      <c r="A263" s="1029"/>
      <c r="C263" s="1023"/>
      <c r="D263" s="1023"/>
      <c r="E263" s="1023"/>
      <c r="F263" s="1023"/>
      <c r="G263" s="1023"/>
      <c r="H263" s="1023"/>
      <c r="I263" s="1192"/>
      <c r="J263" s="1185"/>
      <c r="K263" s="1194"/>
      <c r="L263" s="1130"/>
      <c r="M263" s="1028"/>
    </row>
    <row r="264" spans="1:13">
      <c r="A264" s="1041">
        <v>31</v>
      </c>
      <c r="B264" s="1042" t="s">
        <v>713</v>
      </c>
      <c r="C264" s="1055"/>
      <c r="D264" s="1023"/>
      <c r="E264" s="1023" t="s">
        <v>1208</v>
      </c>
      <c r="F264" s="1023"/>
      <c r="G264" s="1023"/>
      <c r="H264" s="1023"/>
      <c r="I264" s="1195">
        <f>'Attachment 21 - Revenue Credits'!I23</f>
        <v>1440414</v>
      </c>
      <c r="K264" s="1196"/>
      <c r="L264" s="1130"/>
      <c r="M264" s="1023"/>
    </row>
    <row r="265" spans="1:13">
      <c r="B265" s="1077"/>
      <c r="C265" s="1077"/>
      <c r="D265" s="1028"/>
      <c r="E265" s="1028"/>
      <c r="F265" s="1028"/>
      <c r="G265" s="1028"/>
      <c r="H265" s="1028"/>
      <c r="J265" s="1197"/>
      <c r="K265" s="1196"/>
      <c r="L265" s="1162"/>
      <c r="M265" s="1023"/>
    </row>
    <row r="266" spans="1:13">
      <c r="A266" s="1029"/>
      <c r="B266" s="1076"/>
      <c r="C266" s="1077"/>
      <c r="D266" s="1077"/>
      <c r="E266" s="1077"/>
      <c r="F266" s="1077"/>
      <c r="G266" s="1023"/>
      <c r="H266" s="1023"/>
      <c r="I266" s="1198"/>
      <c r="K266" s="1199"/>
      <c r="L266" s="1162"/>
      <c r="M266" s="1023"/>
    </row>
    <row r="267" spans="1:13" ht="33.049999999999997" customHeight="1">
      <c r="A267" s="1257"/>
      <c r="B267" s="1311"/>
      <c r="C267" s="1312"/>
      <c r="D267" s="1312"/>
      <c r="E267" s="1312"/>
      <c r="F267" s="1312"/>
      <c r="G267" s="1312"/>
      <c r="H267" s="1312"/>
      <c r="I267" s="1312"/>
      <c r="J267" s="1312"/>
      <c r="K267" s="1312"/>
      <c r="L267" s="1029"/>
      <c r="M267" s="1023"/>
    </row>
    <row r="268" spans="1:13">
      <c r="A268" s="1029"/>
      <c r="B268" s="1200"/>
      <c r="C268" s="1075"/>
      <c r="D268" s="1028"/>
      <c r="E268" s="1028"/>
      <c r="F268" s="1028"/>
      <c r="G268" s="1028"/>
      <c r="H268" s="1023"/>
      <c r="I268" s="1201"/>
      <c r="J268" s="1197"/>
      <c r="K268" s="1201"/>
      <c r="L268" s="1029"/>
      <c r="M268" s="1023"/>
    </row>
    <row r="269" spans="1:13">
      <c r="A269" s="1029"/>
      <c r="B269" s="1202"/>
      <c r="C269" s="1029"/>
      <c r="D269" s="1028"/>
      <c r="E269" s="1028"/>
      <c r="F269" s="1028"/>
      <c r="G269" s="1028"/>
      <c r="H269" s="1023"/>
      <c r="I269" s="1201"/>
      <c r="J269" s="1197"/>
      <c r="K269" s="1201"/>
      <c r="L269" s="1029"/>
      <c r="M269" s="1023"/>
    </row>
    <row r="270" spans="1:13">
      <c r="A270" s="1029"/>
      <c r="B270" s="1202"/>
      <c r="C270" s="1029"/>
      <c r="D270" s="1028"/>
      <c r="E270" s="1028"/>
      <c r="F270" s="1028"/>
      <c r="G270" s="1028"/>
      <c r="H270" s="1023"/>
      <c r="I270" s="1201"/>
      <c r="J270" s="1197"/>
      <c r="K270" s="1201"/>
      <c r="L270" s="1029"/>
      <c r="M270" s="1023"/>
    </row>
    <row r="271" spans="1:13" s="1064" customFormat="1">
      <c r="A271" s="1041"/>
      <c r="B271" s="1203"/>
      <c r="C271" s="1041"/>
      <c r="D271" s="1027"/>
      <c r="E271" s="1027"/>
      <c r="F271" s="1027"/>
      <c r="G271" s="1027"/>
      <c r="H271" s="1055"/>
      <c r="I271" s="1201"/>
      <c r="J271" s="1204"/>
      <c r="K271" s="1201"/>
      <c r="L271" s="1041"/>
      <c r="M271" s="1055"/>
    </row>
    <row r="272" spans="1:13">
      <c r="A272" s="1122"/>
      <c r="B272" s="1021"/>
      <c r="C272" s="1028"/>
      <c r="D272" s="1121"/>
      <c r="E272" s="1028"/>
      <c r="F272" s="1028"/>
      <c r="G272" s="1108"/>
      <c r="H272" s="1028"/>
      <c r="I272" s="1121"/>
      <c r="J272" s="1027"/>
      <c r="K272" s="1123"/>
      <c r="L272" s="1020"/>
    </row>
    <row r="273" spans="1:13">
      <c r="A273" s="1122"/>
      <c r="B273" s="1042"/>
      <c r="C273" s="1028"/>
      <c r="D273" s="1121"/>
      <c r="E273" s="1028"/>
      <c r="F273" s="1028"/>
      <c r="G273" s="1108"/>
      <c r="H273" s="1028"/>
      <c r="I273" s="1121"/>
      <c r="J273" s="1028"/>
      <c r="K273" s="1123"/>
      <c r="L273" s="1020"/>
    </row>
    <row r="274" spans="1:13">
      <c r="B274" s="1021"/>
      <c r="C274" s="1021"/>
      <c r="D274" s="1022"/>
      <c r="E274" s="1021"/>
      <c r="F274" s="1021"/>
      <c r="G274" s="1021"/>
      <c r="H274" s="1023"/>
      <c r="I274" s="1029"/>
      <c r="J274" s="1029"/>
      <c r="K274" s="1024"/>
      <c r="L274" s="1023"/>
      <c r="M274" s="1023"/>
    </row>
    <row r="275" spans="1:13">
      <c r="B275" s="1021"/>
      <c r="C275" s="1021"/>
      <c r="D275" s="1022"/>
      <c r="E275" s="1021"/>
      <c r="F275" s="1021"/>
      <c r="G275" s="1021"/>
      <c r="H275" s="1023"/>
      <c r="I275" s="1024"/>
      <c r="J275" s="1024"/>
      <c r="K275" s="1024"/>
      <c r="L275" s="1023"/>
      <c r="M275" s="1023"/>
    </row>
    <row r="276" spans="1:13" ht="16.45" customHeight="1">
      <c r="B276" s="1021"/>
      <c r="C276" s="1021"/>
      <c r="D276" s="1022"/>
      <c r="E276" s="1021"/>
      <c r="F276" s="1021"/>
      <c r="G276" s="1021"/>
      <c r="H276" s="1023"/>
      <c r="I276" s="1023"/>
      <c r="K276" s="1024" t="str">
        <f>K202</f>
        <v>Attachment  H-28A</v>
      </c>
      <c r="L276" s="1023"/>
      <c r="M276" s="1023"/>
    </row>
    <row r="277" spans="1:13" ht="16.45" customHeight="1">
      <c r="B277" s="1021"/>
      <c r="C277" s="1021"/>
      <c r="D277" s="1022"/>
      <c r="E277" s="1021"/>
      <c r="F277" s="1021"/>
      <c r="G277" s="1021"/>
      <c r="H277" s="1023"/>
      <c r="I277" s="1023"/>
      <c r="J277" s="1023"/>
      <c r="K277" s="1024" t="s">
        <v>119</v>
      </c>
      <c r="L277" s="1023"/>
      <c r="M277" s="1023"/>
    </row>
    <row r="278" spans="1:13" ht="16.45" customHeight="1">
      <c r="B278" s="1021"/>
      <c r="C278" s="1021"/>
      <c r="D278" s="1022"/>
      <c r="E278" s="1021"/>
      <c r="F278" s="1021"/>
      <c r="G278" s="1021"/>
      <c r="H278" s="1023"/>
      <c r="I278" s="1023"/>
      <c r="J278" s="1023"/>
      <c r="K278" s="1024"/>
      <c r="L278" s="1023"/>
      <c r="M278" s="1023"/>
    </row>
    <row r="279" spans="1:13">
      <c r="B279" s="1021" t="s">
        <v>1</v>
      </c>
      <c r="C279" s="1021"/>
      <c r="D279" s="1022" t="s">
        <v>2</v>
      </c>
      <c r="E279" s="1021"/>
      <c r="F279" s="1021"/>
      <c r="G279" s="1021"/>
      <c r="H279" s="1055"/>
      <c r="I279" s="1064"/>
      <c r="J279" s="1055"/>
      <c r="K279" s="1094" t="str">
        <f>K4</f>
        <v>For the 12 months ended 12/31/2019</v>
      </c>
      <c r="L279" s="1023"/>
      <c r="M279" s="1023"/>
    </row>
    <row r="280" spans="1:13">
      <c r="B280" s="1021"/>
      <c r="C280" s="1028" t="s">
        <v>3</v>
      </c>
      <c r="D280" s="1028" t="s">
        <v>4</v>
      </c>
      <c r="E280" s="1028"/>
      <c r="F280" s="1028"/>
      <c r="G280" s="1028"/>
      <c r="H280" s="1023"/>
      <c r="I280" s="1023"/>
      <c r="J280" s="1023"/>
      <c r="K280" s="1023"/>
      <c r="L280" s="1023"/>
      <c r="M280" s="1023"/>
    </row>
    <row r="281" spans="1:13">
      <c r="A281" s="1029"/>
      <c r="B281" s="1202"/>
      <c r="C281" s="1029"/>
      <c r="D281" s="1028"/>
      <c r="E281" s="1028"/>
      <c r="F281" s="1028"/>
      <c r="G281" s="1028"/>
      <c r="H281" s="1023"/>
      <c r="I281" s="1205"/>
      <c r="J281" s="1185"/>
      <c r="K281" s="1204"/>
      <c r="L281" s="1029"/>
      <c r="M281" s="1023"/>
    </row>
    <row r="282" spans="1:13">
      <c r="A282" s="1029"/>
      <c r="B282" s="1202"/>
      <c r="C282" s="1029"/>
      <c r="D282" s="1028" t="str">
        <f>D7</f>
        <v>Mid-Atlantic Interstate Transmission, LLC</v>
      </c>
      <c r="E282" s="1028"/>
      <c r="F282" s="1028"/>
      <c r="G282" s="1028"/>
      <c r="H282" s="1023"/>
      <c r="I282" s="1205"/>
      <c r="J282" s="1185"/>
      <c r="K282" s="1204"/>
      <c r="L282" s="1029"/>
      <c r="M282" s="1023"/>
    </row>
    <row r="283" spans="1:13">
      <c r="A283" s="1029"/>
      <c r="B283" s="1202"/>
      <c r="C283" s="1029"/>
      <c r="D283" s="1028"/>
      <c r="E283" s="1028"/>
      <c r="F283" s="1028"/>
      <c r="G283" s="1028"/>
      <c r="H283" s="1023"/>
      <c r="I283" s="1205"/>
      <c r="J283" s="1185"/>
      <c r="K283" s="1204"/>
      <c r="L283" s="1029"/>
      <c r="M283" s="1023"/>
    </row>
    <row r="284" spans="1:13">
      <c r="A284" s="1029"/>
      <c r="B284" s="1021" t="s">
        <v>120</v>
      </c>
      <c r="C284" s="1029"/>
      <c r="D284" s="1028"/>
      <c r="E284" s="1028"/>
      <c r="F284" s="1028"/>
      <c r="G284" s="1028"/>
      <c r="H284" s="1023"/>
      <c r="I284" s="1028"/>
      <c r="J284" s="1023"/>
      <c r="K284" s="1028"/>
      <c r="L284" s="1029"/>
      <c r="M284" s="1023"/>
    </row>
    <row r="285" spans="1:13">
      <c r="A285" s="1029"/>
      <c r="B285" s="1206" t="s">
        <v>166</v>
      </c>
      <c r="C285" s="1029"/>
      <c r="D285" s="1028"/>
      <c r="E285" s="1028"/>
      <c r="F285" s="1028"/>
      <c r="G285" s="1028"/>
      <c r="H285" s="1023"/>
      <c r="I285" s="1028"/>
      <c r="J285" s="1023"/>
      <c r="K285" s="1028"/>
      <c r="L285" s="1029"/>
      <c r="M285" s="1023"/>
    </row>
    <row r="286" spans="1:13">
      <c r="A286" s="1029" t="s">
        <v>121</v>
      </c>
      <c r="B286" s="1021"/>
      <c r="C286" s="1023"/>
      <c r="D286" s="1028"/>
      <c r="E286" s="1028"/>
      <c r="F286" s="1028"/>
      <c r="G286" s="1028"/>
      <c r="H286" s="1023"/>
      <c r="I286" s="1028"/>
      <c r="J286" s="1023"/>
      <c r="K286" s="1028"/>
      <c r="L286" s="1029"/>
      <c r="M286" s="1023"/>
    </row>
    <row r="287" spans="1:13" ht="16.3" thickBot="1">
      <c r="A287" s="1034" t="s">
        <v>122</v>
      </c>
      <c r="B287" s="1021"/>
      <c r="C287" s="1023"/>
      <c r="D287" s="1028"/>
      <c r="E287" s="1028"/>
      <c r="F287" s="1028"/>
      <c r="G287" s="1028"/>
      <c r="H287" s="1023"/>
      <c r="I287" s="1028"/>
      <c r="J287" s="1023"/>
      <c r="K287" s="1028"/>
      <c r="L287" s="1029"/>
      <c r="M287" s="1023"/>
    </row>
    <row r="288" spans="1:13" ht="20.2" customHeight="1">
      <c r="A288" s="1207" t="s">
        <v>123</v>
      </c>
      <c r="B288" s="1306" t="s">
        <v>949</v>
      </c>
      <c r="C288" s="1306"/>
      <c r="D288" s="1306"/>
      <c r="E288" s="1306"/>
      <c r="F288" s="1306"/>
      <c r="G288" s="1306"/>
      <c r="H288" s="1306"/>
      <c r="I288" s="1306"/>
      <c r="J288" s="1306"/>
      <c r="K288" s="1306"/>
      <c r="L288" s="1041"/>
      <c r="M288" s="1055"/>
    </row>
    <row r="289" spans="1:13" ht="16.45" customHeight="1">
      <c r="A289" s="1207" t="s">
        <v>124</v>
      </c>
      <c r="B289" s="1307" t="s">
        <v>891</v>
      </c>
      <c r="C289" s="1307"/>
      <c r="D289" s="1307"/>
      <c r="E289" s="1307"/>
      <c r="F289" s="1307"/>
      <c r="G289" s="1307"/>
      <c r="H289" s="1307"/>
      <c r="I289" s="1307"/>
      <c r="J289" s="1307"/>
      <c r="K289" s="1307"/>
      <c r="L289" s="1041"/>
      <c r="M289" s="1055"/>
    </row>
    <row r="290" spans="1:13" ht="65.3" customHeight="1">
      <c r="A290" s="1207" t="s">
        <v>125</v>
      </c>
      <c r="B290" s="1306" t="s">
        <v>1258</v>
      </c>
      <c r="C290" s="1306"/>
      <c r="D290" s="1306"/>
      <c r="E290" s="1306"/>
      <c r="F290" s="1306"/>
      <c r="G290" s="1306"/>
      <c r="H290" s="1306"/>
      <c r="I290" s="1306"/>
      <c r="J290" s="1306"/>
      <c r="K290" s="1306"/>
      <c r="L290" s="1208"/>
      <c r="M290" s="1055"/>
    </row>
    <row r="291" spans="1:13" ht="32.25" customHeight="1">
      <c r="A291" s="1207" t="s">
        <v>126</v>
      </c>
      <c r="B291" s="1308" t="s">
        <v>1259</v>
      </c>
      <c r="C291" s="1308"/>
      <c r="D291" s="1308"/>
      <c r="E291" s="1308"/>
      <c r="F291" s="1308"/>
      <c r="G291" s="1308"/>
      <c r="H291" s="1308"/>
      <c r="I291" s="1308"/>
      <c r="J291" s="1308"/>
      <c r="K291" s="1308"/>
      <c r="L291" s="1152"/>
      <c r="M291" s="1055"/>
    </row>
    <row r="292" spans="1:13" ht="48.05" customHeight="1">
      <c r="A292" s="1207" t="s">
        <v>127</v>
      </c>
      <c r="B292" s="1308" t="s">
        <v>519</v>
      </c>
      <c r="C292" s="1308"/>
      <c r="D292" s="1308"/>
      <c r="E292" s="1308"/>
      <c r="F292" s="1308"/>
      <c r="G292" s="1308"/>
      <c r="H292" s="1308"/>
      <c r="I292" s="1308"/>
      <c r="J292" s="1308"/>
      <c r="K292" s="1308"/>
      <c r="L292" s="1125"/>
      <c r="M292" s="1055"/>
    </row>
    <row r="293" spans="1:13" ht="38.200000000000003" customHeight="1">
      <c r="A293" s="1207" t="s">
        <v>128</v>
      </c>
      <c r="B293" s="1306" t="s">
        <v>595</v>
      </c>
      <c r="C293" s="1306"/>
      <c r="D293" s="1306"/>
      <c r="E293" s="1306"/>
      <c r="F293" s="1306"/>
      <c r="G293" s="1306"/>
      <c r="H293" s="1306"/>
      <c r="I293" s="1306"/>
      <c r="J293" s="1306"/>
      <c r="K293" s="1306"/>
      <c r="L293" s="1041"/>
      <c r="M293" s="1055"/>
    </row>
    <row r="294" spans="1:13">
      <c r="A294" s="1207" t="s">
        <v>129</v>
      </c>
      <c r="B294" s="1306" t="s">
        <v>130</v>
      </c>
      <c r="C294" s="1306"/>
      <c r="D294" s="1306"/>
      <c r="E294" s="1306"/>
      <c r="F294" s="1306"/>
      <c r="G294" s="1306"/>
      <c r="H294" s="1306"/>
      <c r="I294" s="1306"/>
      <c r="J294" s="1306"/>
      <c r="K294" s="1306"/>
      <c r="L294" s="1041"/>
      <c r="M294" s="1055"/>
    </row>
    <row r="295" spans="1:13" ht="32.25" customHeight="1">
      <c r="A295" s="1209" t="s">
        <v>131</v>
      </c>
      <c r="B295" s="1306" t="s">
        <v>933</v>
      </c>
      <c r="C295" s="1306"/>
      <c r="D295" s="1306"/>
      <c r="E295" s="1306"/>
      <c r="F295" s="1306"/>
      <c r="G295" s="1306"/>
      <c r="H295" s="1306"/>
      <c r="I295" s="1306"/>
      <c r="J295" s="1306"/>
      <c r="K295" s="1306"/>
      <c r="L295" s="1041"/>
      <c r="M295" s="1055"/>
    </row>
    <row r="296" spans="1:13" ht="32.25" customHeight="1">
      <c r="A296" s="1207" t="s">
        <v>132</v>
      </c>
      <c r="B296" s="1306" t="s">
        <v>735</v>
      </c>
      <c r="C296" s="1306"/>
      <c r="D296" s="1306"/>
      <c r="E296" s="1306"/>
      <c r="F296" s="1306"/>
      <c r="G296" s="1306"/>
      <c r="H296" s="1306"/>
      <c r="I296" s="1306"/>
      <c r="J296" s="1306"/>
      <c r="K296" s="1306"/>
      <c r="L296" s="1041"/>
      <c r="M296" s="1055"/>
    </row>
    <row r="297" spans="1:13" ht="32.25" customHeight="1">
      <c r="A297" s="1207" t="s">
        <v>133</v>
      </c>
      <c r="B297" s="1306" t="s">
        <v>187</v>
      </c>
      <c r="C297" s="1306"/>
      <c r="D297" s="1306"/>
      <c r="E297" s="1306"/>
      <c r="F297" s="1306"/>
      <c r="G297" s="1306"/>
      <c r="H297" s="1306"/>
      <c r="I297" s="1306"/>
      <c r="J297" s="1306"/>
      <c r="K297" s="1306"/>
      <c r="L297" s="1041"/>
      <c r="M297" s="1055"/>
    </row>
    <row r="298" spans="1:13" ht="77.95" customHeight="1">
      <c r="A298" s="1207" t="s">
        <v>134</v>
      </c>
      <c r="B298" s="1306" t="s">
        <v>890</v>
      </c>
      <c r="C298" s="1306"/>
      <c r="D298" s="1306"/>
      <c r="E298" s="1306"/>
      <c r="F298" s="1306"/>
      <c r="G298" s="1306"/>
      <c r="H298" s="1306"/>
      <c r="I298" s="1306"/>
      <c r="J298" s="1306"/>
      <c r="K298" s="1306"/>
      <c r="L298" s="1041"/>
      <c r="M298" s="1055"/>
    </row>
    <row r="299" spans="1:13">
      <c r="A299" s="1207" t="s">
        <v>3</v>
      </c>
      <c r="B299" s="1210" t="s">
        <v>186</v>
      </c>
      <c r="C299" s="1211" t="s">
        <v>135</v>
      </c>
      <c r="D299" s="1212">
        <f>'Attachment 19 - Tax Rates'!D7</f>
        <v>0.21</v>
      </c>
      <c r="E299" s="1306"/>
      <c r="F299" s="1306"/>
      <c r="G299" s="1306"/>
      <c r="H299" s="1306"/>
      <c r="I299" s="1306"/>
      <c r="J299" s="1306"/>
      <c r="K299" s="1306"/>
      <c r="L299" s="1041"/>
      <c r="M299" s="1055"/>
    </row>
    <row r="300" spans="1:13">
      <c r="A300" s="1207"/>
      <c r="B300" s="1211"/>
      <c r="C300" s="1211" t="s">
        <v>136</v>
      </c>
      <c r="D300" s="1212">
        <f>'Attachment 19 - Tax Rates'!E17</f>
        <v>9.9900000000000003E-2</v>
      </c>
      <c r="E300" s="1306" t="s">
        <v>320</v>
      </c>
      <c r="F300" s="1306"/>
      <c r="G300" s="1306"/>
      <c r="H300" s="1306"/>
      <c r="I300" s="1306"/>
      <c r="J300" s="1306"/>
      <c r="K300" s="1306"/>
      <c r="L300" s="1041"/>
      <c r="M300" s="1055"/>
    </row>
    <row r="301" spans="1:13">
      <c r="A301" s="1207"/>
      <c r="B301" s="1211"/>
      <c r="C301" s="1211" t="s">
        <v>137</v>
      </c>
      <c r="D301" s="1213"/>
      <c r="E301" s="1306" t="s">
        <v>321</v>
      </c>
      <c r="F301" s="1306"/>
      <c r="G301" s="1306"/>
      <c r="H301" s="1306"/>
      <c r="I301" s="1306"/>
      <c r="J301" s="1306"/>
      <c r="K301" s="1306"/>
      <c r="L301" s="1041"/>
      <c r="M301" s="1055"/>
    </row>
    <row r="302" spans="1:13" s="1064" customFormat="1" ht="34.450000000000003" customHeight="1">
      <c r="A302" s="1209" t="s">
        <v>138</v>
      </c>
      <c r="B302" s="1306" t="s">
        <v>1264</v>
      </c>
      <c r="C302" s="1306"/>
      <c r="D302" s="1306"/>
      <c r="E302" s="1306"/>
      <c r="F302" s="1306"/>
      <c r="G302" s="1306"/>
      <c r="H302" s="1306"/>
      <c r="I302" s="1306"/>
      <c r="J302" s="1306"/>
      <c r="K302" s="1306"/>
      <c r="L302" s="1041"/>
      <c r="M302" s="1055"/>
    </row>
    <row r="303" spans="1:13" s="1064" customFormat="1" ht="32.25" customHeight="1">
      <c r="A303" s="1209" t="s">
        <v>139</v>
      </c>
      <c r="B303" s="1306" t="s">
        <v>1008</v>
      </c>
      <c r="C303" s="1306"/>
      <c r="D303" s="1306"/>
      <c r="E303" s="1306"/>
      <c r="F303" s="1306"/>
      <c r="G303" s="1306"/>
      <c r="H303" s="1306"/>
      <c r="I303" s="1306"/>
      <c r="J303" s="1306"/>
      <c r="K303" s="1306"/>
      <c r="L303" s="1041"/>
      <c r="M303" s="1055"/>
    </row>
    <row r="304" spans="1:13" s="1064" customFormat="1" ht="48.05" customHeight="1">
      <c r="A304" s="1209" t="s">
        <v>140</v>
      </c>
      <c r="B304" s="1306" t="s">
        <v>344</v>
      </c>
      <c r="C304" s="1306"/>
      <c r="D304" s="1306"/>
      <c r="E304" s="1306"/>
      <c r="F304" s="1306"/>
      <c r="G304" s="1306"/>
      <c r="H304" s="1306"/>
      <c r="I304" s="1306"/>
      <c r="J304" s="1306"/>
      <c r="K304" s="1306"/>
      <c r="L304" s="1041"/>
      <c r="M304" s="1055"/>
    </row>
    <row r="305" spans="1:13" s="1064" customFormat="1">
      <c r="A305" s="1209" t="s">
        <v>141</v>
      </c>
      <c r="B305" s="1306" t="s">
        <v>142</v>
      </c>
      <c r="C305" s="1306"/>
      <c r="D305" s="1306"/>
      <c r="E305" s="1306"/>
      <c r="F305" s="1306"/>
      <c r="G305" s="1306"/>
      <c r="H305" s="1306"/>
      <c r="I305" s="1306"/>
      <c r="J305" s="1306"/>
      <c r="K305" s="1306"/>
      <c r="L305" s="1041"/>
      <c r="M305" s="1055"/>
    </row>
    <row r="306" spans="1:13" s="1064" customFormat="1" ht="67.5" customHeight="1">
      <c r="A306" s="1209" t="s">
        <v>143</v>
      </c>
      <c r="B306" s="1306" t="s">
        <v>1262</v>
      </c>
      <c r="C306" s="1306"/>
      <c r="D306" s="1306"/>
      <c r="E306" s="1306"/>
      <c r="F306" s="1306"/>
      <c r="G306" s="1306"/>
      <c r="H306" s="1306"/>
      <c r="I306" s="1306"/>
      <c r="J306" s="1306"/>
      <c r="K306" s="1306"/>
      <c r="L306" s="1125"/>
      <c r="M306" s="1055"/>
    </row>
    <row r="307" spans="1:13" s="1064" customFormat="1" ht="23.35" customHeight="1">
      <c r="A307" s="1209" t="s">
        <v>144</v>
      </c>
      <c r="B307" s="1306" t="s">
        <v>678</v>
      </c>
      <c r="C307" s="1306"/>
      <c r="D307" s="1306"/>
      <c r="E307" s="1306"/>
      <c r="F307" s="1306"/>
      <c r="G307" s="1306"/>
      <c r="H307" s="1306"/>
      <c r="I307" s="1306"/>
      <c r="J307" s="1306"/>
      <c r="K307" s="1306"/>
      <c r="L307" s="1041"/>
      <c r="M307" s="1055"/>
    </row>
    <row r="308" spans="1:13" s="1064" customFormat="1">
      <c r="A308" s="1209" t="s">
        <v>145</v>
      </c>
      <c r="B308" s="1306" t="s">
        <v>146</v>
      </c>
      <c r="C308" s="1306"/>
      <c r="D308" s="1306"/>
      <c r="E308" s="1306"/>
      <c r="F308" s="1306"/>
      <c r="G308" s="1306"/>
      <c r="H308" s="1306"/>
      <c r="I308" s="1306"/>
      <c r="J308" s="1306"/>
      <c r="K308" s="1306"/>
      <c r="L308" s="1041"/>
      <c r="M308" s="1055"/>
    </row>
    <row r="309" spans="1:13" s="1064" customFormat="1" ht="20.2" customHeight="1">
      <c r="A309" s="1209" t="s">
        <v>147</v>
      </c>
      <c r="B309" s="1306" t="s">
        <v>354</v>
      </c>
      <c r="C309" s="1306"/>
      <c r="D309" s="1306"/>
      <c r="E309" s="1306"/>
      <c r="F309" s="1306"/>
      <c r="G309" s="1306"/>
      <c r="H309" s="1306"/>
      <c r="I309" s="1306"/>
      <c r="J309" s="1306"/>
      <c r="K309" s="1306"/>
      <c r="L309" s="1041"/>
      <c r="M309" s="1055"/>
    </row>
    <row r="310" spans="1:13" s="1064" customFormat="1" ht="53.25" customHeight="1">
      <c r="A310" s="1214" t="s">
        <v>148</v>
      </c>
      <c r="B310" s="1306" t="s">
        <v>679</v>
      </c>
      <c r="C310" s="1306"/>
      <c r="D310" s="1306"/>
      <c r="E310" s="1306"/>
      <c r="F310" s="1306"/>
      <c r="G310" s="1306"/>
      <c r="H310" s="1306"/>
      <c r="I310" s="1306"/>
      <c r="J310" s="1306"/>
      <c r="K310" s="1306"/>
      <c r="L310" s="1055"/>
      <c r="M310" s="1055"/>
    </row>
    <row r="311" spans="1:13" s="1064" customFormat="1" ht="15.85" customHeight="1">
      <c r="A311" s="1214" t="s">
        <v>149</v>
      </c>
      <c r="B311" s="1306" t="s">
        <v>322</v>
      </c>
      <c r="C311" s="1306"/>
      <c r="D311" s="1306"/>
      <c r="E311" s="1306"/>
      <c r="F311" s="1306"/>
      <c r="G311" s="1306"/>
      <c r="H311" s="1306"/>
      <c r="I311" s="1306"/>
      <c r="J311" s="1306"/>
      <c r="K311" s="1306"/>
      <c r="L311" s="1055"/>
      <c r="M311" s="1055"/>
    </row>
    <row r="312" spans="1:13" s="1064" customFormat="1" ht="33.049999999999997" customHeight="1">
      <c r="A312" s="1214" t="s">
        <v>150</v>
      </c>
      <c r="B312" s="1306" t="s">
        <v>1007</v>
      </c>
      <c r="C312" s="1306"/>
      <c r="D312" s="1306"/>
      <c r="E312" s="1306"/>
      <c r="F312" s="1306"/>
      <c r="G312" s="1306"/>
      <c r="H312" s="1306"/>
      <c r="I312" s="1306"/>
      <c r="J312" s="1306"/>
      <c r="K312" s="1306"/>
      <c r="L312" s="1215"/>
    </row>
    <row r="313" spans="1:13" s="1064" customFormat="1" ht="15.85" customHeight="1">
      <c r="A313" s="1214" t="s">
        <v>151</v>
      </c>
      <c r="B313" s="1309" t="s">
        <v>163</v>
      </c>
      <c r="C313" s="1309"/>
      <c r="D313" s="1309"/>
      <c r="E313" s="1309"/>
      <c r="F313" s="1309"/>
      <c r="G313" s="1309"/>
      <c r="H313" s="1309"/>
      <c r="I313" s="1309"/>
      <c r="J313" s="1309"/>
      <c r="K313" s="1309"/>
      <c r="L313" s="1216"/>
    </row>
    <row r="314" spans="1:13" s="1064" customFormat="1" ht="15.85" customHeight="1">
      <c r="A314" s="1214" t="s">
        <v>159</v>
      </c>
      <c r="B314" s="1306" t="s">
        <v>323</v>
      </c>
      <c r="C314" s="1306"/>
      <c r="D314" s="1306"/>
      <c r="E314" s="1306"/>
      <c r="F314" s="1306"/>
      <c r="G314" s="1306"/>
      <c r="H314" s="1306"/>
      <c r="I314" s="1306"/>
      <c r="J314" s="1306"/>
      <c r="K314" s="1306"/>
      <c r="L314" s="1216"/>
    </row>
    <row r="315" spans="1:13" s="1064" customFormat="1" ht="15.85" customHeight="1">
      <c r="A315" s="1214" t="s">
        <v>160</v>
      </c>
      <c r="B315" s="1306" t="s">
        <v>324</v>
      </c>
      <c r="C315" s="1306"/>
      <c r="D315" s="1306"/>
      <c r="E315" s="1306"/>
      <c r="F315" s="1306"/>
      <c r="G315" s="1306"/>
      <c r="H315" s="1306"/>
      <c r="I315" s="1306"/>
      <c r="J315" s="1306"/>
      <c r="K315" s="1306"/>
      <c r="L315" s="1216"/>
    </row>
    <row r="316" spans="1:13" s="1064" customFormat="1" ht="19.600000000000001" customHeight="1">
      <c r="A316" s="1214" t="s">
        <v>754</v>
      </c>
      <c r="B316" s="1315" t="s">
        <v>755</v>
      </c>
      <c r="C316" s="1315"/>
      <c r="D316" s="1315"/>
      <c r="E316" s="1315"/>
      <c r="F316" s="1315"/>
      <c r="G316" s="1315"/>
      <c r="H316" s="1315"/>
      <c r="I316" s="1315"/>
      <c r="J316" s="1315"/>
      <c r="K316" s="1315"/>
      <c r="L316" s="1216"/>
    </row>
    <row r="317" spans="1:13" s="1064" customFormat="1" ht="15.85" customHeight="1">
      <c r="A317" s="1217" t="s">
        <v>756</v>
      </c>
      <c r="B317" s="1316" t="s">
        <v>758</v>
      </c>
      <c r="C317" s="1316"/>
      <c r="D317" s="1316"/>
      <c r="E317" s="1316"/>
      <c r="F317" s="1316"/>
      <c r="G317" s="1316"/>
      <c r="H317" s="1316"/>
      <c r="I317" s="1316"/>
      <c r="J317" s="1316"/>
      <c r="K317" s="1316"/>
      <c r="L317" s="1216"/>
    </row>
    <row r="318" spans="1:13" ht="36" customHeight="1">
      <c r="A318" s="1218" t="s">
        <v>757</v>
      </c>
      <c r="B318" s="1316" t="s">
        <v>753</v>
      </c>
      <c r="C318" s="1316"/>
      <c r="D318" s="1316"/>
      <c r="E318" s="1316"/>
      <c r="F318" s="1316"/>
      <c r="G318" s="1316"/>
      <c r="H318" s="1316"/>
      <c r="I318" s="1316"/>
      <c r="J318" s="1316"/>
      <c r="K318" s="1316"/>
      <c r="L318" s="1020"/>
    </row>
    <row r="319" spans="1:13" ht="31.5" customHeight="1">
      <c r="A319" s="1218" t="s">
        <v>948</v>
      </c>
      <c r="B319" s="1308" t="s">
        <v>983</v>
      </c>
      <c r="C319" s="1308"/>
      <c r="D319" s="1308"/>
      <c r="E319" s="1308"/>
      <c r="F319" s="1308"/>
      <c r="G319" s="1308"/>
      <c r="H319" s="1308"/>
      <c r="I319" s="1308"/>
      <c r="J319" s="1308"/>
      <c r="K319" s="1308"/>
      <c r="L319" s="1219"/>
    </row>
    <row r="320" spans="1:13" ht="18" customHeight="1">
      <c r="A320" s="1218" t="s">
        <v>989</v>
      </c>
      <c r="B320" s="1316" t="s">
        <v>996</v>
      </c>
      <c r="C320" s="1316"/>
      <c r="D320" s="1316"/>
      <c r="E320" s="1316"/>
      <c r="F320" s="1316"/>
      <c r="G320" s="1316"/>
      <c r="H320" s="1316"/>
      <c r="I320" s="1316"/>
      <c r="J320" s="1316"/>
      <c r="K320" s="1316"/>
      <c r="L320" s="1020"/>
    </row>
    <row r="321" spans="1:11">
      <c r="A321" s="1103"/>
      <c r="B321" s="1220"/>
      <c r="C321" s="1035"/>
      <c r="D321" s="1221"/>
      <c r="E321" s="1064"/>
      <c r="F321" s="1091"/>
      <c r="G321" s="1042"/>
      <c r="H321" s="1055"/>
      <c r="I321" s="1064"/>
      <c r="J321" s="1064"/>
      <c r="K321" s="1094"/>
    </row>
    <row r="322" spans="1:11" ht="36" customHeight="1">
      <c r="A322" s="1103"/>
      <c r="B322" s="1222"/>
      <c r="C322" s="1222"/>
      <c r="D322" s="1222"/>
      <c r="E322" s="1222"/>
      <c r="F322" s="1222"/>
      <c r="G322" s="1222"/>
      <c r="H322" s="1222"/>
      <c r="I322" s="1222"/>
      <c r="J322" s="1222"/>
      <c r="K322" s="1222"/>
    </row>
    <row r="323" spans="1:11" ht="47.3" customHeight="1">
      <c r="A323" s="1103"/>
      <c r="B323" s="1222"/>
      <c r="C323" s="1222"/>
      <c r="D323" s="1222"/>
      <c r="E323" s="1222"/>
      <c r="F323" s="1222"/>
      <c r="G323" s="1222"/>
      <c r="H323" s="1222"/>
      <c r="I323" s="1222"/>
      <c r="J323" s="1222"/>
      <c r="K323" s="1222"/>
    </row>
    <row r="324" spans="1:11">
      <c r="A324" s="1064"/>
      <c r="B324" s="1042"/>
      <c r="C324" s="1042"/>
      <c r="D324" s="1125"/>
      <c r="E324" s="1042"/>
      <c r="F324" s="1042"/>
      <c r="G324" s="1042"/>
      <c r="H324" s="1055"/>
      <c r="I324" s="1055"/>
      <c r="J324" s="1064"/>
      <c r="K324" s="1064"/>
    </row>
    <row r="325" spans="1:11">
      <c r="A325" s="1064"/>
      <c r="B325" s="1042"/>
      <c r="C325" s="1125"/>
      <c r="D325" s="1064"/>
      <c r="E325" s="1042"/>
      <c r="F325" s="1042"/>
      <c r="G325" s="1055"/>
      <c r="H325" s="1064"/>
      <c r="I325" s="1064"/>
      <c r="J325" s="1064"/>
      <c r="K325" s="1064"/>
    </row>
    <row r="326" spans="1:11">
      <c r="A326" s="1064"/>
      <c r="B326" s="1042"/>
      <c r="C326" s="1027"/>
      <c r="D326" s="1064"/>
      <c r="E326" s="1027"/>
      <c r="F326" s="1027"/>
      <c r="G326" s="1027"/>
      <c r="H326" s="1055"/>
      <c r="I326" s="1055"/>
      <c r="J326" s="1064"/>
      <c r="K326" s="1064"/>
    </row>
    <row r="327" spans="1:11">
      <c r="A327" s="1064"/>
      <c r="B327" s="1055"/>
      <c r="C327" s="1055"/>
      <c r="D327" s="1055"/>
      <c r="E327" s="1055"/>
      <c r="F327" s="1055"/>
      <c r="G327" s="1055"/>
      <c r="H327" s="1055"/>
      <c r="I327" s="1055"/>
      <c r="J327" s="1064"/>
      <c r="K327" s="1064"/>
    </row>
    <row r="328" spans="1:11">
      <c r="A328" s="1041"/>
      <c r="B328" s="1064"/>
      <c r="C328" s="1223"/>
      <c r="D328" s="1064"/>
      <c r="E328" s="1055"/>
      <c r="F328" s="1055"/>
      <c r="G328" s="1055"/>
      <c r="H328" s="1055"/>
      <c r="I328" s="1055"/>
      <c r="J328" s="1064"/>
      <c r="K328" s="1064"/>
    </row>
    <row r="329" spans="1:11">
      <c r="A329" s="1041"/>
      <c r="B329" s="1064"/>
      <c r="C329" s="1055"/>
      <c r="D329" s="1030"/>
      <c r="E329" s="1055"/>
      <c r="F329" s="1055"/>
      <c r="G329" s="1055"/>
      <c r="H329" s="1055"/>
      <c r="I329" s="1055"/>
      <c r="J329" s="1064"/>
      <c r="K329" s="1064"/>
    </row>
    <row r="330" spans="1:11">
      <c r="A330" s="1041"/>
      <c r="B330" s="1310"/>
      <c r="C330" s="1310"/>
      <c r="D330" s="1310"/>
      <c r="E330" s="1310"/>
      <c r="F330" s="1310"/>
      <c r="G330" s="1310"/>
      <c r="H330" s="1310"/>
      <c r="I330" s="1310"/>
      <c r="J330" s="1310"/>
      <c r="K330" s="1310"/>
    </row>
    <row r="331" spans="1:11">
      <c r="A331" s="1041"/>
      <c r="B331" s="1310"/>
      <c r="C331" s="1310"/>
      <c r="D331" s="1310"/>
      <c r="E331" s="1310"/>
      <c r="F331" s="1310"/>
      <c r="G331" s="1310"/>
      <c r="H331" s="1310"/>
      <c r="I331" s="1310"/>
      <c r="J331" s="1310"/>
      <c r="K331" s="1310"/>
    </row>
    <row r="332" spans="1:11">
      <c r="A332" s="1041"/>
      <c r="B332" s="1310"/>
      <c r="C332" s="1310"/>
      <c r="D332" s="1310"/>
      <c r="E332" s="1310"/>
      <c r="F332" s="1310"/>
      <c r="G332" s="1310"/>
      <c r="H332" s="1310"/>
      <c r="I332" s="1310"/>
      <c r="J332" s="1310"/>
      <c r="K332" s="1310"/>
    </row>
    <row r="333" spans="1:11">
      <c r="A333" s="1041"/>
      <c r="B333" s="1310"/>
      <c r="C333" s="1310"/>
      <c r="D333" s="1310"/>
      <c r="E333" s="1310"/>
      <c r="F333" s="1310"/>
      <c r="G333" s="1310"/>
      <c r="H333" s="1310"/>
      <c r="I333" s="1310"/>
      <c r="J333" s="1310"/>
      <c r="K333" s="1310"/>
    </row>
    <row r="334" spans="1:11">
      <c r="A334" s="1041"/>
      <c r="B334" s="1064"/>
      <c r="C334" s="1055"/>
      <c r="D334" s="1030"/>
      <c r="E334" s="1055"/>
      <c r="F334" s="1055"/>
      <c r="G334" s="1055"/>
      <c r="H334" s="1055"/>
      <c r="I334" s="1055"/>
      <c r="J334" s="1064"/>
      <c r="K334" s="1064"/>
    </row>
    <row r="335" spans="1:11">
      <c r="A335" s="1041"/>
      <c r="B335" s="1310"/>
      <c r="C335" s="1310"/>
      <c r="D335" s="1310"/>
      <c r="E335" s="1310"/>
      <c r="F335" s="1310"/>
      <c r="G335" s="1310"/>
      <c r="H335" s="1310"/>
      <c r="I335" s="1310"/>
      <c r="J335" s="1310"/>
      <c r="K335" s="1310"/>
    </row>
    <row r="336" spans="1:11">
      <c r="A336" s="1041"/>
      <c r="B336" s="1310"/>
      <c r="C336" s="1310"/>
      <c r="D336" s="1310"/>
      <c r="E336" s="1310"/>
      <c r="F336" s="1310"/>
      <c r="G336" s="1310"/>
      <c r="H336" s="1310"/>
      <c r="I336" s="1310"/>
      <c r="J336" s="1310"/>
      <c r="K336" s="1310"/>
    </row>
    <row r="337" spans="1:11">
      <c r="A337" s="1041"/>
      <c r="B337" s="1310"/>
      <c r="C337" s="1310"/>
      <c r="D337" s="1310"/>
      <c r="E337" s="1310"/>
      <c r="F337" s="1310"/>
      <c r="G337" s="1310"/>
      <c r="H337" s="1310"/>
      <c r="I337" s="1310"/>
      <c r="J337" s="1310"/>
      <c r="K337" s="1310"/>
    </row>
    <row r="338" spans="1:11">
      <c r="A338" s="1041"/>
      <c r="B338" s="1064"/>
      <c r="C338" s="1055"/>
      <c r="D338" s="1030"/>
      <c r="E338" s="1055"/>
      <c r="F338" s="1055"/>
      <c r="G338" s="1055"/>
      <c r="H338" s="1055"/>
      <c r="I338" s="1055"/>
      <c r="J338" s="1064"/>
      <c r="K338" s="1064"/>
    </row>
    <row r="339" spans="1:11">
      <c r="A339" s="1041"/>
      <c r="B339" s="1064"/>
      <c r="C339" s="1055"/>
      <c r="D339" s="1030"/>
      <c r="E339" s="1055"/>
      <c r="F339" s="1055"/>
      <c r="G339" s="1055"/>
      <c r="H339" s="1055"/>
      <c r="I339" s="1055"/>
      <c r="J339" s="1064"/>
      <c r="K339" s="1064"/>
    </row>
    <row r="340" spans="1:11">
      <c r="A340" s="1079"/>
      <c r="B340" s="1103"/>
      <c r="C340" s="1066"/>
      <c r="D340" s="1224"/>
      <c r="E340" s="1066"/>
      <c r="F340" s="1066"/>
      <c r="G340" s="1066"/>
      <c r="H340" s="1066"/>
      <c r="I340" s="1079"/>
      <c r="J340" s="1064"/>
      <c r="K340" s="1064"/>
    </row>
    <row r="341" spans="1:11">
      <c r="A341" s="1079"/>
      <c r="B341" s="1103"/>
      <c r="C341" s="1066"/>
      <c r="D341" s="1066"/>
      <c r="E341" s="1066"/>
      <c r="F341" s="1066"/>
      <c r="G341" s="1079"/>
      <c r="H341" s="1066"/>
      <c r="I341" s="1079"/>
      <c r="J341" s="1064"/>
      <c r="K341" s="1064"/>
    </row>
    <row r="342" spans="1:11">
      <c r="A342" s="1079"/>
      <c r="B342" s="1103"/>
      <c r="C342" s="1066"/>
      <c r="D342" s="1049"/>
      <c r="E342" s="1066"/>
      <c r="F342" s="1066"/>
      <c r="G342" s="1066"/>
      <c r="H342" s="1066"/>
      <c r="I342" s="1038"/>
      <c r="J342" s="1064"/>
      <c r="K342" s="1064"/>
    </row>
    <row r="343" spans="1:11">
      <c r="A343" s="1103"/>
      <c r="B343" s="1103"/>
      <c r="C343" s="1079"/>
      <c r="D343" s="1079"/>
      <c r="E343" s="1102"/>
      <c r="F343" s="1102"/>
      <c r="G343" s="1225"/>
      <c r="H343" s="1102"/>
      <c r="I343" s="1095"/>
      <c r="J343" s="1064"/>
      <c r="K343" s="1064"/>
    </row>
    <row r="344" spans="1:11">
      <c r="A344" s="1103"/>
      <c r="B344" s="1103"/>
      <c r="C344" s="1226"/>
      <c r="D344" s="1102"/>
      <c r="E344" s="1102"/>
      <c r="F344" s="1102"/>
      <c r="G344" s="1079"/>
      <c r="H344" s="1102"/>
      <c r="I344" s="1227"/>
      <c r="J344" s="1064"/>
      <c r="K344" s="1064"/>
    </row>
    <row r="345" spans="1:11">
      <c r="A345" s="1079"/>
      <c r="B345" s="1220"/>
      <c r="C345" s="1228"/>
      <c r="D345" s="1227"/>
      <c r="E345" s="1229"/>
      <c r="F345" s="1227"/>
      <c r="G345" s="1103"/>
      <c r="H345" s="1229"/>
      <c r="I345" s="1079"/>
      <c r="J345" s="1064"/>
      <c r="K345" s="1064"/>
    </row>
    <row r="346" spans="1:11">
      <c r="A346" s="1079"/>
      <c r="B346" s="1230"/>
      <c r="C346" s="1102"/>
      <c r="D346" s="1102"/>
      <c r="E346" s="1102"/>
      <c r="F346" s="1102"/>
      <c r="G346" s="1102"/>
      <c r="H346" s="1102"/>
      <c r="I346" s="1102"/>
      <c r="J346" s="1064"/>
      <c r="K346" s="1064"/>
    </row>
    <row r="347" spans="1:11">
      <c r="A347" s="1079"/>
      <c r="B347" s="1220"/>
      <c r="C347" s="1102"/>
      <c r="D347" s="1102"/>
      <c r="E347" s="1102"/>
      <c r="F347" s="1102"/>
      <c r="G347" s="1102"/>
      <c r="H347" s="1102"/>
      <c r="I347" s="1102"/>
      <c r="J347" s="1064"/>
      <c r="K347" s="1064"/>
    </row>
    <row r="348" spans="1:11">
      <c r="A348" s="1079"/>
      <c r="B348" s="1220"/>
      <c r="C348" s="1102"/>
      <c r="D348" s="1102"/>
      <c r="E348" s="1102"/>
      <c r="F348" s="1102"/>
      <c r="G348" s="1102"/>
      <c r="H348" s="1102"/>
      <c r="I348" s="1102"/>
      <c r="J348" s="1064"/>
      <c r="K348" s="1064"/>
    </row>
    <row r="349" spans="1:11">
      <c r="A349" s="1079"/>
      <c r="B349" s="1231"/>
      <c r="C349" s="1103"/>
      <c r="D349" s="1102"/>
      <c r="E349" s="1102"/>
      <c r="F349" s="1102"/>
      <c r="G349" s="1232"/>
      <c r="H349" s="1102"/>
      <c r="I349" s="1102"/>
      <c r="J349" s="1064"/>
      <c r="K349" s="1064"/>
    </row>
    <row r="350" spans="1:11">
      <c r="A350" s="1079"/>
      <c r="B350" s="1220"/>
      <c r="C350" s="1103"/>
      <c r="D350" s="1102"/>
      <c r="E350" s="1102"/>
      <c r="F350" s="1102"/>
      <c r="G350" s="1232"/>
      <c r="H350" s="1102"/>
      <c r="I350" s="1102"/>
      <c r="J350" s="1064"/>
      <c r="K350" s="1064"/>
    </row>
    <row r="351" spans="1:11">
      <c r="A351" s="1079"/>
      <c r="B351" s="1220"/>
      <c r="C351" s="1102"/>
      <c r="D351" s="1102"/>
      <c r="E351" s="1102"/>
      <c r="F351" s="1102"/>
      <c r="G351" s="1102"/>
      <c r="H351" s="1102"/>
      <c r="I351" s="1102"/>
      <c r="J351" s="1064"/>
      <c r="K351" s="1064"/>
    </row>
    <row r="352" spans="1:11">
      <c r="A352" s="1079"/>
      <c r="B352" s="1220"/>
      <c r="C352" s="1102"/>
      <c r="D352" s="1102"/>
      <c r="E352" s="1102"/>
      <c r="F352" s="1102"/>
      <c r="G352" s="1102"/>
      <c r="H352" s="1102"/>
      <c r="I352" s="1102"/>
      <c r="J352" s="1064"/>
      <c r="K352" s="1064"/>
    </row>
    <row r="353" spans="1:19">
      <c r="A353" s="1079"/>
      <c r="B353" s="1220"/>
      <c r="C353" s="1066"/>
      <c r="D353" s="1102"/>
      <c r="E353" s="1102"/>
      <c r="F353" s="1027"/>
      <c r="G353" s="1027"/>
      <c r="H353" s="1055"/>
      <c r="I353" s="1027"/>
      <c r="J353" s="1064"/>
      <c r="K353" s="1064"/>
    </row>
    <row r="354" spans="1:19">
      <c r="A354" s="1079"/>
      <c r="B354" s="1220"/>
      <c r="C354" s="1066"/>
      <c r="D354" s="1102"/>
      <c r="E354" s="1102"/>
      <c r="F354" s="1027"/>
      <c r="G354" s="1027"/>
      <c r="H354" s="1055"/>
      <c r="I354" s="1027"/>
      <c r="J354" s="1064"/>
      <c r="K354" s="1064"/>
    </row>
    <row r="355" spans="1:19">
      <c r="A355" s="1079"/>
      <c r="B355" s="1066"/>
      <c r="C355" s="1066"/>
      <c r="D355" s="1066"/>
      <c r="E355" s="1066"/>
      <c r="F355" s="1055"/>
      <c r="G355" s="1055"/>
      <c r="H355" s="1055"/>
      <c r="I355" s="1055"/>
      <c r="J355" s="1064"/>
      <c r="K355" s="1064"/>
    </row>
    <row r="356" spans="1:19">
      <c r="A356" s="1041"/>
      <c r="B356" s="1055"/>
      <c r="C356" s="1055"/>
      <c r="D356" s="1055"/>
      <c r="E356" s="1055"/>
      <c r="F356" s="1055"/>
      <c r="G356" s="1055"/>
      <c r="H356" s="1055"/>
      <c r="I356" s="1055"/>
      <c r="J356" s="1064"/>
      <c r="K356" s="1064"/>
    </row>
    <row r="357" spans="1:19">
      <c r="A357" s="1041"/>
      <c r="B357" s="1055"/>
      <c r="C357" s="1055"/>
      <c r="D357" s="1055"/>
      <c r="E357" s="1055"/>
      <c r="F357" s="1055"/>
      <c r="G357" s="1055"/>
      <c r="H357" s="1055"/>
      <c r="I357" s="1055"/>
      <c r="J357" s="1064"/>
      <c r="K357" s="1064"/>
    </row>
    <row r="358" spans="1:19">
      <c r="A358" s="1041"/>
      <c r="B358" s="1234"/>
      <c r="C358" s="1055"/>
      <c r="D358" s="1055"/>
      <c r="E358" s="1055"/>
      <c r="F358" s="1055"/>
      <c r="G358" s="1055"/>
      <c r="H358" s="1055"/>
      <c r="I358" s="1055"/>
      <c r="J358" s="1064"/>
      <c r="K358" s="1064"/>
    </row>
    <row r="359" spans="1:19">
      <c r="A359" s="1041"/>
      <c r="B359" s="1234"/>
      <c r="C359" s="1055"/>
      <c r="D359" s="1055"/>
      <c r="E359" s="1055"/>
      <c r="F359" s="1055"/>
      <c r="G359" s="1055"/>
      <c r="H359" s="1055"/>
      <c r="I359" s="1055"/>
      <c r="J359" s="1064"/>
      <c r="K359" s="1064"/>
    </row>
    <row r="360" spans="1:19">
      <c r="A360" s="1041"/>
      <c r="B360" s="1234"/>
      <c r="C360" s="1055"/>
      <c r="D360" s="1055"/>
      <c r="E360" s="1055"/>
      <c r="F360" s="1055"/>
      <c r="G360" s="1055"/>
      <c r="H360" s="1055"/>
      <c r="I360" s="1055"/>
      <c r="J360" s="1064"/>
      <c r="K360" s="1064"/>
    </row>
    <row r="361" spans="1:19">
      <c r="A361" s="1041"/>
      <c r="B361" s="1234"/>
      <c r="C361" s="1055"/>
      <c r="D361" s="1055"/>
      <c r="E361" s="1055"/>
      <c r="F361" s="1055"/>
      <c r="G361" s="1055"/>
      <c r="H361" s="1055"/>
      <c r="I361" s="1055"/>
      <c r="J361" s="1064"/>
      <c r="K361" s="1064"/>
    </row>
    <row r="362" spans="1:19">
      <c r="A362" s="1041"/>
      <c r="B362" s="1234"/>
      <c r="C362" s="1055"/>
      <c r="D362" s="1055"/>
      <c r="E362" s="1055"/>
      <c r="F362" s="1055"/>
      <c r="G362" s="1055"/>
      <c r="H362" s="1055"/>
      <c r="I362" s="1055"/>
      <c r="J362" s="1064"/>
      <c r="K362" s="1064"/>
    </row>
    <row r="363" spans="1:19">
      <c r="A363" s="1041"/>
      <c r="B363" s="1234"/>
      <c r="C363" s="1055"/>
      <c r="D363" s="1055"/>
      <c r="E363" s="1055"/>
      <c r="F363" s="1055"/>
      <c r="G363" s="1055"/>
      <c r="H363" s="1055"/>
      <c r="I363" s="1055"/>
      <c r="J363" s="1064"/>
      <c r="K363" s="1064"/>
    </row>
    <row r="364" spans="1:19">
      <c r="A364" s="1041"/>
      <c r="B364" s="1234"/>
      <c r="C364" s="1055"/>
      <c r="D364" s="1055"/>
      <c r="E364" s="1055"/>
      <c r="F364" s="1055"/>
      <c r="G364" s="1055"/>
      <c r="H364" s="1055"/>
      <c r="I364" s="1055"/>
      <c r="J364" s="1064"/>
      <c r="K364" s="1064"/>
    </row>
    <row r="365" spans="1:19">
      <c r="A365" s="1041"/>
      <c r="B365" s="1055"/>
      <c r="C365" s="1055"/>
      <c r="D365" s="1055"/>
      <c r="E365" s="1055"/>
      <c r="F365" s="1055"/>
      <c r="G365" s="1055"/>
      <c r="H365" s="1055"/>
      <c r="I365" s="1055"/>
      <c r="J365" s="1064"/>
      <c r="K365" s="1064"/>
    </row>
    <row r="366" spans="1:19">
      <c r="A366" s="1041"/>
      <c r="B366" s="1055"/>
      <c r="C366" s="1055"/>
      <c r="D366" s="1055"/>
      <c r="E366" s="1055"/>
      <c r="F366" s="1055"/>
      <c r="G366" s="1055"/>
      <c r="H366" s="1055"/>
      <c r="I366" s="1055"/>
      <c r="J366" s="1064"/>
      <c r="K366" s="1064"/>
    </row>
    <row r="367" spans="1:19" s="1064" customFormat="1">
      <c r="A367" s="1217"/>
      <c r="B367" s="1125"/>
      <c r="L367" s="1216"/>
      <c r="N367" s="1020"/>
      <c r="O367" s="1020"/>
      <c r="P367" s="1020"/>
      <c r="Q367" s="1020"/>
      <c r="R367" s="1020"/>
      <c r="S367" s="1020"/>
    </row>
    <row r="368" spans="1:19" s="1064" customFormat="1">
      <c r="B368" s="1125"/>
      <c r="L368" s="1216"/>
      <c r="N368" s="1020"/>
      <c r="O368" s="1020"/>
      <c r="P368" s="1020"/>
      <c r="Q368" s="1020"/>
      <c r="R368" s="1020"/>
      <c r="S368" s="1020"/>
    </row>
    <row r="369" spans="1:19" s="1064" customFormat="1">
      <c r="B369" s="1125"/>
      <c r="L369" s="1216"/>
      <c r="N369" s="1020"/>
      <c r="O369" s="1020"/>
      <c r="P369" s="1020"/>
      <c r="Q369" s="1020"/>
      <c r="R369" s="1020"/>
      <c r="S369" s="1020"/>
    </row>
    <row r="370" spans="1:19" s="1064" customFormat="1">
      <c r="B370" s="1125"/>
      <c r="L370" s="1216"/>
      <c r="N370" s="1020"/>
      <c r="O370" s="1020"/>
      <c r="P370" s="1020"/>
      <c r="Q370" s="1020"/>
      <c r="R370" s="1020"/>
      <c r="S370" s="1020"/>
    </row>
    <row r="371" spans="1:19" s="1064" customFormat="1">
      <c r="B371" s="1125"/>
      <c r="L371" s="1216"/>
      <c r="N371" s="1020"/>
      <c r="O371" s="1020"/>
      <c r="P371" s="1020"/>
      <c r="Q371" s="1020"/>
      <c r="R371" s="1020"/>
      <c r="S371" s="1020"/>
    </row>
    <row r="372" spans="1:19" s="1064" customFormat="1">
      <c r="B372" s="1125"/>
      <c r="L372" s="1216"/>
      <c r="N372" s="1020"/>
      <c r="O372" s="1020"/>
      <c r="P372" s="1020"/>
      <c r="Q372" s="1020"/>
      <c r="R372" s="1020"/>
      <c r="S372" s="1020"/>
    </row>
    <row r="373" spans="1:19" s="1064" customFormat="1">
      <c r="B373" s="1125"/>
      <c r="L373" s="1216"/>
      <c r="N373" s="1020"/>
      <c r="O373" s="1020"/>
      <c r="P373" s="1020"/>
      <c r="Q373" s="1020"/>
      <c r="R373" s="1020"/>
      <c r="S373" s="1020"/>
    </row>
    <row r="374" spans="1:19" s="1064" customFormat="1">
      <c r="B374" s="1125"/>
      <c r="L374" s="1216"/>
      <c r="N374" s="1020"/>
      <c r="O374" s="1020"/>
      <c r="P374" s="1020"/>
      <c r="Q374" s="1020"/>
      <c r="R374" s="1020"/>
      <c r="S374" s="1020"/>
    </row>
    <row r="375" spans="1:19" s="1064" customFormat="1">
      <c r="L375" s="1216"/>
      <c r="N375" s="1020"/>
      <c r="O375" s="1020"/>
      <c r="P375" s="1020"/>
      <c r="Q375" s="1020"/>
      <c r="R375" s="1020"/>
      <c r="S375" s="1020"/>
    </row>
    <row r="376" spans="1:19">
      <c r="A376" s="1021"/>
      <c r="B376" s="1028"/>
      <c r="C376" s="1121"/>
      <c r="D376" s="1028"/>
      <c r="E376" s="1028"/>
      <c r="F376" s="1108"/>
      <c r="G376" s="1028"/>
      <c r="H376" s="1121"/>
      <c r="I376" s="1028"/>
      <c r="K376" s="1123"/>
      <c r="L376" s="1020"/>
    </row>
    <row r="377" spans="1:19">
      <c r="A377" s="1021"/>
      <c r="B377" s="1028"/>
      <c r="C377" s="1121"/>
      <c r="D377" s="1028"/>
      <c r="E377" s="1028"/>
      <c r="F377" s="1108"/>
      <c r="G377" s="1028"/>
      <c r="H377" s="1121"/>
      <c r="I377" s="1028"/>
      <c r="K377" s="1123"/>
      <c r="L377" s="1020"/>
    </row>
    <row r="378" spans="1:19">
      <c r="A378" s="1021"/>
      <c r="B378" s="1028"/>
      <c r="C378" s="1121"/>
      <c r="D378" s="1028"/>
      <c r="E378" s="1028"/>
      <c r="F378" s="1108"/>
      <c r="G378" s="1028"/>
      <c r="H378" s="1121"/>
      <c r="I378" s="1028"/>
      <c r="J378" s="1166"/>
      <c r="K378" s="1166"/>
      <c r="L378" s="1020"/>
    </row>
  </sheetData>
  <customSheetViews>
    <customSheetView guid="{E1861F40-EBD5-44AE-868B-FDE0ED504D72}" scale="75" showPageBreaks="1" printArea="1" view="pageBreakPreview" topLeftCell="A307">
      <selection activeCell="D146" sqref="D146"/>
      <rowBreaks count="4" manualBreakCount="4">
        <brk id="55" max="10" man="1"/>
        <brk id="129" max="16383" man="1"/>
        <brk id="206" max="16383" man="1"/>
        <brk id="285" max="16383" man="1"/>
      </rowBreaks>
      <pageMargins left="0.75" right="0.75" top="1" bottom="1" header="0.5" footer="0.5"/>
      <pageSetup scale="44" fitToHeight="5" orientation="portrait" r:id="rId1"/>
      <headerFooter alignWithMargins="0"/>
    </customSheetView>
  </customSheetViews>
  <mergeCells count="45">
    <mergeCell ref="B267:K267"/>
    <mergeCell ref="B102:K102"/>
    <mergeCell ref="L88:U88"/>
    <mergeCell ref="L89:U89"/>
    <mergeCell ref="B331:K331"/>
    <mergeCell ref="B330:K330"/>
    <mergeCell ref="E301:K301"/>
    <mergeCell ref="B311:K311"/>
    <mergeCell ref="B310:K310"/>
    <mergeCell ref="B309:K309"/>
    <mergeCell ref="B308:K308"/>
    <mergeCell ref="B307:K307"/>
    <mergeCell ref="B316:K316"/>
    <mergeCell ref="B318:K318"/>
    <mergeCell ref="B320:K320"/>
    <mergeCell ref="B317:K317"/>
    <mergeCell ref="B319:K319"/>
    <mergeCell ref="E299:K299"/>
    <mergeCell ref="B295:K295"/>
    <mergeCell ref="B303:K303"/>
    <mergeCell ref="B306:K306"/>
    <mergeCell ref="B305:K305"/>
    <mergeCell ref="B304:K304"/>
    <mergeCell ref="B302:K302"/>
    <mergeCell ref="B337:K337"/>
    <mergeCell ref="B336:K336"/>
    <mergeCell ref="B335:K335"/>
    <mergeCell ref="B333:K333"/>
    <mergeCell ref="B332:K332"/>
    <mergeCell ref="M241:R241"/>
    <mergeCell ref="E300:K300"/>
    <mergeCell ref="B315:K315"/>
    <mergeCell ref="B290:K290"/>
    <mergeCell ref="B289:K289"/>
    <mergeCell ref="B293:K293"/>
    <mergeCell ref="B288:K288"/>
    <mergeCell ref="B314:K314"/>
    <mergeCell ref="B297:K297"/>
    <mergeCell ref="B296:K296"/>
    <mergeCell ref="B298:K298"/>
    <mergeCell ref="B291:K291"/>
    <mergeCell ref="B294:K294"/>
    <mergeCell ref="B292:K292"/>
    <mergeCell ref="B313:K313"/>
    <mergeCell ref="B312:K312"/>
  </mergeCells>
  <phoneticPr fontId="0" type="noConversion"/>
  <printOptions horizontalCentered="1"/>
  <pageMargins left="0.7" right="0.7" top="0.75" bottom="0.75" header="0.3" footer="0.3"/>
  <pageSetup scale="37" fitToWidth="0" fitToHeight="0" orientation="portrait" r:id="rId2"/>
  <headerFooter alignWithMargins="0"/>
  <rowBreaks count="4" manualBreakCount="4">
    <brk id="43" max="10" man="1"/>
    <brk id="118" max="10" man="1"/>
    <brk id="201" max="10" man="1"/>
    <brk id="275" max="10" man="1"/>
  </rowBreaks>
  <ignoredErrors>
    <ignoredError sqref="D20" evalError="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tabColor theme="5"/>
  </sheetPr>
  <dimension ref="A1:DM9935"/>
  <sheetViews>
    <sheetView view="pageBreakPreview" topLeftCell="A22" zoomScale="85" zoomScaleNormal="100" zoomScaleSheetLayoutView="85" workbookViewId="0">
      <selection activeCell="B42" sqref="B42:K44"/>
    </sheetView>
  </sheetViews>
  <sheetFormatPr defaultRowHeight="12.55"/>
  <cols>
    <col min="1" max="1" width="3.08984375" style="159" customWidth="1"/>
    <col min="2" max="2" width="33.36328125" style="159" customWidth="1"/>
    <col min="3" max="3" width="11.6328125" style="159" customWidth="1"/>
    <col min="4" max="4" width="12" style="159" customWidth="1"/>
    <col min="5" max="5" width="14.453125" style="159" bestFit="1" customWidth="1"/>
    <col min="6" max="6" width="12.81640625" style="159" customWidth="1"/>
    <col min="7" max="7" width="11.90625" style="159" customWidth="1"/>
    <col min="8" max="8" width="10.90625" style="159" customWidth="1"/>
    <col min="9" max="9" width="11.54296875" style="159" customWidth="1"/>
    <col min="10" max="12" width="13.81640625" style="159" customWidth="1"/>
    <col min="13" max="13" width="49.453125" style="159" customWidth="1"/>
    <col min="14" max="14" width="12.90625" style="159" customWidth="1"/>
    <col min="15" max="256" width="8.90625" style="159"/>
    <col min="257" max="257" width="3.08984375" style="159" customWidth="1"/>
    <col min="258" max="258" width="33.36328125" style="159" customWidth="1"/>
    <col min="259" max="259" width="11.6328125" style="159" customWidth="1"/>
    <col min="260" max="260" width="12" style="159" customWidth="1"/>
    <col min="261" max="261" width="14.453125" style="159" bestFit="1" customWidth="1"/>
    <col min="262" max="262" width="10.6328125" style="159" customWidth="1"/>
    <col min="263" max="263" width="11.90625" style="159" customWidth="1"/>
    <col min="264" max="264" width="10.90625" style="159" customWidth="1"/>
    <col min="265" max="265" width="11.54296875" style="159" customWidth="1"/>
    <col min="266" max="266" width="13.81640625" style="159" customWidth="1"/>
    <col min="267" max="267" width="2.36328125" style="159" customWidth="1"/>
    <col min="268" max="268" width="2" style="159" customWidth="1"/>
    <col min="269" max="269" width="49.453125" style="159" customWidth="1"/>
    <col min="270" max="270" width="12.90625" style="159" customWidth="1"/>
    <col min="271" max="512" width="8.90625" style="159"/>
    <col min="513" max="513" width="3.08984375" style="159" customWidth="1"/>
    <col min="514" max="514" width="33.36328125" style="159" customWidth="1"/>
    <col min="515" max="515" width="11.6328125" style="159" customWidth="1"/>
    <col min="516" max="516" width="12" style="159" customWidth="1"/>
    <col min="517" max="517" width="14.453125" style="159" bestFit="1" customWidth="1"/>
    <col min="518" max="518" width="10.6328125" style="159" customWidth="1"/>
    <col min="519" max="519" width="11.90625" style="159" customWidth="1"/>
    <col min="520" max="520" width="10.90625" style="159" customWidth="1"/>
    <col min="521" max="521" width="11.54296875" style="159" customWidth="1"/>
    <col min="522" max="522" width="13.81640625" style="159" customWidth="1"/>
    <col min="523" max="523" width="2.36328125" style="159" customWidth="1"/>
    <col min="524" max="524" width="2" style="159" customWidth="1"/>
    <col min="525" max="525" width="49.453125" style="159" customWidth="1"/>
    <col min="526" max="526" width="12.90625" style="159" customWidth="1"/>
    <col min="527" max="768" width="8.90625" style="159"/>
    <col min="769" max="769" width="3.08984375" style="159" customWidth="1"/>
    <col min="770" max="770" width="33.36328125" style="159" customWidth="1"/>
    <col min="771" max="771" width="11.6328125" style="159" customWidth="1"/>
    <col min="772" max="772" width="12" style="159" customWidth="1"/>
    <col min="773" max="773" width="14.453125" style="159" bestFit="1" customWidth="1"/>
    <col min="774" max="774" width="10.6328125" style="159" customWidth="1"/>
    <col min="775" max="775" width="11.90625" style="159" customWidth="1"/>
    <col min="776" max="776" width="10.90625" style="159" customWidth="1"/>
    <col min="777" max="777" width="11.54296875" style="159" customWidth="1"/>
    <col min="778" max="778" width="13.81640625" style="159" customWidth="1"/>
    <col min="779" max="779" width="2.36328125" style="159" customWidth="1"/>
    <col min="780" max="780" width="2" style="159" customWidth="1"/>
    <col min="781" max="781" width="49.453125" style="159" customWidth="1"/>
    <col min="782" max="782" width="12.90625" style="159" customWidth="1"/>
    <col min="783" max="1024" width="8.90625" style="159"/>
    <col min="1025" max="1025" width="3.08984375" style="159" customWidth="1"/>
    <col min="1026" max="1026" width="33.36328125" style="159" customWidth="1"/>
    <col min="1027" max="1027" width="11.6328125" style="159" customWidth="1"/>
    <col min="1028" max="1028" width="12" style="159" customWidth="1"/>
    <col min="1029" max="1029" width="14.453125" style="159" bestFit="1" customWidth="1"/>
    <col min="1030" max="1030" width="10.6328125" style="159" customWidth="1"/>
    <col min="1031" max="1031" width="11.90625" style="159" customWidth="1"/>
    <col min="1032" max="1032" width="10.90625" style="159" customWidth="1"/>
    <col min="1033" max="1033" width="11.54296875" style="159" customWidth="1"/>
    <col min="1034" max="1034" width="13.81640625" style="159" customWidth="1"/>
    <col min="1035" max="1035" width="2.36328125" style="159" customWidth="1"/>
    <col min="1036" max="1036" width="2" style="159" customWidth="1"/>
    <col min="1037" max="1037" width="49.453125" style="159" customWidth="1"/>
    <col min="1038" max="1038" width="12.90625" style="159" customWidth="1"/>
    <col min="1039" max="1280" width="8.90625" style="159"/>
    <col min="1281" max="1281" width="3.08984375" style="159" customWidth="1"/>
    <col min="1282" max="1282" width="33.36328125" style="159" customWidth="1"/>
    <col min="1283" max="1283" width="11.6328125" style="159" customWidth="1"/>
    <col min="1284" max="1284" width="12" style="159" customWidth="1"/>
    <col min="1285" max="1285" width="14.453125" style="159" bestFit="1" customWidth="1"/>
    <col min="1286" max="1286" width="10.6328125" style="159" customWidth="1"/>
    <col min="1287" max="1287" width="11.90625" style="159" customWidth="1"/>
    <col min="1288" max="1288" width="10.90625" style="159" customWidth="1"/>
    <col min="1289" max="1289" width="11.54296875" style="159" customWidth="1"/>
    <col min="1290" max="1290" width="13.81640625" style="159" customWidth="1"/>
    <col min="1291" max="1291" width="2.36328125" style="159" customWidth="1"/>
    <col min="1292" max="1292" width="2" style="159" customWidth="1"/>
    <col min="1293" max="1293" width="49.453125" style="159" customWidth="1"/>
    <col min="1294" max="1294" width="12.90625" style="159" customWidth="1"/>
    <col min="1295" max="1536" width="8.90625" style="159"/>
    <col min="1537" max="1537" width="3.08984375" style="159" customWidth="1"/>
    <col min="1538" max="1538" width="33.36328125" style="159" customWidth="1"/>
    <col min="1539" max="1539" width="11.6328125" style="159" customWidth="1"/>
    <col min="1540" max="1540" width="12" style="159" customWidth="1"/>
    <col min="1541" max="1541" width="14.453125" style="159" bestFit="1" customWidth="1"/>
    <col min="1542" max="1542" width="10.6328125" style="159" customWidth="1"/>
    <col min="1543" max="1543" width="11.90625" style="159" customWidth="1"/>
    <col min="1544" max="1544" width="10.90625" style="159" customWidth="1"/>
    <col min="1545" max="1545" width="11.54296875" style="159" customWidth="1"/>
    <col min="1546" max="1546" width="13.81640625" style="159" customWidth="1"/>
    <col min="1547" max="1547" width="2.36328125" style="159" customWidth="1"/>
    <col min="1548" max="1548" width="2" style="159" customWidth="1"/>
    <col min="1549" max="1549" width="49.453125" style="159" customWidth="1"/>
    <col min="1550" max="1550" width="12.90625" style="159" customWidth="1"/>
    <col min="1551" max="1792" width="8.90625" style="159"/>
    <col min="1793" max="1793" width="3.08984375" style="159" customWidth="1"/>
    <col min="1794" max="1794" width="33.36328125" style="159" customWidth="1"/>
    <col min="1795" max="1795" width="11.6328125" style="159" customWidth="1"/>
    <col min="1796" max="1796" width="12" style="159" customWidth="1"/>
    <col min="1797" max="1797" width="14.453125" style="159" bestFit="1" customWidth="1"/>
    <col min="1798" max="1798" width="10.6328125" style="159" customWidth="1"/>
    <col min="1799" max="1799" width="11.90625" style="159" customWidth="1"/>
    <col min="1800" max="1800" width="10.90625" style="159" customWidth="1"/>
    <col min="1801" max="1801" width="11.54296875" style="159" customWidth="1"/>
    <col min="1802" max="1802" width="13.81640625" style="159" customWidth="1"/>
    <col min="1803" max="1803" width="2.36328125" style="159" customWidth="1"/>
    <col min="1804" max="1804" width="2" style="159" customWidth="1"/>
    <col min="1805" max="1805" width="49.453125" style="159" customWidth="1"/>
    <col min="1806" max="1806" width="12.90625" style="159" customWidth="1"/>
    <col min="1807" max="2048" width="8.90625" style="159"/>
    <col min="2049" max="2049" width="3.08984375" style="159" customWidth="1"/>
    <col min="2050" max="2050" width="33.36328125" style="159" customWidth="1"/>
    <col min="2051" max="2051" width="11.6328125" style="159" customWidth="1"/>
    <col min="2052" max="2052" width="12" style="159" customWidth="1"/>
    <col min="2053" max="2053" width="14.453125" style="159" bestFit="1" customWidth="1"/>
    <col min="2054" max="2054" width="10.6328125" style="159" customWidth="1"/>
    <col min="2055" max="2055" width="11.90625" style="159" customWidth="1"/>
    <col min="2056" max="2056" width="10.90625" style="159" customWidth="1"/>
    <col min="2057" max="2057" width="11.54296875" style="159" customWidth="1"/>
    <col min="2058" max="2058" width="13.81640625" style="159" customWidth="1"/>
    <col min="2059" max="2059" width="2.36328125" style="159" customWidth="1"/>
    <col min="2060" max="2060" width="2" style="159" customWidth="1"/>
    <col min="2061" max="2061" width="49.453125" style="159" customWidth="1"/>
    <col min="2062" max="2062" width="12.90625" style="159" customWidth="1"/>
    <col min="2063" max="2304" width="8.90625" style="159"/>
    <col min="2305" max="2305" width="3.08984375" style="159" customWidth="1"/>
    <col min="2306" max="2306" width="33.36328125" style="159" customWidth="1"/>
    <col min="2307" max="2307" width="11.6328125" style="159" customWidth="1"/>
    <col min="2308" max="2308" width="12" style="159" customWidth="1"/>
    <col min="2309" max="2309" width="14.453125" style="159" bestFit="1" customWidth="1"/>
    <col min="2310" max="2310" width="10.6328125" style="159" customWidth="1"/>
    <col min="2311" max="2311" width="11.90625" style="159" customWidth="1"/>
    <col min="2312" max="2312" width="10.90625" style="159" customWidth="1"/>
    <col min="2313" max="2313" width="11.54296875" style="159" customWidth="1"/>
    <col min="2314" max="2314" width="13.81640625" style="159" customWidth="1"/>
    <col min="2315" max="2315" width="2.36328125" style="159" customWidth="1"/>
    <col min="2316" max="2316" width="2" style="159" customWidth="1"/>
    <col min="2317" max="2317" width="49.453125" style="159" customWidth="1"/>
    <col min="2318" max="2318" width="12.90625" style="159" customWidth="1"/>
    <col min="2319" max="2560" width="8.90625" style="159"/>
    <col min="2561" max="2561" width="3.08984375" style="159" customWidth="1"/>
    <col min="2562" max="2562" width="33.36328125" style="159" customWidth="1"/>
    <col min="2563" max="2563" width="11.6328125" style="159" customWidth="1"/>
    <col min="2564" max="2564" width="12" style="159" customWidth="1"/>
    <col min="2565" max="2565" width="14.453125" style="159" bestFit="1" customWidth="1"/>
    <col min="2566" max="2566" width="10.6328125" style="159" customWidth="1"/>
    <col min="2567" max="2567" width="11.90625" style="159" customWidth="1"/>
    <col min="2568" max="2568" width="10.90625" style="159" customWidth="1"/>
    <col min="2569" max="2569" width="11.54296875" style="159" customWidth="1"/>
    <col min="2570" max="2570" width="13.81640625" style="159" customWidth="1"/>
    <col min="2571" max="2571" width="2.36328125" style="159" customWidth="1"/>
    <col min="2572" max="2572" width="2" style="159" customWidth="1"/>
    <col min="2573" max="2573" width="49.453125" style="159" customWidth="1"/>
    <col min="2574" max="2574" width="12.90625" style="159" customWidth="1"/>
    <col min="2575" max="2816" width="8.90625" style="159"/>
    <col min="2817" max="2817" width="3.08984375" style="159" customWidth="1"/>
    <col min="2818" max="2818" width="33.36328125" style="159" customWidth="1"/>
    <col min="2819" max="2819" width="11.6328125" style="159" customWidth="1"/>
    <col min="2820" max="2820" width="12" style="159" customWidth="1"/>
    <col min="2821" max="2821" width="14.453125" style="159" bestFit="1" customWidth="1"/>
    <col min="2822" max="2822" width="10.6328125" style="159" customWidth="1"/>
    <col min="2823" max="2823" width="11.90625" style="159" customWidth="1"/>
    <col min="2824" max="2824" width="10.90625" style="159" customWidth="1"/>
    <col min="2825" max="2825" width="11.54296875" style="159" customWidth="1"/>
    <col min="2826" max="2826" width="13.81640625" style="159" customWidth="1"/>
    <col min="2827" max="2827" width="2.36328125" style="159" customWidth="1"/>
    <col min="2828" max="2828" width="2" style="159" customWidth="1"/>
    <col min="2829" max="2829" width="49.453125" style="159" customWidth="1"/>
    <col min="2830" max="2830" width="12.90625" style="159" customWidth="1"/>
    <col min="2831" max="3072" width="8.90625" style="159"/>
    <col min="3073" max="3073" width="3.08984375" style="159" customWidth="1"/>
    <col min="3074" max="3074" width="33.36328125" style="159" customWidth="1"/>
    <col min="3075" max="3075" width="11.6328125" style="159" customWidth="1"/>
    <col min="3076" max="3076" width="12" style="159" customWidth="1"/>
    <col min="3077" max="3077" width="14.453125" style="159" bestFit="1" customWidth="1"/>
    <col min="3078" max="3078" width="10.6328125" style="159" customWidth="1"/>
    <col min="3079" max="3079" width="11.90625" style="159" customWidth="1"/>
    <col min="3080" max="3080" width="10.90625" style="159" customWidth="1"/>
    <col min="3081" max="3081" width="11.54296875" style="159" customWidth="1"/>
    <col min="3082" max="3082" width="13.81640625" style="159" customWidth="1"/>
    <col min="3083" max="3083" width="2.36328125" style="159" customWidth="1"/>
    <col min="3084" max="3084" width="2" style="159" customWidth="1"/>
    <col min="3085" max="3085" width="49.453125" style="159" customWidth="1"/>
    <col min="3086" max="3086" width="12.90625" style="159" customWidth="1"/>
    <col min="3087" max="3328" width="8.90625" style="159"/>
    <col min="3329" max="3329" width="3.08984375" style="159" customWidth="1"/>
    <col min="3330" max="3330" width="33.36328125" style="159" customWidth="1"/>
    <col min="3331" max="3331" width="11.6328125" style="159" customWidth="1"/>
    <col min="3332" max="3332" width="12" style="159" customWidth="1"/>
    <col min="3333" max="3333" width="14.453125" style="159" bestFit="1" customWidth="1"/>
    <col min="3334" max="3334" width="10.6328125" style="159" customWidth="1"/>
    <col min="3335" max="3335" width="11.90625" style="159" customWidth="1"/>
    <col min="3336" max="3336" width="10.90625" style="159" customWidth="1"/>
    <col min="3337" max="3337" width="11.54296875" style="159" customWidth="1"/>
    <col min="3338" max="3338" width="13.81640625" style="159" customWidth="1"/>
    <col min="3339" max="3339" width="2.36328125" style="159" customWidth="1"/>
    <col min="3340" max="3340" width="2" style="159" customWidth="1"/>
    <col min="3341" max="3341" width="49.453125" style="159" customWidth="1"/>
    <col min="3342" max="3342" width="12.90625" style="159" customWidth="1"/>
    <col min="3343" max="3584" width="8.90625" style="159"/>
    <col min="3585" max="3585" width="3.08984375" style="159" customWidth="1"/>
    <col min="3586" max="3586" width="33.36328125" style="159" customWidth="1"/>
    <col min="3587" max="3587" width="11.6328125" style="159" customWidth="1"/>
    <col min="3588" max="3588" width="12" style="159" customWidth="1"/>
    <col min="3589" max="3589" width="14.453125" style="159" bestFit="1" customWidth="1"/>
    <col min="3590" max="3590" width="10.6328125" style="159" customWidth="1"/>
    <col min="3591" max="3591" width="11.90625" style="159" customWidth="1"/>
    <col min="3592" max="3592" width="10.90625" style="159" customWidth="1"/>
    <col min="3593" max="3593" width="11.54296875" style="159" customWidth="1"/>
    <col min="3594" max="3594" width="13.81640625" style="159" customWidth="1"/>
    <col min="3595" max="3595" width="2.36328125" style="159" customWidth="1"/>
    <col min="3596" max="3596" width="2" style="159" customWidth="1"/>
    <col min="3597" max="3597" width="49.453125" style="159" customWidth="1"/>
    <col min="3598" max="3598" width="12.90625" style="159" customWidth="1"/>
    <col min="3599" max="3840" width="8.90625" style="159"/>
    <col min="3841" max="3841" width="3.08984375" style="159" customWidth="1"/>
    <col min="3842" max="3842" width="33.36328125" style="159" customWidth="1"/>
    <col min="3843" max="3843" width="11.6328125" style="159" customWidth="1"/>
    <col min="3844" max="3844" width="12" style="159" customWidth="1"/>
    <col min="3845" max="3845" width="14.453125" style="159" bestFit="1" customWidth="1"/>
    <col min="3846" max="3846" width="10.6328125" style="159" customWidth="1"/>
    <col min="3847" max="3847" width="11.90625" style="159" customWidth="1"/>
    <col min="3848" max="3848" width="10.90625" style="159" customWidth="1"/>
    <col min="3849" max="3849" width="11.54296875" style="159" customWidth="1"/>
    <col min="3850" max="3850" width="13.81640625" style="159" customWidth="1"/>
    <col min="3851" max="3851" width="2.36328125" style="159" customWidth="1"/>
    <col min="3852" max="3852" width="2" style="159" customWidth="1"/>
    <col min="3853" max="3853" width="49.453125" style="159" customWidth="1"/>
    <col min="3854" max="3854" width="12.90625" style="159" customWidth="1"/>
    <col min="3855" max="4096" width="8.90625" style="159"/>
    <col min="4097" max="4097" width="3.08984375" style="159" customWidth="1"/>
    <col min="4098" max="4098" width="33.36328125" style="159" customWidth="1"/>
    <col min="4099" max="4099" width="11.6328125" style="159" customWidth="1"/>
    <col min="4100" max="4100" width="12" style="159" customWidth="1"/>
    <col min="4101" max="4101" width="14.453125" style="159" bestFit="1" customWidth="1"/>
    <col min="4102" max="4102" width="10.6328125" style="159" customWidth="1"/>
    <col min="4103" max="4103" width="11.90625" style="159" customWidth="1"/>
    <col min="4104" max="4104" width="10.90625" style="159" customWidth="1"/>
    <col min="4105" max="4105" width="11.54296875" style="159" customWidth="1"/>
    <col min="4106" max="4106" width="13.81640625" style="159" customWidth="1"/>
    <col min="4107" max="4107" width="2.36328125" style="159" customWidth="1"/>
    <col min="4108" max="4108" width="2" style="159" customWidth="1"/>
    <col min="4109" max="4109" width="49.453125" style="159" customWidth="1"/>
    <col min="4110" max="4110" width="12.90625" style="159" customWidth="1"/>
    <col min="4111" max="4352" width="8.90625" style="159"/>
    <col min="4353" max="4353" width="3.08984375" style="159" customWidth="1"/>
    <col min="4354" max="4354" width="33.36328125" style="159" customWidth="1"/>
    <col min="4355" max="4355" width="11.6328125" style="159" customWidth="1"/>
    <col min="4356" max="4356" width="12" style="159" customWidth="1"/>
    <col min="4357" max="4357" width="14.453125" style="159" bestFit="1" customWidth="1"/>
    <col min="4358" max="4358" width="10.6328125" style="159" customWidth="1"/>
    <col min="4359" max="4359" width="11.90625" style="159" customWidth="1"/>
    <col min="4360" max="4360" width="10.90625" style="159" customWidth="1"/>
    <col min="4361" max="4361" width="11.54296875" style="159" customWidth="1"/>
    <col min="4362" max="4362" width="13.81640625" style="159" customWidth="1"/>
    <col min="4363" max="4363" width="2.36328125" style="159" customWidth="1"/>
    <col min="4364" max="4364" width="2" style="159" customWidth="1"/>
    <col min="4365" max="4365" width="49.453125" style="159" customWidth="1"/>
    <col min="4366" max="4366" width="12.90625" style="159" customWidth="1"/>
    <col min="4367" max="4608" width="8.90625" style="159"/>
    <col min="4609" max="4609" width="3.08984375" style="159" customWidth="1"/>
    <col min="4610" max="4610" width="33.36328125" style="159" customWidth="1"/>
    <col min="4611" max="4611" width="11.6328125" style="159" customWidth="1"/>
    <col min="4612" max="4612" width="12" style="159" customWidth="1"/>
    <col min="4613" max="4613" width="14.453125" style="159" bestFit="1" customWidth="1"/>
    <col min="4614" max="4614" width="10.6328125" style="159" customWidth="1"/>
    <col min="4615" max="4615" width="11.90625" style="159" customWidth="1"/>
    <col min="4616" max="4616" width="10.90625" style="159" customWidth="1"/>
    <col min="4617" max="4617" width="11.54296875" style="159" customWidth="1"/>
    <col min="4618" max="4618" width="13.81640625" style="159" customWidth="1"/>
    <col min="4619" max="4619" width="2.36328125" style="159" customWidth="1"/>
    <col min="4620" max="4620" width="2" style="159" customWidth="1"/>
    <col min="4621" max="4621" width="49.453125" style="159" customWidth="1"/>
    <col min="4622" max="4622" width="12.90625" style="159" customWidth="1"/>
    <col min="4623" max="4864" width="8.90625" style="159"/>
    <col min="4865" max="4865" width="3.08984375" style="159" customWidth="1"/>
    <col min="4866" max="4866" width="33.36328125" style="159" customWidth="1"/>
    <col min="4867" max="4867" width="11.6328125" style="159" customWidth="1"/>
    <col min="4868" max="4868" width="12" style="159" customWidth="1"/>
    <col min="4869" max="4869" width="14.453125" style="159" bestFit="1" customWidth="1"/>
    <col min="4870" max="4870" width="10.6328125" style="159" customWidth="1"/>
    <col min="4871" max="4871" width="11.90625" style="159" customWidth="1"/>
    <col min="4872" max="4872" width="10.90625" style="159" customWidth="1"/>
    <col min="4873" max="4873" width="11.54296875" style="159" customWidth="1"/>
    <col min="4874" max="4874" width="13.81640625" style="159" customWidth="1"/>
    <col min="4875" max="4875" width="2.36328125" style="159" customWidth="1"/>
    <col min="4876" max="4876" width="2" style="159" customWidth="1"/>
    <col min="4877" max="4877" width="49.453125" style="159" customWidth="1"/>
    <col min="4878" max="4878" width="12.90625" style="159" customWidth="1"/>
    <col min="4879" max="5120" width="8.90625" style="159"/>
    <col min="5121" max="5121" width="3.08984375" style="159" customWidth="1"/>
    <col min="5122" max="5122" width="33.36328125" style="159" customWidth="1"/>
    <col min="5123" max="5123" width="11.6328125" style="159" customWidth="1"/>
    <col min="5124" max="5124" width="12" style="159" customWidth="1"/>
    <col min="5125" max="5125" width="14.453125" style="159" bestFit="1" customWidth="1"/>
    <col min="5126" max="5126" width="10.6328125" style="159" customWidth="1"/>
    <col min="5127" max="5127" width="11.90625" style="159" customWidth="1"/>
    <col min="5128" max="5128" width="10.90625" style="159" customWidth="1"/>
    <col min="5129" max="5129" width="11.54296875" style="159" customWidth="1"/>
    <col min="5130" max="5130" width="13.81640625" style="159" customWidth="1"/>
    <col min="5131" max="5131" width="2.36328125" style="159" customWidth="1"/>
    <col min="5132" max="5132" width="2" style="159" customWidth="1"/>
    <col min="5133" max="5133" width="49.453125" style="159" customWidth="1"/>
    <col min="5134" max="5134" width="12.90625" style="159" customWidth="1"/>
    <col min="5135" max="5376" width="8.90625" style="159"/>
    <col min="5377" max="5377" width="3.08984375" style="159" customWidth="1"/>
    <col min="5378" max="5378" width="33.36328125" style="159" customWidth="1"/>
    <col min="5379" max="5379" width="11.6328125" style="159" customWidth="1"/>
    <col min="5380" max="5380" width="12" style="159" customWidth="1"/>
    <col min="5381" max="5381" width="14.453125" style="159" bestFit="1" customWidth="1"/>
    <col min="5382" max="5382" width="10.6328125" style="159" customWidth="1"/>
    <col min="5383" max="5383" width="11.90625" style="159" customWidth="1"/>
    <col min="5384" max="5384" width="10.90625" style="159" customWidth="1"/>
    <col min="5385" max="5385" width="11.54296875" style="159" customWidth="1"/>
    <col min="5386" max="5386" width="13.81640625" style="159" customWidth="1"/>
    <col min="5387" max="5387" width="2.36328125" style="159" customWidth="1"/>
    <col min="5388" max="5388" width="2" style="159" customWidth="1"/>
    <col min="5389" max="5389" width="49.453125" style="159" customWidth="1"/>
    <col min="5390" max="5390" width="12.90625" style="159" customWidth="1"/>
    <col min="5391" max="5632" width="8.90625" style="159"/>
    <col min="5633" max="5633" width="3.08984375" style="159" customWidth="1"/>
    <col min="5634" max="5634" width="33.36328125" style="159" customWidth="1"/>
    <col min="5635" max="5635" width="11.6328125" style="159" customWidth="1"/>
    <col min="5636" max="5636" width="12" style="159" customWidth="1"/>
    <col min="5637" max="5637" width="14.453125" style="159" bestFit="1" customWidth="1"/>
    <col min="5638" max="5638" width="10.6328125" style="159" customWidth="1"/>
    <col min="5639" max="5639" width="11.90625" style="159" customWidth="1"/>
    <col min="5640" max="5640" width="10.90625" style="159" customWidth="1"/>
    <col min="5641" max="5641" width="11.54296875" style="159" customWidth="1"/>
    <col min="5642" max="5642" width="13.81640625" style="159" customWidth="1"/>
    <col min="5643" max="5643" width="2.36328125" style="159" customWidth="1"/>
    <col min="5644" max="5644" width="2" style="159" customWidth="1"/>
    <col min="5645" max="5645" width="49.453125" style="159" customWidth="1"/>
    <col min="5646" max="5646" width="12.90625" style="159" customWidth="1"/>
    <col min="5647" max="5888" width="8.90625" style="159"/>
    <col min="5889" max="5889" width="3.08984375" style="159" customWidth="1"/>
    <col min="5890" max="5890" width="33.36328125" style="159" customWidth="1"/>
    <col min="5891" max="5891" width="11.6328125" style="159" customWidth="1"/>
    <col min="5892" max="5892" width="12" style="159" customWidth="1"/>
    <col min="5893" max="5893" width="14.453125" style="159" bestFit="1" customWidth="1"/>
    <col min="5894" max="5894" width="10.6328125" style="159" customWidth="1"/>
    <col min="5895" max="5895" width="11.90625" style="159" customWidth="1"/>
    <col min="5896" max="5896" width="10.90625" style="159" customWidth="1"/>
    <col min="5897" max="5897" width="11.54296875" style="159" customWidth="1"/>
    <col min="5898" max="5898" width="13.81640625" style="159" customWidth="1"/>
    <col min="5899" max="5899" width="2.36328125" style="159" customWidth="1"/>
    <col min="5900" max="5900" width="2" style="159" customWidth="1"/>
    <col min="5901" max="5901" width="49.453125" style="159" customWidth="1"/>
    <col min="5902" max="5902" width="12.90625" style="159" customWidth="1"/>
    <col min="5903" max="6144" width="8.90625" style="159"/>
    <col min="6145" max="6145" width="3.08984375" style="159" customWidth="1"/>
    <col min="6146" max="6146" width="33.36328125" style="159" customWidth="1"/>
    <col min="6147" max="6147" width="11.6328125" style="159" customWidth="1"/>
    <col min="6148" max="6148" width="12" style="159" customWidth="1"/>
    <col min="6149" max="6149" width="14.453125" style="159" bestFit="1" customWidth="1"/>
    <col min="6150" max="6150" width="10.6328125" style="159" customWidth="1"/>
    <col min="6151" max="6151" width="11.90625" style="159" customWidth="1"/>
    <col min="6152" max="6152" width="10.90625" style="159" customWidth="1"/>
    <col min="6153" max="6153" width="11.54296875" style="159" customWidth="1"/>
    <col min="6154" max="6154" width="13.81640625" style="159" customWidth="1"/>
    <col min="6155" max="6155" width="2.36328125" style="159" customWidth="1"/>
    <col min="6156" max="6156" width="2" style="159" customWidth="1"/>
    <col min="6157" max="6157" width="49.453125" style="159" customWidth="1"/>
    <col min="6158" max="6158" width="12.90625" style="159" customWidth="1"/>
    <col min="6159" max="6400" width="8.90625" style="159"/>
    <col min="6401" max="6401" width="3.08984375" style="159" customWidth="1"/>
    <col min="6402" max="6402" width="33.36328125" style="159" customWidth="1"/>
    <col min="6403" max="6403" width="11.6328125" style="159" customWidth="1"/>
    <col min="6404" max="6404" width="12" style="159" customWidth="1"/>
    <col min="6405" max="6405" width="14.453125" style="159" bestFit="1" customWidth="1"/>
    <col min="6406" max="6406" width="10.6328125" style="159" customWidth="1"/>
    <col min="6407" max="6407" width="11.90625" style="159" customWidth="1"/>
    <col min="6408" max="6408" width="10.90625" style="159" customWidth="1"/>
    <col min="6409" max="6409" width="11.54296875" style="159" customWidth="1"/>
    <col min="6410" max="6410" width="13.81640625" style="159" customWidth="1"/>
    <col min="6411" max="6411" width="2.36328125" style="159" customWidth="1"/>
    <col min="6412" max="6412" width="2" style="159" customWidth="1"/>
    <col min="6413" max="6413" width="49.453125" style="159" customWidth="1"/>
    <col min="6414" max="6414" width="12.90625" style="159" customWidth="1"/>
    <col min="6415" max="6656" width="8.90625" style="159"/>
    <col min="6657" max="6657" width="3.08984375" style="159" customWidth="1"/>
    <col min="6658" max="6658" width="33.36328125" style="159" customWidth="1"/>
    <col min="6659" max="6659" width="11.6328125" style="159" customWidth="1"/>
    <col min="6660" max="6660" width="12" style="159" customWidth="1"/>
    <col min="6661" max="6661" width="14.453125" style="159" bestFit="1" customWidth="1"/>
    <col min="6662" max="6662" width="10.6328125" style="159" customWidth="1"/>
    <col min="6663" max="6663" width="11.90625" style="159" customWidth="1"/>
    <col min="6664" max="6664" width="10.90625" style="159" customWidth="1"/>
    <col min="6665" max="6665" width="11.54296875" style="159" customWidth="1"/>
    <col min="6666" max="6666" width="13.81640625" style="159" customWidth="1"/>
    <col min="6667" max="6667" width="2.36328125" style="159" customWidth="1"/>
    <col min="6668" max="6668" width="2" style="159" customWidth="1"/>
    <col min="6669" max="6669" width="49.453125" style="159" customWidth="1"/>
    <col min="6670" max="6670" width="12.90625" style="159" customWidth="1"/>
    <col min="6671" max="6912" width="8.90625" style="159"/>
    <col min="6913" max="6913" width="3.08984375" style="159" customWidth="1"/>
    <col min="6914" max="6914" width="33.36328125" style="159" customWidth="1"/>
    <col min="6915" max="6915" width="11.6328125" style="159" customWidth="1"/>
    <col min="6916" max="6916" width="12" style="159" customWidth="1"/>
    <col min="6917" max="6917" width="14.453125" style="159" bestFit="1" customWidth="1"/>
    <col min="6918" max="6918" width="10.6328125" style="159" customWidth="1"/>
    <col min="6919" max="6919" width="11.90625" style="159" customWidth="1"/>
    <col min="6920" max="6920" width="10.90625" style="159" customWidth="1"/>
    <col min="6921" max="6921" width="11.54296875" style="159" customWidth="1"/>
    <col min="6922" max="6922" width="13.81640625" style="159" customWidth="1"/>
    <col min="6923" max="6923" width="2.36328125" style="159" customWidth="1"/>
    <col min="6924" max="6924" width="2" style="159" customWidth="1"/>
    <col min="6925" max="6925" width="49.453125" style="159" customWidth="1"/>
    <col min="6926" max="6926" width="12.90625" style="159" customWidth="1"/>
    <col min="6927" max="7168" width="8.90625" style="159"/>
    <col min="7169" max="7169" width="3.08984375" style="159" customWidth="1"/>
    <col min="7170" max="7170" width="33.36328125" style="159" customWidth="1"/>
    <col min="7171" max="7171" width="11.6328125" style="159" customWidth="1"/>
    <col min="7172" max="7172" width="12" style="159" customWidth="1"/>
    <col min="7173" max="7173" width="14.453125" style="159" bestFit="1" customWidth="1"/>
    <col min="7174" max="7174" width="10.6328125" style="159" customWidth="1"/>
    <col min="7175" max="7175" width="11.90625" style="159" customWidth="1"/>
    <col min="7176" max="7176" width="10.90625" style="159" customWidth="1"/>
    <col min="7177" max="7177" width="11.54296875" style="159" customWidth="1"/>
    <col min="7178" max="7178" width="13.81640625" style="159" customWidth="1"/>
    <col min="7179" max="7179" width="2.36328125" style="159" customWidth="1"/>
    <col min="7180" max="7180" width="2" style="159" customWidth="1"/>
    <col min="7181" max="7181" width="49.453125" style="159" customWidth="1"/>
    <col min="7182" max="7182" width="12.90625" style="159" customWidth="1"/>
    <col min="7183" max="7424" width="8.90625" style="159"/>
    <col min="7425" max="7425" width="3.08984375" style="159" customWidth="1"/>
    <col min="7426" max="7426" width="33.36328125" style="159" customWidth="1"/>
    <col min="7427" max="7427" width="11.6328125" style="159" customWidth="1"/>
    <col min="7428" max="7428" width="12" style="159" customWidth="1"/>
    <col min="7429" max="7429" width="14.453125" style="159" bestFit="1" customWidth="1"/>
    <col min="7430" max="7430" width="10.6328125" style="159" customWidth="1"/>
    <col min="7431" max="7431" width="11.90625" style="159" customWidth="1"/>
    <col min="7432" max="7432" width="10.90625" style="159" customWidth="1"/>
    <col min="7433" max="7433" width="11.54296875" style="159" customWidth="1"/>
    <col min="7434" max="7434" width="13.81640625" style="159" customWidth="1"/>
    <col min="7435" max="7435" width="2.36328125" style="159" customWidth="1"/>
    <col min="7436" max="7436" width="2" style="159" customWidth="1"/>
    <col min="7437" max="7437" width="49.453125" style="159" customWidth="1"/>
    <col min="7438" max="7438" width="12.90625" style="159" customWidth="1"/>
    <col min="7439" max="7680" width="8.90625" style="159"/>
    <col min="7681" max="7681" width="3.08984375" style="159" customWidth="1"/>
    <col min="7682" max="7682" width="33.36328125" style="159" customWidth="1"/>
    <col min="7683" max="7683" width="11.6328125" style="159" customWidth="1"/>
    <col min="7684" max="7684" width="12" style="159" customWidth="1"/>
    <col min="7685" max="7685" width="14.453125" style="159" bestFit="1" customWidth="1"/>
    <col min="7686" max="7686" width="10.6328125" style="159" customWidth="1"/>
    <col min="7687" max="7687" width="11.90625" style="159" customWidth="1"/>
    <col min="7688" max="7688" width="10.90625" style="159" customWidth="1"/>
    <col min="7689" max="7689" width="11.54296875" style="159" customWidth="1"/>
    <col min="7690" max="7690" width="13.81640625" style="159" customWidth="1"/>
    <col min="7691" max="7691" width="2.36328125" style="159" customWidth="1"/>
    <col min="7692" max="7692" width="2" style="159" customWidth="1"/>
    <col min="7693" max="7693" width="49.453125" style="159" customWidth="1"/>
    <col min="7694" max="7694" width="12.90625" style="159" customWidth="1"/>
    <col min="7695" max="7936" width="8.90625" style="159"/>
    <col min="7937" max="7937" width="3.08984375" style="159" customWidth="1"/>
    <col min="7938" max="7938" width="33.36328125" style="159" customWidth="1"/>
    <col min="7939" max="7939" width="11.6328125" style="159" customWidth="1"/>
    <col min="7940" max="7940" width="12" style="159" customWidth="1"/>
    <col min="7941" max="7941" width="14.453125" style="159" bestFit="1" customWidth="1"/>
    <col min="7942" max="7942" width="10.6328125" style="159" customWidth="1"/>
    <col min="7943" max="7943" width="11.90625" style="159" customWidth="1"/>
    <col min="7944" max="7944" width="10.90625" style="159" customWidth="1"/>
    <col min="7945" max="7945" width="11.54296875" style="159" customWidth="1"/>
    <col min="7946" max="7946" width="13.81640625" style="159" customWidth="1"/>
    <col min="7947" max="7947" width="2.36328125" style="159" customWidth="1"/>
    <col min="7948" max="7948" width="2" style="159" customWidth="1"/>
    <col min="7949" max="7949" width="49.453125" style="159" customWidth="1"/>
    <col min="7950" max="7950" width="12.90625" style="159" customWidth="1"/>
    <col min="7951" max="8192" width="8.90625" style="159"/>
    <col min="8193" max="8193" width="3.08984375" style="159" customWidth="1"/>
    <col min="8194" max="8194" width="33.36328125" style="159" customWidth="1"/>
    <col min="8195" max="8195" width="11.6328125" style="159" customWidth="1"/>
    <col min="8196" max="8196" width="12" style="159" customWidth="1"/>
    <col min="8197" max="8197" width="14.453125" style="159" bestFit="1" customWidth="1"/>
    <col min="8198" max="8198" width="10.6328125" style="159" customWidth="1"/>
    <col min="8199" max="8199" width="11.90625" style="159" customWidth="1"/>
    <col min="8200" max="8200" width="10.90625" style="159" customWidth="1"/>
    <col min="8201" max="8201" width="11.54296875" style="159" customWidth="1"/>
    <col min="8202" max="8202" width="13.81640625" style="159" customWidth="1"/>
    <col min="8203" max="8203" width="2.36328125" style="159" customWidth="1"/>
    <col min="8204" max="8204" width="2" style="159" customWidth="1"/>
    <col min="8205" max="8205" width="49.453125" style="159" customWidth="1"/>
    <col min="8206" max="8206" width="12.90625" style="159" customWidth="1"/>
    <col min="8207" max="8448" width="8.90625" style="159"/>
    <col min="8449" max="8449" width="3.08984375" style="159" customWidth="1"/>
    <col min="8450" max="8450" width="33.36328125" style="159" customWidth="1"/>
    <col min="8451" max="8451" width="11.6328125" style="159" customWidth="1"/>
    <col min="8452" max="8452" width="12" style="159" customWidth="1"/>
    <col min="8453" max="8453" width="14.453125" style="159" bestFit="1" customWidth="1"/>
    <col min="8454" max="8454" width="10.6328125" style="159" customWidth="1"/>
    <col min="8455" max="8455" width="11.90625" style="159" customWidth="1"/>
    <col min="8456" max="8456" width="10.90625" style="159" customWidth="1"/>
    <col min="8457" max="8457" width="11.54296875" style="159" customWidth="1"/>
    <col min="8458" max="8458" width="13.81640625" style="159" customWidth="1"/>
    <col min="8459" max="8459" width="2.36328125" style="159" customWidth="1"/>
    <col min="8460" max="8460" width="2" style="159" customWidth="1"/>
    <col min="8461" max="8461" width="49.453125" style="159" customWidth="1"/>
    <col min="8462" max="8462" width="12.90625" style="159" customWidth="1"/>
    <col min="8463" max="8704" width="8.90625" style="159"/>
    <col min="8705" max="8705" width="3.08984375" style="159" customWidth="1"/>
    <col min="8706" max="8706" width="33.36328125" style="159" customWidth="1"/>
    <col min="8707" max="8707" width="11.6328125" style="159" customWidth="1"/>
    <col min="8708" max="8708" width="12" style="159" customWidth="1"/>
    <col min="8709" max="8709" width="14.453125" style="159" bestFit="1" customWidth="1"/>
    <col min="8710" max="8710" width="10.6328125" style="159" customWidth="1"/>
    <col min="8711" max="8711" width="11.90625" style="159" customWidth="1"/>
    <col min="8712" max="8712" width="10.90625" style="159" customWidth="1"/>
    <col min="8713" max="8713" width="11.54296875" style="159" customWidth="1"/>
    <col min="8714" max="8714" width="13.81640625" style="159" customWidth="1"/>
    <col min="8715" max="8715" width="2.36328125" style="159" customWidth="1"/>
    <col min="8716" max="8716" width="2" style="159" customWidth="1"/>
    <col min="8717" max="8717" width="49.453125" style="159" customWidth="1"/>
    <col min="8718" max="8718" width="12.90625" style="159" customWidth="1"/>
    <col min="8719" max="8960" width="8.90625" style="159"/>
    <col min="8961" max="8961" width="3.08984375" style="159" customWidth="1"/>
    <col min="8962" max="8962" width="33.36328125" style="159" customWidth="1"/>
    <col min="8963" max="8963" width="11.6328125" style="159" customWidth="1"/>
    <col min="8964" max="8964" width="12" style="159" customWidth="1"/>
    <col min="8965" max="8965" width="14.453125" style="159" bestFit="1" customWidth="1"/>
    <col min="8966" max="8966" width="10.6328125" style="159" customWidth="1"/>
    <col min="8967" max="8967" width="11.90625" style="159" customWidth="1"/>
    <col min="8968" max="8968" width="10.90625" style="159" customWidth="1"/>
    <col min="8969" max="8969" width="11.54296875" style="159" customWidth="1"/>
    <col min="8970" max="8970" width="13.81640625" style="159" customWidth="1"/>
    <col min="8971" max="8971" width="2.36328125" style="159" customWidth="1"/>
    <col min="8972" max="8972" width="2" style="159" customWidth="1"/>
    <col min="8973" max="8973" width="49.453125" style="159" customWidth="1"/>
    <col min="8974" max="8974" width="12.90625" style="159" customWidth="1"/>
    <col min="8975" max="9216" width="8.90625" style="159"/>
    <col min="9217" max="9217" width="3.08984375" style="159" customWidth="1"/>
    <col min="9218" max="9218" width="33.36328125" style="159" customWidth="1"/>
    <col min="9219" max="9219" width="11.6328125" style="159" customWidth="1"/>
    <col min="9220" max="9220" width="12" style="159" customWidth="1"/>
    <col min="9221" max="9221" width="14.453125" style="159" bestFit="1" customWidth="1"/>
    <col min="9222" max="9222" width="10.6328125" style="159" customWidth="1"/>
    <col min="9223" max="9223" width="11.90625" style="159" customWidth="1"/>
    <col min="9224" max="9224" width="10.90625" style="159" customWidth="1"/>
    <col min="9225" max="9225" width="11.54296875" style="159" customWidth="1"/>
    <col min="9226" max="9226" width="13.81640625" style="159" customWidth="1"/>
    <col min="9227" max="9227" width="2.36328125" style="159" customWidth="1"/>
    <col min="9228" max="9228" width="2" style="159" customWidth="1"/>
    <col min="9229" max="9229" width="49.453125" style="159" customWidth="1"/>
    <col min="9230" max="9230" width="12.90625" style="159" customWidth="1"/>
    <col min="9231" max="9472" width="8.90625" style="159"/>
    <col min="9473" max="9473" width="3.08984375" style="159" customWidth="1"/>
    <col min="9474" max="9474" width="33.36328125" style="159" customWidth="1"/>
    <col min="9475" max="9475" width="11.6328125" style="159" customWidth="1"/>
    <col min="9476" max="9476" width="12" style="159" customWidth="1"/>
    <col min="9477" max="9477" width="14.453125" style="159" bestFit="1" customWidth="1"/>
    <col min="9478" max="9478" width="10.6328125" style="159" customWidth="1"/>
    <col min="9479" max="9479" width="11.90625" style="159" customWidth="1"/>
    <col min="9480" max="9480" width="10.90625" style="159" customWidth="1"/>
    <col min="9481" max="9481" width="11.54296875" style="159" customWidth="1"/>
    <col min="9482" max="9482" width="13.81640625" style="159" customWidth="1"/>
    <col min="9483" max="9483" width="2.36328125" style="159" customWidth="1"/>
    <col min="9484" max="9484" width="2" style="159" customWidth="1"/>
    <col min="9485" max="9485" width="49.453125" style="159" customWidth="1"/>
    <col min="9486" max="9486" width="12.90625" style="159" customWidth="1"/>
    <col min="9487" max="9728" width="8.90625" style="159"/>
    <col min="9729" max="9729" width="3.08984375" style="159" customWidth="1"/>
    <col min="9730" max="9730" width="33.36328125" style="159" customWidth="1"/>
    <col min="9731" max="9731" width="11.6328125" style="159" customWidth="1"/>
    <col min="9732" max="9732" width="12" style="159" customWidth="1"/>
    <col min="9733" max="9733" width="14.453125" style="159" bestFit="1" customWidth="1"/>
    <col min="9734" max="9734" width="10.6328125" style="159" customWidth="1"/>
    <col min="9735" max="9735" width="11.90625" style="159" customWidth="1"/>
    <col min="9736" max="9736" width="10.90625" style="159" customWidth="1"/>
    <col min="9737" max="9737" width="11.54296875" style="159" customWidth="1"/>
    <col min="9738" max="9738" width="13.81640625" style="159" customWidth="1"/>
    <col min="9739" max="9739" width="2.36328125" style="159" customWidth="1"/>
    <col min="9740" max="9740" width="2" style="159" customWidth="1"/>
    <col min="9741" max="9741" width="49.453125" style="159" customWidth="1"/>
    <col min="9742" max="9742" width="12.90625" style="159" customWidth="1"/>
    <col min="9743" max="9984" width="8.90625" style="159"/>
    <col min="9985" max="9985" width="3.08984375" style="159" customWidth="1"/>
    <col min="9986" max="9986" width="33.36328125" style="159" customWidth="1"/>
    <col min="9987" max="9987" width="11.6328125" style="159" customWidth="1"/>
    <col min="9988" max="9988" width="12" style="159" customWidth="1"/>
    <col min="9989" max="9989" width="14.453125" style="159" bestFit="1" customWidth="1"/>
    <col min="9990" max="9990" width="10.6328125" style="159" customWidth="1"/>
    <col min="9991" max="9991" width="11.90625" style="159" customWidth="1"/>
    <col min="9992" max="9992" width="10.90625" style="159" customWidth="1"/>
    <col min="9993" max="9993" width="11.54296875" style="159" customWidth="1"/>
    <col min="9994" max="9994" width="13.81640625" style="159" customWidth="1"/>
    <col min="9995" max="9995" width="2.36328125" style="159" customWidth="1"/>
    <col min="9996" max="9996" width="2" style="159" customWidth="1"/>
    <col min="9997" max="9997" width="49.453125" style="159" customWidth="1"/>
    <col min="9998" max="9998" width="12.90625" style="159" customWidth="1"/>
    <col min="9999" max="10240" width="8.90625" style="159"/>
    <col min="10241" max="10241" width="3.08984375" style="159" customWidth="1"/>
    <col min="10242" max="10242" width="33.36328125" style="159" customWidth="1"/>
    <col min="10243" max="10243" width="11.6328125" style="159" customWidth="1"/>
    <col min="10244" max="10244" width="12" style="159" customWidth="1"/>
    <col min="10245" max="10245" width="14.453125" style="159" bestFit="1" customWidth="1"/>
    <col min="10246" max="10246" width="10.6328125" style="159" customWidth="1"/>
    <col min="10247" max="10247" width="11.90625" style="159" customWidth="1"/>
    <col min="10248" max="10248" width="10.90625" style="159" customWidth="1"/>
    <col min="10249" max="10249" width="11.54296875" style="159" customWidth="1"/>
    <col min="10250" max="10250" width="13.81640625" style="159" customWidth="1"/>
    <col min="10251" max="10251" width="2.36328125" style="159" customWidth="1"/>
    <col min="10252" max="10252" width="2" style="159" customWidth="1"/>
    <col min="10253" max="10253" width="49.453125" style="159" customWidth="1"/>
    <col min="10254" max="10254" width="12.90625" style="159" customWidth="1"/>
    <col min="10255" max="10496" width="8.90625" style="159"/>
    <col min="10497" max="10497" width="3.08984375" style="159" customWidth="1"/>
    <col min="10498" max="10498" width="33.36328125" style="159" customWidth="1"/>
    <col min="10499" max="10499" width="11.6328125" style="159" customWidth="1"/>
    <col min="10500" max="10500" width="12" style="159" customWidth="1"/>
    <col min="10501" max="10501" width="14.453125" style="159" bestFit="1" customWidth="1"/>
    <col min="10502" max="10502" width="10.6328125" style="159" customWidth="1"/>
    <col min="10503" max="10503" width="11.90625" style="159" customWidth="1"/>
    <col min="10504" max="10504" width="10.90625" style="159" customWidth="1"/>
    <col min="10505" max="10505" width="11.54296875" style="159" customWidth="1"/>
    <col min="10506" max="10506" width="13.81640625" style="159" customWidth="1"/>
    <col min="10507" max="10507" width="2.36328125" style="159" customWidth="1"/>
    <col min="10508" max="10508" width="2" style="159" customWidth="1"/>
    <col min="10509" max="10509" width="49.453125" style="159" customWidth="1"/>
    <col min="10510" max="10510" width="12.90625" style="159" customWidth="1"/>
    <col min="10511" max="10752" width="8.90625" style="159"/>
    <col min="10753" max="10753" width="3.08984375" style="159" customWidth="1"/>
    <col min="10754" max="10754" width="33.36328125" style="159" customWidth="1"/>
    <col min="10755" max="10755" width="11.6328125" style="159" customWidth="1"/>
    <col min="10756" max="10756" width="12" style="159" customWidth="1"/>
    <col min="10757" max="10757" width="14.453125" style="159" bestFit="1" customWidth="1"/>
    <col min="10758" max="10758" width="10.6328125" style="159" customWidth="1"/>
    <col min="10759" max="10759" width="11.90625" style="159" customWidth="1"/>
    <col min="10760" max="10760" width="10.90625" style="159" customWidth="1"/>
    <col min="10761" max="10761" width="11.54296875" style="159" customWidth="1"/>
    <col min="10762" max="10762" width="13.81640625" style="159" customWidth="1"/>
    <col min="10763" max="10763" width="2.36328125" style="159" customWidth="1"/>
    <col min="10764" max="10764" width="2" style="159" customWidth="1"/>
    <col min="10765" max="10765" width="49.453125" style="159" customWidth="1"/>
    <col min="10766" max="10766" width="12.90625" style="159" customWidth="1"/>
    <col min="10767" max="11008" width="8.90625" style="159"/>
    <col min="11009" max="11009" width="3.08984375" style="159" customWidth="1"/>
    <col min="11010" max="11010" width="33.36328125" style="159" customWidth="1"/>
    <col min="11011" max="11011" width="11.6328125" style="159" customWidth="1"/>
    <col min="11012" max="11012" width="12" style="159" customWidth="1"/>
    <col min="11013" max="11013" width="14.453125" style="159" bestFit="1" customWidth="1"/>
    <col min="11014" max="11014" width="10.6328125" style="159" customWidth="1"/>
    <col min="11015" max="11015" width="11.90625" style="159" customWidth="1"/>
    <col min="11016" max="11016" width="10.90625" style="159" customWidth="1"/>
    <col min="11017" max="11017" width="11.54296875" style="159" customWidth="1"/>
    <col min="11018" max="11018" width="13.81640625" style="159" customWidth="1"/>
    <col min="11019" max="11019" width="2.36328125" style="159" customWidth="1"/>
    <col min="11020" max="11020" width="2" style="159" customWidth="1"/>
    <col min="11021" max="11021" width="49.453125" style="159" customWidth="1"/>
    <col min="11022" max="11022" width="12.90625" style="159" customWidth="1"/>
    <col min="11023" max="11264" width="8.90625" style="159"/>
    <col min="11265" max="11265" width="3.08984375" style="159" customWidth="1"/>
    <col min="11266" max="11266" width="33.36328125" style="159" customWidth="1"/>
    <col min="11267" max="11267" width="11.6328125" style="159" customWidth="1"/>
    <col min="11268" max="11268" width="12" style="159" customWidth="1"/>
    <col min="11269" max="11269" width="14.453125" style="159" bestFit="1" customWidth="1"/>
    <col min="11270" max="11270" width="10.6328125" style="159" customWidth="1"/>
    <col min="11271" max="11271" width="11.90625" style="159" customWidth="1"/>
    <col min="11272" max="11272" width="10.90625" style="159" customWidth="1"/>
    <col min="11273" max="11273" width="11.54296875" style="159" customWidth="1"/>
    <col min="11274" max="11274" width="13.81640625" style="159" customWidth="1"/>
    <col min="11275" max="11275" width="2.36328125" style="159" customWidth="1"/>
    <col min="11276" max="11276" width="2" style="159" customWidth="1"/>
    <col min="11277" max="11277" width="49.453125" style="159" customWidth="1"/>
    <col min="11278" max="11278" width="12.90625" style="159" customWidth="1"/>
    <col min="11279" max="11520" width="8.90625" style="159"/>
    <col min="11521" max="11521" width="3.08984375" style="159" customWidth="1"/>
    <col min="11522" max="11522" width="33.36328125" style="159" customWidth="1"/>
    <col min="11523" max="11523" width="11.6328125" style="159" customWidth="1"/>
    <col min="11524" max="11524" width="12" style="159" customWidth="1"/>
    <col min="11525" max="11525" width="14.453125" style="159" bestFit="1" customWidth="1"/>
    <col min="11526" max="11526" width="10.6328125" style="159" customWidth="1"/>
    <col min="11527" max="11527" width="11.90625" style="159" customWidth="1"/>
    <col min="11528" max="11528" width="10.90625" style="159" customWidth="1"/>
    <col min="11529" max="11529" width="11.54296875" style="159" customWidth="1"/>
    <col min="11530" max="11530" width="13.81640625" style="159" customWidth="1"/>
    <col min="11531" max="11531" width="2.36328125" style="159" customWidth="1"/>
    <col min="11532" max="11532" width="2" style="159" customWidth="1"/>
    <col min="11533" max="11533" width="49.453125" style="159" customWidth="1"/>
    <col min="11534" max="11534" width="12.90625" style="159" customWidth="1"/>
    <col min="11535" max="11776" width="8.90625" style="159"/>
    <col min="11777" max="11777" width="3.08984375" style="159" customWidth="1"/>
    <col min="11778" max="11778" width="33.36328125" style="159" customWidth="1"/>
    <col min="11779" max="11779" width="11.6328125" style="159" customWidth="1"/>
    <col min="11780" max="11780" width="12" style="159" customWidth="1"/>
    <col min="11781" max="11781" width="14.453125" style="159" bestFit="1" customWidth="1"/>
    <col min="11782" max="11782" width="10.6328125" style="159" customWidth="1"/>
    <col min="11783" max="11783" width="11.90625" style="159" customWidth="1"/>
    <col min="11784" max="11784" width="10.90625" style="159" customWidth="1"/>
    <col min="11785" max="11785" width="11.54296875" style="159" customWidth="1"/>
    <col min="11786" max="11786" width="13.81640625" style="159" customWidth="1"/>
    <col min="11787" max="11787" width="2.36328125" style="159" customWidth="1"/>
    <col min="11788" max="11788" width="2" style="159" customWidth="1"/>
    <col min="11789" max="11789" width="49.453125" style="159" customWidth="1"/>
    <col min="11790" max="11790" width="12.90625" style="159" customWidth="1"/>
    <col min="11791" max="12032" width="8.90625" style="159"/>
    <col min="12033" max="12033" width="3.08984375" style="159" customWidth="1"/>
    <col min="12034" max="12034" width="33.36328125" style="159" customWidth="1"/>
    <col min="12035" max="12035" width="11.6328125" style="159" customWidth="1"/>
    <col min="12036" max="12036" width="12" style="159" customWidth="1"/>
    <col min="12037" max="12037" width="14.453125" style="159" bestFit="1" customWidth="1"/>
    <col min="12038" max="12038" width="10.6328125" style="159" customWidth="1"/>
    <col min="12039" max="12039" width="11.90625" style="159" customWidth="1"/>
    <col min="12040" max="12040" width="10.90625" style="159" customWidth="1"/>
    <col min="12041" max="12041" width="11.54296875" style="159" customWidth="1"/>
    <col min="12042" max="12042" width="13.81640625" style="159" customWidth="1"/>
    <col min="12043" max="12043" width="2.36328125" style="159" customWidth="1"/>
    <col min="12044" max="12044" width="2" style="159" customWidth="1"/>
    <col min="12045" max="12045" width="49.453125" style="159" customWidth="1"/>
    <col min="12046" max="12046" width="12.90625" style="159" customWidth="1"/>
    <col min="12047" max="12288" width="8.90625" style="159"/>
    <col min="12289" max="12289" width="3.08984375" style="159" customWidth="1"/>
    <col min="12290" max="12290" width="33.36328125" style="159" customWidth="1"/>
    <col min="12291" max="12291" width="11.6328125" style="159" customWidth="1"/>
    <col min="12292" max="12292" width="12" style="159" customWidth="1"/>
    <col min="12293" max="12293" width="14.453125" style="159" bestFit="1" customWidth="1"/>
    <col min="12294" max="12294" width="10.6328125" style="159" customWidth="1"/>
    <col min="12295" max="12295" width="11.90625" style="159" customWidth="1"/>
    <col min="12296" max="12296" width="10.90625" style="159" customWidth="1"/>
    <col min="12297" max="12297" width="11.54296875" style="159" customWidth="1"/>
    <col min="12298" max="12298" width="13.81640625" style="159" customWidth="1"/>
    <col min="12299" max="12299" width="2.36328125" style="159" customWidth="1"/>
    <col min="12300" max="12300" width="2" style="159" customWidth="1"/>
    <col min="12301" max="12301" width="49.453125" style="159" customWidth="1"/>
    <col min="12302" max="12302" width="12.90625" style="159" customWidth="1"/>
    <col min="12303" max="12544" width="8.90625" style="159"/>
    <col min="12545" max="12545" width="3.08984375" style="159" customWidth="1"/>
    <col min="12546" max="12546" width="33.36328125" style="159" customWidth="1"/>
    <col min="12547" max="12547" width="11.6328125" style="159" customWidth="1"/>
    <col min="12548" max="12548" width="12" style="159" customWidth="1"/>
    <col min="12549" max="12549" width="14.453125" style="159" bestFit="1" customWidth="1"/>
    <col min="12550" max="12550" width="10.6328125" style="159" customWidth="1"/>
    <col min="12551" max="12551" width="11.90625" style="159" customWidth="1"/>
    <col min="12552" max="12552" width="10.90625" style="159" customWidth="1"/>
    <col min="12553" max="12553" width="11.54296875" style="159" customWidth="1"/>
    <col min="12554" max="12554" width="13.81640625" style="159" customWidth="1"/>
    <col min="12555" max="12555" width="2.36328125" style="159" customWidth="1"/>
    <col min="12556" max="12556" width="2" style="159" customWidth="1"/>
    <col min="12557" max="12557" width="49.453125" style="159" customWidth="1"/>
    <col min="12558" max="12558" width="12.90625" style="159" customWidth="1"/>
    <col min="12559" max="12800" width="8.90625" style="159"/>
    <col min="12801" max="12801" width="3.08984375" style="159" customWidth="1"/>
    <col min="12802" max="12802" width="33.36328125" style="159" customWidth="1"/>
    <col min="12803" max="12803" width="11.6328125" style="159" customWidth="1"/>
    <col min="12804" max="12804" width="12" style="159" customWidth="1"/>
    <col min="12805" max="12805" width="14.453125" style="159" bestFit="1" customWidth="1"/>
    <col min="12806" max="12806" width="10.6328125" style="159" customWidth="1"/>
    <col min="12807" max="12807" width="11.90625" style="159" customWidth="1"/>
    <col min="12808" max="12808" width="10.90625" style="159" customWidth="1"/>
    <col min="12809" max="12809" width="11.54296875" style="159" customWidth="1"/>
    <col min="12810" max="12810" width="13.81640625" style="159" customWidth="1"/>
    <col min="12811" max="12811" width="2.36328125" style="159" customWidth="1"/>
    <col min="12812" max="12812" width="2" style="159" customWidth="1"/>
    <col min="12813" max="12813" width="49.453125" style="159" customWidth="1"/>
    <col min="12814" max="12814" width="12.90625" style="159" customWidth="1"/>
    <col min="12815" max="13056" width="8.90625" style="159"/>
    <col min="13057" max="13057" width="3.08984375" style="159" customWidth="1"/>
    <col min="13058" max="13058" width="33.36328125" style="159" customWidth="1"/>
    <col min="13059" max="13059" width="11.6328125" style="159" customWidth="1"/>
    <col min="13060" max="13060" width="12" style="159" customWidth="1"/>
    <col min="13061" max="13061" width="14.453125" style="159" bestFit="1" customWidth="1"/>
    <col min="13062" max="13062" width="10.6328125" style="159" customWidth="1"/>
    <col min="13063" max="13063" width="11.90625" style="159" customWidth="1"/>
    <col min="13064" max="13064" width="10.90625" style="159" customWidth="1"/>
    <col min="13065" max="13065" width="11.54296875" style="159" customWidth="1"/>
    <col min="13066" max="13066" width="13.81640625" style="159" customWidth="1"/>
    <col min="13067" max="13067" width="2.36328125" style="159" customWidth="1"/>
    <col min="13068" max="13068" width="2" style="159" customWidth="1"/>
    <col min="13069" max="13069" width="49.453125" style="159" customWidth="1"/>
    <col min="13070" max="13070" width="12.90625" style="159" customWidth="1"/>
    <col min="13071" max="13312" width="8.90625" style="159"/>
    <col min="13313" max="13313" width="3.08984375" style="159" customWidth="1"/>
    <col min="13314" max="13314" width="33.36328125" style="159" customWidth="1"/>
    <col min="13315" max="13315" width="11.6328125" style="159" customWidth="1"/>
    <col min="13316" max="13316" width="12" style="159" customWidth="1"/>
    <col min="13317" max="13317" width="14.453125" style="159" bestFit="1" customWidth="1"/>
    <col min="13318" max="13318" width="10.6328125" style="159" customWidth="1"/>
    <col min="13319" max="13319" width="11.90625" style="159" customWidth="1"/>
    <col min="13320" max="13320" width="10.90625" style="159" customWidth="1"/>
    <col min="13321" max="13321" width="11.54296875" style="159" customWidth="1"/>
    <col min="13322" max="13322" width="13.81640625" style="159" customWidth="1"/>
    <col min="13323" max="13323" width="2.36328125" style="159" customWidth="1"/>
    <col min="13324" max="13324" width="2" style="159" customWidth="1"/>
    <col min="13325" max="13325" width="49.453125" style="159" customWidth="1"/>
    <col min="13326" max="13326" width="12.90625" style="159" customWidth="1"/>
    <col min="13327" max="13568" width="8.90625" style="159"/>
    <col min="13569" max="13569" width="3.08984375" style="159" customWidth="1"/>
    <col min="13570" max="13570" width="33.36328125" style="159" customWidth="1"/>
    <col min="13571" max="13571" width="11.6328125" style="159" customWidth="1"/>
    <col min="13572" max="13572" width="12" style="159" customWidth="1"/>
    <col min="13573" max="13573" width="14.453125" style="159" bestFit="1" customWidth="1"/>
    <col min="13574" max="13574" width="10.6328125" style="159" customWidth="1"/>
    <col min="13575" max="13575" width="11.90625" style="159" customWidth="1"/>
    <col min="13576" max="13576" width="10.90625" style="159" customWidth="1"/>
    <col min="13577" max="13577" width="11.54296875" style="159" customWidth="1"/>
    <col min="13578" max="13578" width="13.81640625" style="159" customWidth="1"/>
    <col min="13579" max="13579" width="2.36328125" style="159" customWidth="1"/>
    <col min="13580" max="13580" width="2" style="159" customWidth="1"/>
    <col min="13581" max="13581" width="49.453125" style="159" customWidth="1"/>
    <col min="13582" max="13582" width="12.90625" style="159" customWidth="1"/>
    <col min="13583" max="13824" width="8.90625" style="159"/>
    <col min="13825" max="13825" width="3.08984375" style="159" customWidth="1"/>
    <col min="13826" max="13826" width="33.36328125" style="159" customWidth="1"/>
    <col min="13827" max="13827" width="11.6328125" style="159" customWidth="1"/>
    <col min="13828" max="13828" width="12" style="159" customWidth="1"/>
    <col min="13829" max="13829" width="14.453125" style="159" bestFit="1" customWidth="1"/>
    <col min="13830" max="13830" width="10.6328125" style="159" customWidth="1"/>
    <col min="13831" max="13831" width="11.90625" style="159" customWidth="1"/>
    <col min="13832" max="13832" width="10.90625" style="159" customWidth="1"/>
    <col min="13833" max="13833" width="11.54296875" style="159" customWidth="1"/>
    <col min="13834" max="13834" width="13.81640625" style="159" customWidth="1"/>
    <col min="13835" max="13835" width="2.36328125" style="159" customWidth="1"/>
    <col min="13836" max="13836" width="2" style="159" customWidth="1"/>
    <col min="13837" max="13837" width="49.453125" style="159" customWidth="1"/>
    <col min="13838" max="13838" width="12.90625" style="159" customWidth="1"/>
    <col min="13839" max="14080" width="8.90625" style="159"/>
    <col min="14081" max="14081" width="3.08984375" style="159" customWidth="1"/>
    <col min="14082" max="14082" width="33.36328125" style="159" customWidth="1"/>
    <col min="14083" max="14083" width="11.6328125" style="159" customWidth="1"/>
    <col min="14084" max="14084" width="12" style="159" customWidth="1"/>
    <col min="14085" max="14085" width="14.453125" style="159" bestFit="1" customWidth="1"/>
    <col min="14086" max="14086" width="10.6328125" style="159" customWidth="1"/>
    <col min="14087" max="14087" width="11.90625" style="159" customWidth="1"/>
    <col min="14088" max="14088" width="10.90625" style="159" customWidth="1"/>
    <col min="14089" max="14089" width="11.54296875" style="159" customWidth="1"/>
    <col min="14090" max="14090" width="13.81640625" style="159" customWidth="1"/>
    <col min="14091" max="14091" width="2.36328125" style="159" customWidth="1"/>
    <col min="14092" max="14092" width="2" style="159" customWidth="1"/>
    <col min="14093" max="14093" width="49.453125" style="159" customWidth="1"/>
    <col min="14094" max="14094" width="12.90625" style="159" customWidth="1"/>
    <col min="14095" max="14336" width="8.90625" style="159"/>
    <col min="14337" max="14337" width="3.08984375" style="159" customWidth="1"/>
    <col min="14338" max="14338" width="33.36328125" style="159" customWidth="1"/>
    <col min="14339" max="14339" width="11.6328125" style="159" customWidth="1"/>
    <col min="14340" max="14340" width="12" style="159" customWidth="1"/>
    <col min="14341" max="14341" width="14.453125" style="159" bestFit="1" customWidth="1"/>
    <col min="14342" max="14342" width="10.6328125" style="159" customWidth="1"/>
    <col min="14343" max="14343" width="11.90625" style="159" customWidth="1"/>
    <col min="14344" max="14344" width="10.90625" style="159" customWidth="1"/>
    <col min="14345" max="14345" width="11.54296875" style="159" customWidth="1"/>
    <col min="14346" max="14346" width="13.81640625" style="159" customWidth="1"/>
    <col min="14347" max="14347" width="2.36328125" style="159" customWidth="1"/>
    <col min="14348" max="14348" width="2" style="159" customWidth="1"/>
    <col min="14349" max="14349" width="49.453125" style="159" customWidth="1"/>
    <col min="14350" max="14350" width="12.90625" style="159" customWidth="1"/>
    <col min="14351" max="14592" width="8.90625" style="159"/>
    <col min="14593" max="14593" width="3.08984375" style="159" customWidth="1"/>
    <col min="14594" max="14594" width="33.36328125" style="159" customWidth="1"/>
    <col min="14595" max="14595" width="11.6328125" style="159" customWidth="1"/>
    <col min="14596" max="14596" width="12" style="159" customWidth="1"/>
    <col min="14597" max="14597" width="14.453125" style="159" bestFit="1" customWidth="1"/>
    <col min="14598" max="14598" width="10.6328125" style="159" customWidth="1"/>
    <col min="14599" max="14599" width="11.90625" style="159" customWidth="1"/>
    <col min="14600" max="14600" width="10.90625" style="159" customWidth="1"/>
    <col min="14601" max="14601" width="11.54296875" style="159" customWidth="1"/>
    <col min="14602" max="14602" width="13.81640625" style="159" customWidth="1"/>
    <col min="14603" max="14603" width="2.36328125" style="159" customWidth="1"/>
    <col min="14604" max="14604" width="2" style="159" customWidth="1"/>
    <col min="14605" max="14605" width="49.453125" style="159" customWidth="1"/>
    <col min="14606" max="14606" width="12.90625" style="159" customWidth="1"/>
    <col min="14607" max="14848" width="8.90625" style="159"/>
    <col min="14849" max="14849" width="3.08984375" style="159" customWidth="1"/>
    <col min="14850" max="14850" width="33.36328125" style="159" customWidth="1"/>
    <col min="14851" max="14851" width="11.6328125" style="159" customWidth="1"/>
    <col min="14852" max="14852" width="12" style="159" customWidth="1"/>
    <col min="14853" max="14853" width="14.453125" style="159" bestFit="1" customWidth="1"/>
    <col min="14854" max="14854" width="10.6328125" style="159" customWidth="1"/>
    <col min="14855" max="14855" width="11.90625" style="159" customWidth="1"/>
    <col min="14856" max="14856" width="10.90625" style="159" customWidth="1"/>
    <col min="14857" max="14857" width="11.54296875" style="159" customWidth="1"/>
    <col min="14858" max="14858" width="13.81640625" style="159" customWidth="1"/>
    <col min="14859" max="14859" width="2.36328125" style="159" customWidth="1"/>
    <col min="14860" max="14860" width="2" style="159" customWidth="1"/>
    <col min="14861" max="14861" width="49.453125" style="159" customWidth="1"/>
    <col min="14862" max="14862" width="12.90625" style="159" customWidth="1"/>
    <col min="14863" max="15104" width="8.90625" style="159"/>
    <col min="15105" max="15105" width="3.08984375" style="159" customWidth="1"/>
    <col min="15106" max="15106" width="33.36328125" style="159" customWidth="1"/>
    <col min="15107" max="15107" width="11.6328125" style="159" customWidth="1"/>
    <col min="15108" max="15108" width="12" style="159" customWidth="1"/>
    <col min="15109" max="15109" width="14.453125" style="159" bestFit="1" customWidth="1"/>
    <col min="15110" max="15110" width="10.6328125" style="159" customWidth="1"/>
    <col min="15111" max="15111" width="11.90625" style="159" customWidth="1"/>
    <col min="15112" max="15112" width="10.90625" style="159" customWidth="1"/>
    <col min="15113" max="15113" width="11.54296875" style="159" customWidth="1"/>
    <col min="15114" max="15114" width="13.81640625" style="159" customWidth="1"/>
    <col min="15115" max="15115" width="2.36328125" style="159" customWidth="1"/>
    <col min="15116" max="15116" width="2" style="159" customWidth="1"/>
    <col min="15117" max="15117" width="49.453125" style="159" customWidth="1"/>
    <col min="15118" max="15118" width="12.90625" style="159" customWidth="1"/>
    <col min="15119" max="15360" width="8.90625" style="159"/>
    <col min="15361" max="15361" width="3.08984375" style="159" customWidth="1"/>
    <col min="15362" max="15362" width="33.36328125" style="159" customWidth="1"/>
    <col min="15363" max="15363" width="11.6328125" style="159" customWidth="1"/>
    <col min="15364" max="15364" width="12" style="159" customWidth="1"/>
    <col min="15365" max="15365" width="14.453125" style="159" bestFit="1" customWidth="1"/>
    <col min="15366" max="15366" width="10.6328125" style="159" customWidth="1"/>
    <col min="15367" max="15367" width="11.90625" style="159" customWidth="1"/>
    <col min="15368" max="15368" width="10.90625" style="159" customWidth="1"/>
    <col min="15369" max="15369" width="11.54296875" style="159" customWidth="1"/>
    <col min="15370" max="15370" width="13.81640625" style="159" customWidth="1"/>
    <col min="15371" max="15371" width="2.36328125" style="159" customWidth="1"/>
    <col min="15372" max="15372" width="2" style="159" customWidth="1"/>
    <col min="15373" max="15373" width="49.453125" style="159" customWidth="1"/>
    <col min="15374" max="15374" width="12.90625" style="159" customWidth="1"/>
    <col min="15375" max="15616" width="8.90625" style="159"/>
    <col min="15617" max="15617" width="3.08984375" style="159" customWidth="1"/>
    <col min="15618" max="15618" width="33.36328125" style="159" customWidth="1"/>
    <col min="15619" max="15619" width="11.6328125" style="159" customWidth="1"/>
    <col min="15620" max="15620" width="12" style="159" customWidth="1"/>
    <col min="15621" max="15621" width="14.453125" style="159" bestFit="1" customWidth="1"/>
    <col min="15622" max="15622" width="10.6328125" style="159" customWidth="1"/>
    <col min="15623" max="15623" width="11.90625" style="159" customWidth="1"/>
    <col min="15624" max="15624" width="10.90625" style="159" customWidth="1"/>
    <col min="15625" max="15625" width="11.54296875" style="159" customWidth="1"/>
    <col min="15626" max="15626" width="13.81640625" style="159" customWidth="1"/>
    <col min="15627" max="15627" width="2.36328125" style="159" customWidth="1"/>
    <col min="15628" max="15628" width="2" style="159" customWidth="1"/>
    <col min="15629" max="15629" width="49.453125" style="159" customWidth="1"/>
    <col min="15630" max="15630" width="12.90625" style="159" customWidth="1"/>
    <col min="15631" max="15872" width="8.90625" style="159"/>
    <col min="15873" max="15873" width="3.08984375" style="159" customWidth="1"/>
    <col min="15874" max="15874" width="33.36328125" style="159" customWidth="1"/>
    <col min="15875" max="15875" width="11.6328125" style="159" customWidth="1"/>
    <col min="15876" max="15876" width="12" style="159" customWidth="1"/>
    <col min="15877" max="15877" width="14.453125" style="159" bestFit="1" customWidth="1"/>
    <col min="15878" max="15878" width="10.6328125" style="159" customWidth="1"/>
    <col min="15879" max="15879" width="11.90625" style="159" customWidth="1"/>
    <col min="15880" max="15880" width="10.90625" style="159" customWidth="1"/>
    <col min="15881" max="15881" width="11.54296875" style="159" customWidth="1"/>
    <col min="15882" max="15882" width="13.81640625" style="159" customWidth="1"/>
    <col min="15883" max="15883" width="2.36328125" style="159" customWidth="1"/>
    <col min="15884" max="15884" width="2" style="159" customWidth="1"/>
    <col min="15885" max="15885" width="49.453125" style="159" customWidth="1"/>
    <col min="15886" max="15886" width="12.90625" style="159" customWidth="1"/>
    <col min="15887" max="16128" width="8.90625" style="159"/>
    <col min="16129" max="16129" width="3.08984375" style="159" customWidth="1"/>
    <col min="16130" max="16130" width="33.36328125" style="159" customWidth="1"/>
    <col min="16131" max="16131" width="11.6328125" style="159" customWidth="1"/>
    <col min="16132" max="16132" width="12" style="159" customWidth="1"/>
    <col min="16133" max="16133" width="14.453125" style="159" bestFit="1" customWidth="1"/>
    <col min="16134" max="16134" width="10.6328125" style="159" customWidth="1"/>
    <col min="16135" max="16135" width="11.90625" style="159" customWidth="1"/>
    <col min="16136" max="16136" width="10.90625" style="159" customWidth="1"/>
    <col min="16137" max="16137" width="11.54296875" style="159" customWidth="1"/>
    <col min="16138" max="16138" width="13.81640625" style="159" customWidth="1"/>
    <col min="16139" max="16139" width="2.36328125" style="159" customWidth="1"/>
    <col min="16140" max="16140" width="2" style="159" customWidth="1"/>
    <col min="16141" max="16141" width="49.453125" style="159" customWidth="1"/>
    <col min="16142" max="16142" width="12.90625" style="159" customWidth="1"/>
    <col min="16143" max="16384" width="8.90625" style="159"/>
  </cols>
  <sheetData>
    <row r="1" spans="1:15" s="333" customFormat="1" ht="19.600000000000001" customHeight="1">
      <c r="A1" s="55" t="str">
        <f ca="1">RIGHT(CELL("filename",D2),LEN(CELL("filename",D2))-FIND("]",CELL("filename",D2)))</f>
        <v>WP03-B ADIT Detail</v>
      </c>
      <c r="C1" s="1337"/>
      <c r="D1" s="1337"/>
      <c r="E1" s="1337"/>
      <c r="F1" s="1337"/>
      <c r="G1" s="1337"/>
      <c r="H1" s="1337"/>
      <c r="I1" s="1337"/>
      <c r="J1" s="1337"/>
      <c r="K1" s="334"/>
    </row>
    <row r="2" spans="1:15" s="333" customFormat="1" ht="12.05" customHeight="1">
      <c r="B2" s="298"/>
      <c r="C2" s="335"/>
      <c r="D2" s="335"/>
      <c r="E2" s="335"/>
      <c r="F2" s="335"/>
      <c r="G2" s="335"/>
      <c r="H2" s="335"/>
      <c r="I2" s="335"/>
      <c r="J2" s="335"/>
      <c r="K2" s="335"/>
      <c r="M2" s="160"/>
    </row>
    <row r="3" spans="1:15" s="333" customFormat="1" ht="15.05">
      <c r="C3" s="1338"/>
      <c r="D3" s="1338"/>
      <c r="E3" s="1338"/>
      <c r="F3" s="1338"/>
      <c r="G3" s="1338"/>
      <c r="H3" s="1338"/>
      <c r="I3" s="1338"/>
      <c r="J3" s="1338"/>
      <c r="K3" s="336"/>
      <c r="M3" s="337"/>
    </row>
    <row r="4" spans="1:15" s="333" customFormat="1" ht="13.8" thickBot="1">
      <c r="B4" s="160"/>
      <c r="J4" s="338"/>
      <c r="K4" s="338"/>
    </row>
    <row r="5" spans="1:15" s="333" customFormat="1" ht="15.85" customHeight="1">
      <c r="C5" s="1344" t="s">
        <v>483</v>
      </c>
      <c r="D5" s="1345"/>
      <c r="E5" s="1345"/>
      <c r="F5" s="1345"/>
      <c r="G5" s="1345"/>
      <c r="H5" s="1345"/>
      <c r="I5" s="1345"/>
      <c r="J5" s="1345"/>
      <c r="K5" s="1345"/>
      <c r="L5" s="1346"/>
    </row>
    <row r="6" spans="1:15" s="333" customFormat="1" ht="13.8" thickBot="1">
      <c r="C6" s="1347" t="s">
        <v>706</v>
      </c>
      <c r="D6" s="1348"/>
      <c r="E6" s="1348"/>
      <c r="F6" s="1348"/>
      <c r="G6" s="1348"/>
      <c r="H6" s="1348"/>
      <c r="I6" s="1348"/>
      <c r="J6" s="1348"/>
      <c r="K6" s="1348"/>
      <c r="L6" s="1349"/>
      <c r="O6" s="340"/>
    </row>
    <row r="7" spans="1:15" s="333" customFormat="1" ht="13.15">
      <c r="A7" s="333" t="s">
        <v>5</v>
      </c>
      <c r="C7" s="334" t="s">
        <v>691</v>
      </c>
      <c r="D7" s="334" t="s">
        <v>690</v>
      </c>
      <c r="E7" s="658" t="s">
        <v>689</v>
      </c>
      <c r="F7" s="658" t="s">
        <v>688</v>
      </c>
      <c r="G7" s="334" t="s">
        <v>131</v>
      </c>
      <c r="H7" s="383" t="s">
        <v>132</v>
      </c>
      <c r="I7" s="383" t="s">
        <v>133</v>
      </c>
      <c r="J7" s="383" t="s">
        <v>134</v>
      </c>
      <c r="K7" s="383" t="s">
        <v>138</v>
      </c>
      <c r="L7" s="412" t="s">
        <v>139</v>
      </c>
    </row>
    <row r="8" spans="1:15" s="333" customFormat="1" ht="26.3">
      <c r="C8" s="341" t="s">
        <v>692</v>
      </c>
      <c r="D8" s="341" t="s">
        <v>693</v>
      </c>
      <c r="E8" s="341" t="s">
        <v>694</v>
      </c>
      <c r="F8" s="341" t="s">
        <v>695</v>
      </c>
      <c r="G8" s="341" t="s">
        <v>511</v>
      </c>
      <c r="H8" s="341" t="s">
        <v>510</v>
      </c>
      <c r="I8" s="341" t="s">
        <v>512</v>
      </c>
      <c r="J8" s="774" t="s">
        <v>697</v>
      </c>
      <c r="K8" s="774" t="s">
        <v>698</v>
      </c>
      <c r="L8" s="802" t="s">
        <v>700</v>
      </c>
    </row>
    <row r="9" spans="1:15" s="333" customFormat="1" ht="13.15">
      <c r="C9" s="341" t="s">
        <v>452</v>
      </c>
      <c r="D9" s="341" t="s">
        <v>452</v>
      </c>
      <c r="E9" s="341" t="s">
        <v>452</v>
      </c>
      <c r="F9" s="341" t="s">
        <v>452</v>
      </c>
      <c r="G9" s="341" t="s">
        <v>298</v>
      </c>
      <c r="H9" s="341" t="s">
        <v>11</v>
      </c>
      <c r="I9" s="341" t="s">
        <v>11</v>
      </c>
      <c r="J9" s="341" t="s">
        <v>453</v>
      </c>
      <c r="K9" s="341" t="s">
        <v>453</v>
      </c>
      <c r="L9" s="412" t="s">
        <v>10</v>
      </c>
    </row>
    <row r="10" spans="1:15" s="333" customFormat="1" ht="40.549999999999997" customHeight="1">
      <c r="C10" s="348" t="s">
        <v>17</v>
      </c>
      <c r="D10" s="348" t="s">
        <v>17</v>
      </c>
      <c r="E10" s="348" t="s">
        <v>18</v>
      </c>
      <c r="F10" s="348" t="s">
        <v>18</v>
      </c>
      <c r="G10" s="801" t="s">
        <v>696</v>
      </c>
      <c r="H10" s="348" t="s">
        <v>19</v>
      </c>
      <c r="I10" s="348" t="s">
        <v>20</v>
      </c>
      <c r="J10" s="801" t="s">
        <v>699</v>
      </c>
      <c r="K10" s="801" t="s">
        <v>705</v>
      </c>
      <c r="L10" s="413" t="s">
        <v>704</v>
      </c>
    </row>
    <row r="11" spans="1:15" s="333" customFormat="1">
      <c r="A11" s="333" t="s">
        <v>3</v>
      </c>
      <c r="B11" s="333" t="s">
        <v>3</v>
      </c>
      <c r="J11" s="340"/>
      <c r="L11" s="414"/>
    </row>
    <row r="12" spans="1:15" s="333" customFormat="1" ht="13.15">
      <c r="A12" s="333">
        <v>1</v>
      </c>
      <c r="B12" s="338" t="s">
        <v>454</v>
      </c>
      <c r="C12" s="344">
        <f>I108</f>
        <v>0</v>
      </c>
      <c r="D12" s="344">
        <f>I126</f>
        <v>0</v>
      </c>
      <c r="E12" s="344">
        <f>J108</f>
        <v>0</v>
      </c>
      <c r="F12" s="344">
        <f>J126</f>
        <v>0</v>
      </c>
      <c r="G12" s="344">
        <f>SUM(C12:F12)</f>
        <v>0</v>
      </c>
      <c r="H12" s="405">
        <f>'Attachment H-28A MAIT '!$G$61</f>
        <v>1</v>
      </c>
      <c r="I12" s="405">
        <f>'Attachment H-28A MAIT '!$I$233</f>
        <v>1</v>
      </c>
      <c r="J12" s="406">
        <f>(C12*H12)+(D12*I12)</f>
        <v>0</v>
      </c>
      <c r="K12" s="374">
        <f>(D12*H12)+(E12*I12)</f>
        <v>0</v>
      </c>
      <c r="L12" s="415">
        <f>J12+K12/2</f>
        <v>0</v>
      </c>
    </row>
    <row r="13" spans="1:15" s="333" customFormat="1" ht="13.15">
      <c r="A13" s="333">
        <f t="shared" ref="A13:A14" si="0">A12+1</f>
        <v>2</v>
      </c>
      <c r="B13" s="338" t="s">
        <v>455</v>
      </c>
      <c r="C13" s="344">
        <f>I178</f>
        <v>0</v>
      </c>
      <c r="D13" s="344">
        <f>I197</f>
        <v>0</v>
      </c>
      <c r="E13" s="344">
        <f>J178</f>
        <v>0</v>
      </c>
      <c r="F13" s="344">
        <f>J197</f>
        <v>0</v>
      </c>
      <c r="G13" s="344">
        <f t="shared" ref="G13:G15" si="1">SUM(C13:F13)</f>
        <v>0</v>
      </c>
      <c r="H13" s="405">
        <f>'Attachment H-28A MAIT '!$G$61</f>
        <v>1</v>
      </c>
      <c r="I13" s="405">
        <f>'Attachment H-28A MAIT '!$I$233</f>
        <v>1</v>
      </c>
      <c r="J13" s="406">
        <f>(C13*H13)+(D13*I13)</f>
        <v>0</v>
      </c>
      <c r="K13" s="374">
        <f>(D13*H13)+(E13*I13)</f>
        <v>0</v>
      </c>
      <c r="L13" s="415">
        <f t="shared" ref="L13:L16" si="2">J13+K13/2</f>
        <v>0</v>
      </c>
    </row>
    <row r="14" spans="1:15" s="333" customFormat="1" ht="13.15">
      <c r="A14" s="333">
        <f t="shared" si="0"/>
        <v>3</v>
      </c>
      <c r="B14" s="338" t="s">
        <v>456</v>
      </c>
      <c r="C14" s="343">
        <f>I47</f>
        <v>0</v>
      </c>
      <c r="D14" s="343">
        <f>I62</f>
        <v>0</v>
      </c>
      <c r="E14" s="343">
        <f>J47</f>
        <v>0</v>
      </c>
      <c r="F14" s="343">
        <f>J62</f>
        <v>0</v>
      </c>
      <c r="G14" s="344">
        <f t="shared" si="1"/>
        <v>0</v>
      </c>
      <c r="H14" s="405">
        <f>'Attachment H-28A MAIT '!$G$61</f>
        <v>1</v>
      </c>
      <c r="I14" s="405">
        <f>'Attachment H-28A MAIT '!$I$233</f>
        <v>1</v>
      </c>
      <c r="J14" s="406">
        <f>(C14*H14)+(D14*I14)</f>
        <v>0</v>
      </c>
      <c r="K14" s="374">
        <f>(D14*H14)+(E14*I14)</f>
        <v>0</v>
      </c>
      <c r="L14" s="415">
        <f t="shared" si="2"/>
        <v>0</v>
      </c>
    </row>
    <row r="15" spans="1:15" s="333" customFormat="1" ht="13.15">
      <c r="A15" s="333">
        <v>4</v>
      </c>
      <c r="B15" s="338" t="s">
        <v>487</v>
      </c>
      <c r="C15" s="345">
        <f>I248</f>
        <v>0</v>
      </c>
      <c r="D15" s="345">
        <f>I264</f>
        <v>0</v>
      </c>
      <c r="E15" s="345">
        <f>J248</f>
        <v>0</v>
      </c>
      <c r="F15" s="345">
        <f>J264</f>
        <v>0</v>
      </c>
      <c r="G15" s="344">
        <f t="shared" si="1"/>
        <v>0</v>
      </c>
      <c r="H15" s="405">
        <f>'Attachment H-28A MAIT '!$G$61</f>
        <v>1</v>
      </c>
      <c r="I15" s="405">
        <f>'Attachment H-28A MAIT '!$I$233</f>
        <v>1</v>
      </c>
      <c r="J15" s="406">
        <f>(C15*H15)+(D15*I15)</f>
        <v>0</v>
      </c>
      <c r="K15" s="374">
        <f>(D15*H15)+(E15*I15)</f>
        <v>0</v>
      </c>
      <c r="L15" s="415">
        <f t="shared" si="2"/>
        <v>0</v>
      </c>
    </row>
    <row r="16" spans="1:15" s="333" customFormat="1" ht="14.4">
      <c r="A16" s="333">
        <v>5</v>
      </c>
      <c r="B16" s="338" t="s">
        <v>488</v>
      </c>
      <c r="C16" s="408">
        <f>I314</f>
        <v>0</v>
      </c>
      <c r="D16" s="408">
        <f>I330</f>
        <v>0</v>
      </c>
      <c r="E16" s="408">
        <f>J314</f>
        <v>0</v>
      </c>
      <c r="F16" s="408">
        <f>J330</f>
        <v>0</v>
      </c>
      <c r="G16" s="346">
        <f>SUM(C16:F16)</f>
        <v>0</v>
      </c>
      <c r="H16" s="405">
        <f>'Attachment H-28A MAIT '!$G$61</f>
        <v>1</v>
      </c>
      <c r="I16" s="405">
        <f>'Attachment H-28A MAIT '!$I$233</f>
        <v>1</v>
      </c>
      <c r="J16" s="409">
        <f>(C16*H16)+(D16*I16)</f>
        <v>0</v>
      </c>
      <c r="K16" s="407">
        <f>(D16*H16)+(E16*I16)</f>
        <v>0</v>
      </c>
      <c r="L16" s="416">
        <f t="shared" si="2"/>
        <v>0</v>
      </c>
    </row>
    <row r="17" spans="1:13" s="333" customFormat="1" ht="13.15">
      <c r="A17" s="333">
        <v>6</v>
      </c>
      <c r="B17" s="338" t="s">
        <v>298</v>
      </c>
      <c r="C17" s="344">
        <f>SUM(C12:C16)</f>
        <v>0</v>
      </c>
      <c r="D17" s="344">
        <f>SUM(D12:D16)</f>
        <v>0</v>
      </c>
      <c r="E17" s="344">
        <f>SUM(E12:E16)</f>
        <v>0</v>
      </c>
      <c r="F17" s="344">
        <f>SUM(F12:F16)</f>
        <v>0</v>
      </c>
      <c r="G17" s="344">
        <f>SUM(C17:F17)</f>
        <v>0</v>
      </c>
      <c r="H17" s="344"/>
      <c r="I17" s="344"/>
      <c r="J17" s="344">
        <f>SUM(J12:J16)</f>
        <v>0</v>
      </c>
      <c r="K17" s="344">
        <f>SUM(K12:K16)</f>
        <v>0</v>
      </c>
      <c r="L17" s="415">
        <f>SUM(L12:L16)</f>
        <v>0</v>
      </c>
    </row>
    <row r="18" spans="1:13" s="333" customFormat="1" ht="13.15">
      <c r="A18" s="340"/>
      <c r="B18" s="337"/>
      <c r="C18" s="357"/>
      <c r="D18" s="403"/>
      <c r="E18" s="357"/>
      <c r="F18" s="344"/>
      <c r="G18" s="344"/>
      <c r="H18" s="340"/>
    </row>
    <row r="19" spans="1:13" s="333" customFormat="1" ht="13.15">
      <c r="A19" s="340" t="s">
        <v>230</v>
      </c>
      <c r="B19" s="337"/>
      <c r="C19" s="403"/>
      <c r="D19" s="357"/>
      <c r="E19" s="357"/>
      <c r="F19" s="357"/>
      <c r="G19" s="357"/>
      <c r="H19" s="340"/>
    </row>
    <row r="20" spans="1:13" s="333" customFormat="1">
      <c r="A20" s="410" t="s">
        <v>123</v>
      </c>
      <c r="B20" s="340" t="s">
        <v>701</v>
      </c>
      <c r="C20" s="357"/>
      <c r="D20" s="357"/>
      <c r="E20" s="347"/>
      <c r="F20" s="344"/>
      <c r="G20" s="344"/>
    </row>
    <row r="21" spans="1:13" s="333" customFormat="1">
      <c r="A21" s="411" t="s">
        <v>124</v>
      </c>
      <c r="B21" s="340" t="s">
        <v>702</v>
      </c>
      <c r="G21" s="344"/>
      <c r="H21" s="344"/>
      <c r="I21" s="344"/>
      <c r="J21" s="348"/>
      <c r="K21" s="344"/>
      <c r="L21" s="344"/>
      <c r="M21" s="340"/>
    </row>
    <row r="22" spans="1:13" s="333" customFormat="1">
      <c r="A22" s="411" t="s">
        <v>125</v>
      </c>
      <c r="B22" s="340" t="s">
        <v>513</v>
      </c>
      <c r="G22" s="344"/>
      <c r="H22" s="344"/>
      <c r="I22" s="344"/>
      <c r="J22" s="347"/>
      <c r="K22" s="344"/>
      <c r="L22" s="344"/>
      <c r="M22" s="340"/>
    </row>
    <row r="23" spans="1:13" s="333" customFormat="1">
      <c r="A23" s="411" t="s">
        <v>126</v>
      </c>
      <c r="B23" s="340" t="s">
        <v>514</v>
      </c>
      <c r="M23" s="340"/>
    </row>
    <row r="24" spans="1:13" s="333" customFormat="1" ht="12.05" customHeight="1">
      <c r="A24" s="411" t="s">
        <v>127</v>
      </c>
      <c r="B24" s="417" t="s">
        <v>703</v>
      </c>
      <c r="C24" s="380"/>
      <c r="D24" s="380"/>
      <c r="E24" s="380"/>
      <c r="F24" s="380"/>
      <c r="G24" s="380"/>
      <c r="H24" s="380"/>
      <c r="I24" s="380"/>
      <c r="J24" s="380"/>
      <c r="K24" s="349"/>
      <c r="M24" s="340"/>
    </row>
    <row r="25" spans="1:13" s="333" customFormat="1">
      <c r="B25" s="340"/>
      <c r="C25" s="340"/>
      <c r="D25" s="340"/>
      <c r="E25" s="340"/>
      <c r="F25" s="340"/>
      <c r="G25" s="340"/>
      <c r="H25" s="379"/>
      <c r="I25" s="340"/>
      <c r="J25" s="340"/>
      <c r="K25" s="340"/>
      <c r="M25" s="340"/>
    </row>
    <row r="26" spans="1:13" s="333" customFormat="1">
      <c r="B26" s="340"/>
      <c r="C26" s="340"/>
      <c r="D26" s="340"/>
      <c r="E26" s="340"/>
      <c r="F26" s="340"/>
      <c r="G26" s="340"/>
      <c r="H26" s="340"/>
      <c r="I26" s="340"/>
      <c r="J26" s="340"/>
      <c r="K26" s="340"/>
      <c r="M26" s="340"/>
    </row>
    <row r="27" spans="1:13" s="333" customFormat="1">
      <c r="B27" s="350"/>
      <c r="C27" s="340"/>
      <c r="D27" s="340"/>
      <c r="E27" s="340"/>
      <c r="F27" s="340"/>
      <c r="G27" s="340"/>
      <c r="H27" s="340"/>
      <c r="I27" s="340"/>
      <c r="J27" s="340"/>
      <c r="K27" s="340"/>
      <c r="M27" s="340"/>
    </row>
    <row r="28" spans="1:13" s="333" customFormat="1" ht="13.15">
      <c r="B28" s="1339" t="s">
        <v>457</v>
      </c>
      <c r="C28" s="1339"/>
      <c r="D28" s="1339"/>
      <c r="E28" s="1339"/>
      <c r="F28" s="1339"/>
      <c r="G28" s="1339"/>
      <c r="H28" s="1339"/>
      <c r="I28" s="1339"/>
      <c r="J28" s="1339"/>
      <c r="K28" s="1339"/>
      <c r="L28" s="1339"/>
      <c r="M28" s="1339"/>
    </row>
    <row r="29" spans="1:13" s="333" customFormat="1" ht="13.15">
      <c r="B29" s="351" t="s">
        <v>458</v>
      </c>
      <c r="C29" s="340"/>
      <c r="D29" s="340"/>
      <c r="E29" s="340"/>
      <c r="F29" s="340"/>
      <c r="G29" s="340"/>
      <c r="H29" s="340"/>
      <c r="I29" s="340"/>
      <c r="J29" s="340"/>
      <c r="K29" s="340"/>
      <c r="M29" s="340"/>
    </row>
    <row r="30" spans="1:13" s="333" customFormat="1" ht="15.05">
      <c r="B30" s="334"/>
      <c r="C30" s="334"/>
      <c r="D30" s="334"/>
      <c r="E30" s="334"/>
      <c r="F30" s="334"/>
      <c r="G30" s="334"/>
      <c r="H30" s="334"/>
      <c r="I30" s="334"/>
      <c r="J30" s="334"/>
      <c r="K30" s="352"/>
      <c r="M30" s="340"/>
    </row>
    <row r="31" spans="1:13" s="333" customFormat="1" ht="13.15">
      <c r="J31" s="338"/>
      <c r="K31" s="338"/>
      <c r="M31" s="340"/>
    </row>
    <row r="32" spans="1:13" s="333" customFormat="1" ht="13.8" thickBot="1">
      <c r="B32" s="334" t="s">
        <v>123</v>
      </c>
      <c r="C32" s="334" t="s">
        <v>444</v>
      </c>
      <c r="D32" s="334" t="s">
        <v>445</v>
      </c>
      <c r="E32" s="334" t="s">
        <v>446</v>
      </c>
      <c r="F32" s="334" t="s">
        <v>125</v>
      </c>
      <c r="G32" s="334" t="s">
        <v>126</v>
      </c>
      <c r="H32" s="334" t="s">
        <v>127</v>
      </c>
      <c r="I32" s="334" t="s">
        <v>128</v>
      </c>
      <c r="J32" s="334" t="s">
        <v>129</v>
      </c>
      <c r="K32" s="338"/>
      <c r="M32" s="340"/>
    </row>
    <row r="33" spans="2:13" s="333" customFormat="1" ht="13.8" thickBot="1">
      <c r="C33" s="1341" t="str">
        <f>C5</f>
        <v>Jersey Central Power &amp; Light</v>
      </c>
      <c r="D33" s="1342"/>
      <c r="E33" s="1342"/>
      <c r="F33" s="1342"/>
      <c r="G33" s="1342"/>
      <c r="H33" s="1342"/>
      <c r="I33" s="1342"/>
      <c r="J33" s="1343"/>
      <c r="K33" s="339"/>
      <c r="L33" s="339"/>
      <c r="M33" s="340"/>
    </row>
    <row r="34" spans="2:13" s="333" customFormat="1">
      <c r="M34" s="340"/>
    </row>
    <row r="35" spans="2:13" s="333" customFormat="1" ht="13.15">
      <c r="B35" s="338" t="s">
        <v>459</v>
      </c>
      <c r="C35" s="353" t="s">
        <v>447</v>
      </c>
      <c r="D35" s="341"/>
      <c r="E35" s="342"/>
      <c r="F35" s="334" t="s">
        <v>449</v>
      </c>
      <c r="G35" s="341" t="s">
        <v>461</v>
      </c>
      <c r="H35" s="341" t="s">
        <v>462</v>
      </c>
      <c r="I35" s="341"/>
      <c r="J35" s="341"/>
      <c r="K35" s="341"/>
      <c r="L35" s="341"/>
      <c r="M35" s="340"/>
    </row>
    <row r="36" spans="2:13" s="333" customFormat="1" ht="13.15">
      <c r="C36" s="341" t="s">
        <v>463</v>
      </c>
      <c r="D36" s="334"/>
      <c r="E36" s="341"/>
      <c r="F36" s="334" t="s">
        <v>452</v>
      </c>
      <c r="G36" s="341" t="s">
        <v>464</v>
      </c>
      <c r="H36" s="341" t="s">
        <v>28</v>
      </c>
      <c r="I36" s="341" t="s">
        <v>450</v>
      </c>
      <c r="J36" s="341" t="s">
        <v>451</v>
      </c>
      <c r="K36" s="341"/>
      <c r="L36" s="341"/>
      <c r="M36" s="340"/>
    </row>
    <row r="37" spans="2:13" s="333" customFormat="1" ht="13.15">
      <c r="C37" s="354" t="s">
        <v>465</v>
      </c>
      <c r="D37" s="341"/>
      <c r="G37" s="341" t="s">
        <v>452</v>
      </c>
      <c r="H37" s="341" t="s">
        <v>452</v>
      </c>
      <c r="I37" s="341" t="s">
        <v>452</v>
      </c>
      <c r="J37" s="341" t="s">
        <v>452</v>
      </c>
      <c r="K37" s="341"/>
      <c r="L37" s="341"/>
      <c r="M37" s="341" t="s">
        <v>467</v>
      </c>
    </row>
    <row r="38" spans="2:13" s="333" customFormat="1" ht="13.15">
      <c r="B38" s="355" t="s">
        <v>3</v>
      </c>
      <c r="G38" s="340"/>
      <c r="H38" s="340"/>
      <c r="I38" s="340"/>
      <c r="J38" s="340"/>
      <c r="K38" s="340"/>
      <c r="L38" s="340"/>
      <c r="M38" s="340"/>
    </row>
    <row r="39" spans="2:13" s="333" customFormat="1" ht="13.15">
      <c r="B39" s="767"/>
      <c r="C39" s="768"/>
      <c r="D39" s="768"/>
      <c r="E39" s="769"/>
      <c r="F39" s="769"/>
      <c r="G39" s="769"/>
      <c r="H39" s="769">
        <f>C39</f>
        <v>0</v>
      </c>
      <c r="I39" s="769"/>
      <c r="J39" s="769"/>
      <c r="K39" s="769"/>
      <c r="L39" s="769"/>
      <c r="M39" s="770"/>
    </row>
    <row r="40" spans="2:13" s="333" customFormat="1" ht="13.15">
      <c r="B40" s="767"/>
      <c r="C40" s="768"/>
      <c r="D40" s="768"/>
      <c r="E40" s="769"/>
      <c r="F40" s="769"/>
      <c r="G40" s="769"/>
      <c r="H40" s="769">
        <f t="shared" ref="H40:H43" si="3">C40</f>
        <v>0</v>
      </c>
      <c r="I40" s="769"/>
      <c r="J40" s="769"/>
      <c r="K40" s="769"/>
      <c r="L40" s="769"/>
      <c r="M40" s="769"/>
    </row>
    <row r="41" spans="2:13" s="333" customFormat="1" ht="13.15">
      <c r="B41" s="767"/>
      <c r="C41" s="768"/>
      <c r="D41" s="768"/>
      <c r="E41" s="769"/>
      <c r="F41" s="769"/>
      <c r="G41" s="769"/>
      <c r="H41" s="769">
        <f t="shared" si="3"/>
        <v>0</v>
      </c>
      <c r="I41" s="769"/>
      <c r="J41" s="769"/>
      <c r="K41" s="769"/>
      <c r="L41" s="769"/>
      <c r="M41" s="769"/>
    </row>
    <row r="42" spans="2:13" s="333" customFormat="1" ht="13.15">
      <c r="B42" s="767"/>
      <c r="C42" s="768"/>
      <c r="D42" s="768"/>
      <c r="E42" s="769"/>
      <c r="F42" s="769"/>
      <c r="G42" s="769"/>
      <c r="H42" s="769">
        <f t="shared" si="3"/>
        <v>0</v>
      </c>
      <c r="I42" s="769"/>
      <c r="J42" s="769"/>
      <c r="K42" s="769"/>
      <c r="L42" s="769"/>
      <c r="M42" s="769"/>
    </row>
    <row r="43" spans="2:13" s="333" customFormat="1" ht="13.15">
      <c r="B43" s="767"/>
      <c r="C43" s="768"/>
      <c r="D43" s="768"/>
      <c r="E43" s="769"/>
      <c r="F43" s="769"/>
      <c r="G43" s="769"/>
      <c r="H43" s="769">
        <f t="shared" si="3"/>
        <v>0</v>
      </c>
      <c r="I43" s="769"/>
      <c r="J43" s="769"/>
      <c r="K43" s="769"/>
      <c r="L43" s="769"/>
      <c r="M43" s="769"/>
    </row>
    <row r="44" spans="2:13" s="333" customFormat="1" ht="13.15">
      <c r="B44" s="767"/>
      <c r="C44" s="768"/>
      <c r="D44" s="768"/>
      <c r="E44" s="769"/>
      <c r="F44" s="769"/>
      <c r="G44" s="769">
        <f>C44</f>
        <v>0</v>
      </c>
      <c r="H44" s="769"/>
      <c r="I44" s="769"/>
      <c r="J44" s="769"/>
      <c r="K44" s="769"/>
      <c r="L44" s="769"/>
      <c r="M44" s="769"/>
    </row>
    <row r="45" spans="2:13" s="333" customFormat="1" ht="13.15">
      <c r="B45" s="767"/>
      <c r="C45" s="768"/>
      <c r="D45" s="768"/>
      <c r="E45" s="769"/>
      <c r="F45" s="769"/>
      <c r="G45" s="769">
        <f>C45</f>
        <v>0</v>
      </c>
      <c r="H45" s="769"/>
      <c r="I45" s="769"/>
      <c r="J45" s="769"/>
      <c r="K45" s="769"/>
      <c r="L45" s="769"/>
      <c r="M45" s="770"/>
    </row>
    <row r="46" spans="2:13" s="333" customFormat="1" ht="13.15">
      <c r="B46" s="771"/>
      <c r="C46" s="772"/>
      <c r="D46" s="772"/>
      <c r="E46" s="772"/>
      <c r="F46" s="772"/>
      <c r="G46" s="772"/>
      <c r="H46" s="772">
        <f>C46</f>
        <v>0</v>
      </c>
      <c r="I46" s="772"/>
      <c r="J46" s="772"/>
      <c r="K46" s="772"/>
      <c r="L46" s="772"/>
      <c r="M46" s="773"/>
    </row>
    <row r="47" spans="2:13" s="333" customFormat="1" ht="13.15">
      <c r="B47" s="356" t="s">
        <v>298</v>
      </c>
      <c r="C47" s="357">
        <f t="shared" ref="C47:J47" si="4">SUM(C39:C46)</f>
        <v>0</v>
      </c>
      <c r="D47" s="357">
        <f t="shared" si="4"/>
        <v>0</v>
      </c>
      <c r="E47" s="357"/>
      <c r="F47" s="357">
        <f t="shared" si="4"/>
        <v>0</v>
      </c>
      <c r="G47" s="357">
        <f t="shared" si="4"/>
        <v>0</v>
      </c>
      <c r="H47" s="357">
        <f t="shared" si="4"/>
        <v>0</v>
      </c>
      <c r="I47" s="357">
        <f t="shared" si="4"/>
        <v>0</v>
      </c>
      <c r="J47" s="357">
        <f t="shared" si="4"/>
        <v>0</v>
      </c>
      <c r="K47" s="357"/>
      <c r="L47" s="357"/>
      <c r="M47" s="358"/>
    </row>
    <row r="48" spans="2:13" s="333" customFormat="1" ht="13.15">
      <c r="B48" s="356"/>
      <c r="C48" s="357"/>
      <c r="D48" s="357"/>
      <c r="E48" s="357"/>
      <c r="F48" s="357"/>
      <c r="G48" s="357"/>
      <c r="H48" s="357"/>
      <c r="I48" s="357"/>
      <c r="J48" s="357"/>
      <c r="K48" s="357"/>
      <c r="L48" s="357"/>
      <c r="M48" s="358"/>
    </row>
    <row r="49" spans="2:13" s="333" customFormat="1" ht="13.15">
      <c r="B49" s="356"/>
      <c r="C49" s="357"/>
      <c r="D49" s="357"/>
      <c r="E49" s="357"/>
      <c r="F49" s="357"/>
      <c r="G49" s="357"/>
      <c r="H49" s="357"/>
      <c r="I49" s="357"/>
      <c r="J49" s="357"/>
      <c r="K49" s="357"/>
      <c r="L49" s="357"/>
      <c r="M49" s="358"/>
    </row>
    <row r="50" spans="2:13" s="333" customFormat="1" ht="13.15">
      <c r="B50" s="338" t="s">
        <v>459</v>
      </c>
      <c r="C50" s="353"/>
      <c r="D50" s="341" t="s">
        <v>460</v>
      </c>
      <c r="E50" s="342"/>
      <c r="F50" s="658" t="s">
        <v>449</v>
      </c>
      <c r="G50" s="341" t="s">
        <v>461</v>
      </c>
      <c r="H50" s="341" t="s">
        <v>462</v>
      </c>
      <c r="I50" s="341"/>
      <c r="J50" s="341"/>
      <c r="K50" s="341"/>
      <c r="L50" s="341"/>
      <c r="M50" s="340"/>
    </row>
    <row r="51" spans="2:13" s="333" customFormat="1" ht="13.15">
      <c r="C51" s="341"/>
      <c r="D51" s="658" t="s">
        <v>463</v>
      </c>
      <c r="E51" s="341"/>
      <c r="F51" s="658" t="s">
        <v>452</v>
      </c>
      <c r="G51" s="341" t="s">
        <v>464</v>
      </c>
      <c r="H51" s="341" t="s">
        <v>28</v>
      </c>
      <c r="I51" s="341" t="s">
        <v>450</v>
      </c>
      <c r="J51" s="341" t="s">
        <v>451</v>
      </c>
      <c r="K51" s="341"/>
      <c r="L51" s="341"/>
      <c r="M51" s="340"/>
    </row>
    <row r="52" spans="2:13" s="333" customFormat="1" ht="13.15">
      <c r="C52" s="341"/>
      <c r="D52" s="354" t="s">
        <v>466</v>
      </c>
      <c r="G52" s="341" t="s">
        <v>452</v>
      </c>
      <c r="H52" s="341" t="s">
        <v>452</v>
      </c>
      <c r="I52" s="341" t="s">
        <v>452</v>
      </c>
      <c r="J52" s="341" t="s">
        <v>452</v>
      </c>
      <c r="K52" s="341"/>
      <c r="L52" s="341"/>
      <c r="M52" s="341" t="s">
        <v>467</v>
      </c>
    </row>
    <row r="53" spans="2:13" s="333" customFormat="1" ht="13.15">
      <c r="B53" s="355" t="s">
        <v>3</v>
      </c>
      <c r="G53" s="340"/>
      <c r="H53" s="340"/>
      <c r="I53" s="340"/>
      <c r="J53" s="340"/>
      <c r="K53" s="340"/>
      <c r="L53" s="340"/>
      <c r="M53" s="340"/>
    </row>
    <row r="54" spans="2:13" s="333" customFormat="1" ht="13.15">
      <c r="B54" s="767"/>
      <c r="C54" s="768"/>
      <c r="D54" s="768"/>
      <c r="E54" s="769"/>
      <c r="F54" s="769"/>
      <c r="G54" s="769"/>
      <c r="H54" s="769">
        <f>D54</f>
        <v>0</v>
      </c>
      <c r="I54" s="769"/>
      <c r="J54" s="769"/>
      <c r="K54" s="769"/>
      <c r="L54" s="769"/>
      <c r="M54" s="770"/>
    </row>
    <row r="55" spans="2:13" s="333" customFormat="1" ht="13.15">
      <c r="B55" s="767"/>
      <c r="C55" s="768"/>
      <c r="D55" s="768"/>
      <c r="E55" s="769"/>
      <c r="F55" s="769"/>
      <c r="G55" s="769"/>
      <c r="H55" s="769">
        <f t="shared" ref="H55:H58" si="5">D55</f>
        <v>0</v>
      </c>
      <c r="I55" s="769"/>
      <c r="J55" s="769"/>
      <c r="K55" s="769"/>
      <c r="L55" s="769"/>
      <c r="M55" s="769"/>
    </row>
    <row r="56" spans="2:13" s="333" customFormat="1" ht="13.15">
      <c r="B56" s="767"/>
      <c r="C56" s="768"/>
      <c r="D56" s="768"/>
      <c r="E56" s="769"/>
      <c r="F56" s="769"/>
      <c r="G56" s="769"/>
      <c r="H56" s="769">
        <f t="shared" si="5"/>
        <v>0</v>
      </c>
      <c r="I56" s="769"/>
      <c r="J56" s="769"/>
      <c r="K56" s="769"/>
      <c r="L56" s="769"/>
      <c r="M56" s="769"/>
    </row>
    <row r="57" spans="2:13" s="333" customFormat="1" ht="13.15">
      <c r="B57" s="767"/>
      <c r="C57" s="768"/>
      <c r="D57" s="768"/>
      <c r="E57" s="769"/>
      <c r="F57" s="769"/>
      <c r="G57" s="769"/>
      <c r="H57" s="769">
        <f t="shared" si="5"/>
        <v>0</v>
      </c>
      <c r="I57" s="769"/>
      <c r="J57" s="769"/>
      <c r="K57" s="769"/>
      <c r="L57" s="769"/>
      <c r="M57" s="769"/>
    </row>
    <row r="58" spans="2:13" s="333" customFormat="1" ht="13.15">
      <c r="B58" s="767"/>
      <c r="C58" s="768"/>
      <c r="D58" s="768"/>
      <c r="E58" s="769"/>
      <c r="F58" s="769"/>
      <c r="G58" s="769"/>
      <c r="H58" s="769">
        <f t="shared" si="5"/>
        <v>0</v>
      </c>
      <c r="I58" s="769"/>
      <c r="J58" s="769"/>
      <c r="K58" s="769"/>
      <c r="L58" s="769"/>
      <c r="M58" s="769"/>
    </row>
    <row r="59" spans="2:13" s="333" customFormat="1" ht="13.15">
      <c r="B59" s="767"/>
      <c r="C59" s="768"/>
      <c r="D59" s="768"/>
      <c r="E59" s="769"/>
      <c r="F59" s="769"/>
      <c r="G59" s="769">
        <f>D59</f>
        <v>0</v>
      </c>
      <c r="H59" s="769"/>
      <c r="I59" s="769"/>
      <c r="J59" s="769"/>
      <c r="K59" s="769"/>
      <c r="L59" s="769"/>
      <c r="M59" s="769"/>
    </row>
    <row r="60" spans="2:13" s="333" customFormat="1" ht="13.15">
      <c r="B60" s="767"/>
      <c r="C60" s="768"/>
      <c r="D60" s="768"/>
      <c r="E60" s="769"/>
      <c r="F60" s="769"/>
      <c r="G60" s="769">
        <f>D60</f>
        <v>0</v>
      </c>
      <c r="H60" s="769"/>
      <c r="I60" s="769"/>
      <c r="J60" s="769"/>
      <c r="K60" s="769"/>
      <c r="L60" s="769"/>
      <c r="M60" s="770"/>
    </row>
    <row r="61" spans="2:13" s="333" customFormat="1" ht="13.15">
      <c r="B61" s="771"/>
      <c r="C61" s="772"/>
      <c r="D61" s="772"/>
      <c r="E61" s="772"/>
      <c r="F61" s="772"/>
      <c r="G61" s="772"/>
      <c r="H61" s="772">
        <f>D61</f>
        <v>0</v>
      </c>
      <c r="I61" s="772"/>
      <c r="J61" s="772"/>
      <c r="K61" s="772"/>
      <c r="L61" s="772"/>
      <c r="M61" s="773"/>
    </row>
    <row r="62" spans="2:13" s="333" customFormat="1" ht="13.15">
      <c r="B62" s="356" t="s">
        <v>298</v>
      </c>
      <c r="C62" s="357">
        <f t="shared" ref="C62:J62" si="6">SUM(C54:C61)</f>
        <v>0</v>
      </c>
      <c r="D62" s="357">
        <f t="shared" si="6"/>
        <v>0</v>
      </c>
      <c r="E62" s="357"/>
      <c r="F62" s="357">
        <f t="shared" si="6"/>
        <v>0</v>
      </c>
      <c r="G62" s="357">
        <f t="shared" si="6"/>
        <v>0</v>
      </c>
      <c r="H62" s="357">
        <f t="shared" si="6"/>
        <v>0</v>
      </c>
      <c r="I62" s="357">
        <f t="shared" si="6"/>
        <v>0</v>
      </c>
      <c r="J62" s="357">
        <f t="shared" si="6"/>
        <v>0</v>
      </c>
      <c r="K62" s="357"/>
      <c r="L62" s="357"/>
      <c r="M62" s="358"/>
    </row>
    <row r="63" spans="2:13" s="333" customFormat="1" ht="13.15">
      <c r="B63" s="356"/>
      <c r="C63" s="357"/>
      <c r="D63" s="357"/>
      <c r="E63" s="357"/>
      <c r="F63" s="357"/>
      <c r="G63" s="357"/>
      <c r="H63" s="357"/>
      <c r="I63" s="357"/>
      <c r="J63" s="357"/>
      <c r="K63" s="357"/>
      <c r="L63" s="357"/>
      <c r="M63" s="358"/>
    </row>
    <row r="64" spans="2:13" s="333" customFormat="1" ht="13.15">
      <c r="B64" s="356"/>
      <c r="C64" s="357"/>
      <c r="D64" s="357"/>
      <c r="E64" s="357"/>
      <c r="F64" s="357"/>
      <c r="G64" s="357"/>
      <c r="H64" s="357"/>
      <c r="I64" s="357"/>
      <c r="J64" s="357"/>
      <c r="K64" s="357"/>
      <c r="L64" s="357"/>
      <c r="M64" s="358"/>
    </row>
    <row r="65" spans="2:13" s="333" customFormat="1" ht="13.15">
      <c r="B65" s="338" t="s">
        <v>680</v>
      </c>
      <c r="C65" s="353" t="s">
        <v>447</v>
      </c>
      <c r="D65" s="341" t="s">
        <v>460</v>
      </c>
      <c r="E65" s="342"/>
      <c r="F65" s="658" t="s">
        <v>449</v>
      </c>
      <c r="G65" s="341" t="s">
        <v>461</v>
      </c>
      <c r="H65" s="341"/>
      <c r="I65" s="341"/>
      <c r="J65" s="341"/>
      <c r="K65" s="341"/>
      <c r="L65" s="341"/>
      <c r="M65" s="340"/>
    </row>
    <row r="66" spans="2:13" s="333" customFormat="1" ht="26.3">
      <c r="C66" s="341" t="s">
        <v>463</v>
      </c>
      <c r="D66" s="658" t="s">
        <v>463</v>
      </c>
      <c r="E66" s="342" t="s">
        <v>448</v>
      </c>
      <c r="F66" s="658" t="s">
        <v>452</v>
      </c>
      <c r="G66" s="341" t="s">
        <v>464</v>
      </c>
      <c r="H66" s="774" t="s">
        <v>681</v>
      </c>
      <c r="I66" s="341" t="s">
        <v>450</v>
      </c>
      <c r="J66" s="341" t="s">
        <v>451</v>
      </c>
      <c r="K66" s="341"/>
      <c r="L66" s="341"/>
      <c r="M66" s="340"/>
    </row>
    <row r="67" spans="2:13" s="333" customFormat="1" ht="13.15">
      <c r="C67" s="354" t="s">
        <v>465</v>
      </c>
      <c r="D67" s="354" t="s">
        <v>466</v>
      </c>
      <c r="E67" s="341" t="s">
        <v>682</v>
      </c>
      <c r="G67" s="341" t="s">
        <v>452</v>
      </c>
      <c r="H67" s="341" t="s">
        <v>452</v>
      </c>
      <c r="I67" s="341" t="s">
        <v>452</v>
      </c>
      <c r="J67" s="341" t="s">
        <v>452</v>
      </c>
      <c r="K67" s="341"/>
      <c r="L67" s="341"/>
      <c r="M67" s="341" t="s">
        <v>467</v>
      </c>
    </row>
    <row r="68" spans="2:13" s="333" customFormat="1" ht="13.15">
      <c r="B68" s="355" t="s">
        <v>3</v>
      </c>
      <c r="G68" s="340"/>
      <c r="H68" s="340"/>
      <c r="I68" s="340"/>
      <c r="J68" s="340"/>
      <c r="K68" s="340"/>
      <c r="L68" s="340"/>
      <c r="M68" s="340"/>
    </row>
    <row r="69" spans="2:13" s="333" customFormat="1" ht="13.15">
      <c r="B69" s="775"/>
      <c r="C69" s="776">
        <f>C39</f>
        <v>0</v>
      </c>
      <c r="D69" s="776">
        <f>D54</f>
        <v>0</v>
      </c>
      <c r="E69" s="357">
        <f>AVERAGE(C69:D69)</f>
        <v>0</v>
      </c>
      <c r="F69" s="357"/>
      <c r="G69" s="357"/>
      <c r="H69" s="357">
        <f>E69</f>
        <v>0</v>
      </c>
      <c r="I69" s="357"/>
      <c r="J69" s="357"/>
      <c r="K69" s="357"/>
      <c r="L69" s="357"/>
      <c r="M69" s="777"/>
    </row>
    <row r="70" spans="2:13" s="333" customFormat="1" ht="13.15">
      <c r="B70" s="775"/>
      <c r="C70" s="776">
        <f t="shared" ref="C70:C75" si="7">C40</f>
        <v>0</v>
      </c>
      <c r="D70" s="776">
        <f t="shared" ref="D70:D76" si="8">D55</f>
        <v>0</v>
      </c>
      <c r="E70" s="357">
        <f t="shared" ref="E70:E76" si="9">AVERAGE(C70:D70)</f>
        <v>0</v>
      </c>
      <c r="F70" s="357"/>
      <c r="G70" s="357"/>
      <c r="H70" s="357">
        <f>E70</f>
        <v>0</v>
      </c>
      <c r="I70" s="357"/>
      <c r="J70" s="357"/>
      <c r="K70" s="357"/>
      <c r="L70" s="357"/>
      <c r="M70" s="357"/>
    </row>
    <row r="71" spans="2:13" s="333" customFormat="1" ht="13.15">
      <c r="B71" s="775"/>
      <c r="C71" s="776">
        <f t="shared" si="7"/>
        <v>0</v>
      </c>
      <c r="D71" s="776">
        <f t="shared" si="8"/>
        <v>0</v>
      </c>
      <c r="E71" s="357">
        <f t="shared" si="9"/>
        <v>0</v>
      </c>
      <c r="F71" s="357"/>
      <c r="G71" s="357"/>
      <c r="H71" s="357">
        <f>E71</f>
        <v>0</v>
      </c>
      <c r="I71" s="357"/>
      <c r="J71" s="357"/>
      <c r="K71" s="357"/>
      <c r="L71" s="357"/>
      <c r="M71" s="357"/>
    </row>
    <row r="72" spans="2:13" s="333" customFormat="1" ht="13.15">
      <c r="B72" s="775"/>
      <c r="C72" s="776">
        <f t="shared" si="7"/>
        <v>0</v>
      </c>
      <c r="D72" s="776">
        <f t="shared" si="8"/>
        <v>0</v>
      </c>
      <c r="E72" s="357">
        <f t="shared" si="9"/>
        <v>0</v>
      </c>
      <c r="F72" s="357"/>
      <c r="G72" s="357"/>
      <c r="H72" s="357">
        <f>E72</f>
        <v>0</v>
      </c>
      <c r="I72" s="357"/>
      <c r="J72" s="357"/>
      <c r="K72" s="357"/>
      <c r="L72" s="357"/>
      <c r="M72" s="357"/>
    </row>
    <row r="73" spans="2:13" s="333" customFormat="1" ht="13.15">
      <c r="B73" s="775"/>
      <c r="C73" s="776">
        <f t="shared" si="7"/>
        <v>0</v>
      </c>
      <c r="D73" s="776">
        <f t="shared" si="8"/>
        <v>0</v>
      </c>
      <c r="E73" s="357">
        <f t="shared" si="9"/>
        <v>0</v>
      </c>
      <c r="F73" s="357"/>
      <c r="G73" s="357"/>
      <c r="H73" s="357">
        <f>E73</f>
        <v>0</v>
      </c>
      <c r="I73" s="357"/>
      <c r="J73" s="357"/>
      <c r="K73" s="357"/>
      <c r="L73" s="357"/>
      <c r="M73" s="357"/>
    </row>
    <row r="74" spans="2:13" s="333" customFormat="1" ht="13.15">
      <c r="B74" s="775"/>
      <c r="C74" s="776">
        <f t="shared" si="7"/>
        <v>0</v>
      </c>
      <c r="D74" s="776">
        <f t="shared" si="8"/>
        <v>0</v>
      </c>
      <c r="E74" s="357">
        <f t="shared" si="9"/>
        <v>0</v>
      </c>
      <c r="F74" s="357"/>
      <c r="G74" s="357">
        <f>E74</f>
        <v>0</v>
      </c>
      <c r="H74" s="357"/>
      <c r="I74" s="357"/>
      <c r="J74" s="357"/>
      <c r="K74" s="357"/>
      <c r="L74" s="357"/>
      <c r="M74" s="357"/>
    </row>
    <row r="75" spans="2:13" s="333" customFormat="1" ht="13.15">
      <c r="B75" s="775"/>
      <c r="C75" s="776">
        <f t="shared" si="7"/>
        <v>0</v>
      </c>
      <c r="D75" s="776">
        <f t="shared" si="8"/>
        <v>0</v>
      </c>
      <c r="E75" s="357">
        <f t="shared" si="9"/>
        <v>0</v>
      </c>
      <c r="F75" s="357"/>
      <c r="G75" s="357">
        <f>E75</f>
        <v>0</v>
      </c>
      <c r="H75" s="357"/>
      <c r="I75" s="357"/>
      <c r="J75" s="357"/>
      <c r="K75" s="357"/>
      <c r="L75" s="357"/>
      <c r="M75" s="777"/>
    </row>
    <row r="76" spans="2:13" s="333" customFormat="1" ht="13.15">
      <c r="B76" s="778"/>
      <c r="C76" s="779">
        <f>C46</f>
        <v>0</v>
      </c>
      <c r="D76" s="779">
        <f t="shared" si="8"/>
        <v>0</v>
      </c>
      <c r="E76" s="780">
        <f t="shared" si="9"/>
        <v>0</v>
      </c>
      <c r="F76" s="780"/>
      <c r="G76" s="780"/>
      <c r="H76" s="780">
        <f>E76</f>
        <v>0</v>
      </c>
      <c r="I76" s="780"/>
      <c r="J76" s="780"/>
      <c r="K76" s="780"/>
      <c r="L76" s="780"/>
      <c r="M76" s="781"/>
    </row>
    <row r="77" spans="2:13" s="333" customFormat="1" ht="13.15">
      <c r="B77" s="356" t="s">
        <v>298</v>
      </c>
      <c r="C77" s="357">
        <f t="shared" ref="C77:E77" si="10">SUM(C69:C76)</f>
        <v>0</v>
      </c>
      <c r="D77" s="357">
        <f t="shared" si="10"/>
        <v>0</v>
      </c>
      <c r="E77" s="357">
        <f t="shared" si="10"/>
        <v>0</v>
      </c>
      <c r="F77" s="357">
        <f t="shared" ref="F77:J77" si="11">SUM(F69:F76)</f>
        <v>0</v>
      </c>
      <c r="G77" s="357">
        <f t="shared" si="11"/>
        <v>0</v>
      </c>
      <c r="H77" s="357">
        <f t="shared" si="11"/>
        <v>0</v>
      </c>
      <c r="I77" s="357">
        <f t="shared" si="11"/>
        <v>0</v>
      </c>
      <c r="J77" s="357">
        <f t="shared" si="11"/>
        <v>0</v>
      </c>
      <c r="K77" s="357"/>
      <c r="L77" s="357"/>
      <c r="M77" s="358"/>
    </row>
    <row r="78" spans="2:13" s="333" customFormat="1" ht="13.15">
      <c r="B78" s="356"/>
      <c r="C78" s="357"/>
      <c r="D78" s="357"/>
      <c r="E78" s="357"/>
      <c r="F78" s="357"/>
      <c r="G78" s="357"/>
      <c r="H78" s="357"/>
      <c r="I78" s="357"/>
      <c r="J78" s="357"/>
      <c r="K78" s="357"/>
      <c r="L78" s="357"/>
      <c r="M78" s="358"/>
    </row>
    <row r="79" spans="2:13" s="333" customFormat="1" ht="13.15">
      <c r="B79" s="356"/>
      <c r="C79" s="357"/>
      <c r="D79" s="357"/>
      <c r="E79" s="357"/>
      <c r="F79" s="357"/>
      <c r="G79" s="357"/>
      <c r="H79" s="357"/>
      <c r="I79" s="357"/>
      <c r="J79" s="357"/>
      <c r="K79" s="357"/>
      <c r="L79" s="357"/>
      <c r="M79" s="358"/>
    </row>
    <row r="80" spans="2:13" s="333" customFormat="1" ht="13.15">
      <c r="B80" s="356"/>
      <c r="C80" s="357"/>
      <c r="D80" s="357"/>
      <c r="E80" s="357"/>
      <c r="F80" s="357"/>
      <c r="G80" s="357"/>
      <c r="H80" s="357"/>
      <c r="I80" s="357"/>
      <c r="J80" s="357"/>
      <c r="K80" s="357"/>
      <c r="L80" s="357"/>
      <c r="M80" s="358"/>
    </row>
    <row r="81" spans="2:13" s="333" customFormat="1" ht="13.15">
      <c r="B81" s="365"/>
      <c r="J81" s="347"/>
      <c r="K81" s="360"/>
      <c r="L81" s="344"/>
      <c r="M81" s="340"/>
    </row>
    <row r="82" spans="2:13" s="333" customFormat="1" ht="13.15">
      <c r="B82" s="359" t="s">
        <v>468</v>
      </c>
      <c r="C82" s="343"/>
      <c r="D82" s="343"/>
      <c r="E82" s="343"/>
      <c r="F82" s="343"/>
      <c r="G82" s="347"/>
      <c r="H82" s="347"/>
      <c r="I82" s="361"/>
      <c r="J82" s="361"/>
      <c r="K82" s="361"/>
      <c r="L82" s="363"/>
      <c r="M82" s="340"/>
    </row>
    <row r="83" spans="2:13" s="333" customFormat="1" ht="13.15">
      <c r="B83" s="359"/>
      <c r="C83" s="343"/>
      <c r="D83" s="343"/>
      <c r="E83" s="343"/>
      <c r="F83" s="343"/>
      <c r="G83" s="347"/>
      <c r="H83" s="347"/>
      <c r="I83" s="361"/>
      <c r="J83" s="361"/>
      <c r="K83" s="361"/>
      <c r="L83" s="363"/>
      <c r="M83" s="340"/>
    </row>
    <row r="84" spans="2:13" s="333" customFormat="1" ht="13.15">
      <c r="B84" s="1340" t="s">
        <v>469</v>
      </c>
      <c r="C84" s="1340"/>
      <c r="D84" s="1340"/>
      <c r="E84" s="1340"/>
      <c r="F84" s="1340"/>
      <c r="G84" s="1340"/>
      <c r="H84" s="1340"/>
      <c r="I84" s="1340"/>
      <c r="J84" s="1340"/>
      <c r="K84" s="1340"/>
      <c r="L84" s="363"/>
      <c r="M84" s="340"/>
    </row>
    <row r="85" spans="2:13" s="333" customFormat="1" ht="12.7" customHeight="1">
      <c r="B85" s="1340" t="s">
        <v>470</v>
      </c>
      <c r="C85" s="1340"/>
      <c r="D85" s="1340"/>
      <c r="E85" s="1340"/>
      <c r="F85" s="1340"/>
      <c r="G85" s="1340"/>
      <c r="H85" s="1340"/>
      <c r="I85" s="1340"/>
      <c r="J85" s="1340"/>
      <c r="K85" s="1340"/>
      <c r="M85" s="340"/>
    </row>
    <row r="86" spans="2:13" s="333" customFormat="1" ht="12.7" customHeight="1">
      <c r="B86" s="366" t="s">
        <v>471</v>
      </c>
      <c r="C86" s="347"/>
      <c r="D86" s="347"/>
      <c r="E86" s="347"/>
      <c r="F86" s="347"/>
      <c r="G86" s="347"/>
      <c r="H86" s="347"/>
      <c r="I86" s="361"/>
      <c r="J86" s="361"/>
      <c r="K86" s="361"/>
      <c r="M86" s="340"/>
    </row>
    <row r="87" spans="2:13" s="333" customFormat="1" ht="13.15">
      <c r="B87" s="366" t="s">
        <v>472</v>
      </c>
      <c r="C87" s="347"/>
      <c r="D87" s="347"/>
      <c r="E87" s="347"/>
      <c r="F87" s="347"/>
      <c r="G87" s="347"/>
      <c r="H87" s="347"/>
      <c r="I87" s="361"/>
      <c r="J87" s="361"/>
      <c r="K87" s="361"/>
      <c r="M87" s="340"/>
    </row>
    <row r="88" spans="2:13" s="333" customFormat="1" ht="13.15">
      <c r="B88" s="366" t="s">
        <v>473</v>
      </c>
      <c r="C88" s="347"/>
      <c r="D88" s="347"/>
      <c r="E88" s="347"/>
      <c r="F88" s="347"/>
      <c r="G88" s="347"/>
      <c r="H88" s="347"/>
      <c r="I88" s="361"/>
      <c r="J88" s="361"/>
      <c r="K88" s="361"/>
      <c r="M88" s="340"/>
    </row>
    <row r="89" spans="2:13" s="333" customFormat="1" ht="27.1" customHeight="1">
      <c r="B89" s="1340" t="s">
        <v>474</v>
      </c>
      <c r="C89" s="1340"/>
      <c r="D89" s="1340"/>
      <c r="E89" s="1340"/>
      <c r="F89" s="1340"/>
      <c r="G89" s="1340"/>
      <c r="H89" s="1340"/>
      <c r="I89" s="1340"/>
      <c r="J89" s="1340"/>
      <c r="K89" s="1340"/>
      <c r="M89" s="340"/>
    </row>
    <row r="90" spans="2:13" s="333" customFormat="1" ht="27.1" customHeight="1">
      <c r="B90" s="659"/>
      <c r="C90" s="659"/>
      <c r="D90" s="659"/>
      <c r="E90" s="659"/>
      <c r="F90" s="659"/>
      <c r="G90" s="659"/>
      <c r="H90" s="659"/>
      <c r="I90" s="659"/>
      <c r="J90" s="659"/>
      <c r="K90" s="659"/>
      <c r="M90" s="340"/>
    </row>
    <row r="91" spans="2:13" s="333" customFormat="1" ht="12.7" customHeight="1">
      <c r="B91" s="658" t="s">
        <v>123</v>
      </c>
      <c r="C91" s="658" t="s">
        <v>444</v>
      </c>
      <c r="D91" s="658" t="s">
        <v>445</v>
      </c>
      <c r="E91" s="658" t="s">
        <v>446</v>
      </c>
      <c r="F91" s="658" t="s">
        <v>125</v>
      </c>
      <c r="G91" s="658" t="s">
        <v>126</v>
      </c>
      <c r="H91" s="658" t="s">
        <v>127</v>
      </c>
      <c r="I91" s="658" t="s">
        <v>128</v>
      </c>
      <c r="J91" s="658" t="s">
        <v>129</v>
      </c>
      <c r="K91" s="368"/>
      <c r="M91" s="340"/>
    </row>
    <row r="92" spans="2:13" s="333" customFormat="1" ht="13.15">
      <c r="B92" s="334" t="s">
        <v>475</v>
      </c>
      <c r="C92" s="344"/>
      <c r="D92" s="344"/>
      <c r="E92" s="344"/>
      <c r="F92" s="344"/>
      <c r="G92" s="357"/>
      <c r="H92" s="357"/>
      <c r="I92" s="360"/>
      <c r="J92" s="360"/>
      <c r="K92" s="360"/>
      <c r="M92" s="340"/>
    </row>
    <row r="93" spans="2:13" s="333" customFormat="1" ht="13.15">
      <c r="B93" s="367"/>
      <c r="C93" s="353" t="s">
        <v>447</v>
      </c>
      <c r="D93" s="341"/>
      <c r="E93" s="342"/>
      <c r="F93" s="658" t="s">
        <v>449</v>
      </c>
      <c r="G93" s="341" t="s">
        <v>461</v>
      </c>
      <c r="H93" s="341" t="s">
        <v>462</v>
      </c>
      <c r="I93" s="341"/>
      <c r="J93" s="341"/>
      <c r="K93" s="372"/>
      <c r="L93" s="372"/>
      <c r="M93" s="340"/>
    </row>
    <row r="94" spans="2:13" s="333" customFormat="1" ht="13.15">
      <c r="B94" s="370" t="s">
        <v>684</v>
      </c>
      <c r="C94" s="341" t="s">
        <v>463</v>
      </c>
      <c r="D94" s="658"/>
      <c r="E94" s="341"/>
      <c r="F94" s="658" t="s">
        <v>452</v>
      </c>
      <c r="G94" s="341" t="s">
        <v>464</v>
      </c>
      <c r="H94" s="341" t="s">
        <v>28</v>
      </c>
      <c r="I94" s="341" t="s">
        <v>450</v>
      </c>
      <c r="J94" s="341" t="s">
        <v>451</v>
      </c>
      <c r="K94" s="372"/>
      <c r="L94" s="372"/>
      <c r="M94" s="362" t="s">
        <v>3</v>
      </c>
    </row>
    <row r="95" spans="2:13" s="333" customFormat="1" ht="13.15">
      <c r="B95" s="364"/>
      <c r="C95" s="354" t="s">
        <v>476</v>
      </c>
      <c r="D95" s="341"/>
      <c r="G95" s="341" t="s">
        <v>452</v>
      </c>
      <c r="H95" s="341" t="s">
        <v>452</v>
      </c>
      <c r="I95" s="341" t="s">
        <v>452</v>
      </c>
      <c r="J95" s="341" t="s">
        <v>452</v>
      </c>
      <c r="K95" s="372"/>
      <c r="L95" s="372"/>
      <c r="M95" s="340"/>
    </row>
    <row r="96" spans="2:13" s="333" customFormat="1" ht="13.15">
      <c r="B96" s="373"/>
      <c r="C96" s="344"/>
      <c r="D96" s="344"/>
      <c r="E96" s="344"/>
      <c r="F96" s="344"/>
      <c r="G96" s="372" t="s">
        <v>452</v>
      </c>
      <c r="H96" s="372" t="s">
        <v>452</v>
      </c>
      <c r="I96" s="372" t="s">
        <v>452</v>
      </c>
      <c r="J96" s="372" t="s">
        <v>452</v>
      </c>
      <c r="K96" s="372"/>
      <c r="L96" s="372"/>
      <c r="M96" s="341" t="s">
        <v>467</v>
      </c>
    </row>
    <row r="97" spans="2:13" s="333" customFormat="1" ht="13.15">
      <c r="B97" s="373"/>
      <c r="C97" s="344"/>
      <c r="D97" s="344"/>
      <c r="E97" s="344"/>
      <c r="F97" s="344"/>
      <c r="G97" s="357"/>
      <c r="H97" s="357"/>
      <c r="I97" s="357"/>
      <c r="J97" s="357"/>
      <c r="K97" s="357"/>
      <c r="L97" s="357"/>
      <c r="M97" s="340"/>
    </row>
    <row r="98" spans="2:13" s="333" customFormat="1" ht="13.15">
      <c r="B98" s="767"/>
      <c r="C98" s="768"/>
      <c r="D98" s="769"/>
      <c r="E98" s="769"/>
      <c r="F98" s="769"/>
      <c r="G98" s="769"/>
      <c r="H98" s="769">
        <f t="shared" ref="H98:H106" si="12">C98</f>
        <v>0</v>
      </c>
      <c r="I98" s="769"/>
      <c r="J98" s="769"/>
      <c r="K98" s="782"/>
      <c r="L98" s="783"/>
      <c r="M98" s="784"/>
    </row>
    <row r="99" spans="2:13" s="333" customFormat="1" ht="13.15">
      <c r="B99" s="767"/>
      <c r="C99" s="768"/>
      <c r="D99" s="769"/>
      <c r="E99" s="769"/>
      <c r="F99" s="769"/>
      <c r="G99" s="769"/>
      <c r="H99" s="769">
        <f t="shared" si="12"/>
        <v>0</v>
      </c>
      <c r="I99" s="785"/>
      <c r="J99" s="769"/>
      <c r="K99" s="782"/>
      <c r="L99" s="783"/>
      <c r="M99" s="786"/>
    </row>
    <row r="100" spans="2:13" s="333" customFormat="1" ht="13.15">
      <c r="B100" s="767"/>
      <c r="C100" s="768"/>
      <c r="D100" s="769"/>
      <c r="E100" s="769"/>
      <c r="F100" s="769"/>
      <c r="G100" s="769"/>
      <c r="H100" s="769">
        <f t="shared" si="12"/>
        <v>0</v>
      </c>
      <c r="I100" s="785"/>
      <c r="J100" s="769"/>
      <c r="K100" s="782"/>
      <c r="L100" s="783"/>
      <c r="M100" s="786"/>
    </row>
    <row r="101" spans="2:13" s="333" customFormat="1" ht="13.15">
      <c r="B101" s="767"/>
      <c r="C101" s="768"/>
      <c r="D101" s="769"/>
      <c r="E101" s="769"/>
      <c r="F101" s="769"/>
      <c r="G101" s="769"/>
      <c r="H101" s="769">
        <f t="shared" si="12"/>
        <v>0</v>
      </c>
      <c r="I101" s="785"/>
      <c r="J101" s="769"/>
      <c r="K101" s="782"/>
      <c r="L101" s="783"/>
      <c r="M101" s="784"/>
    </row>
    <row r="102" spans="2:13" s="333" customFormat="1" ht="13.15">
      <c r="B102" s="767"/>
      <c r="C102" s="768"/>
      <c r="D102" s="769"/>
      <c r="E102" s="769"/>
      <c r="F102" s="769"/>
      <c r="G102" s="769"/>
      <c r="H102" s="769">
        <f t="shared" si="12"/>
        <v>0</v>
      </c>
      <c r="I102" s="785"/>
      <c r="J102" s="769"/>
      <c r="K102" s="782"/>
      <c r="L102" s="783"/>
      <c r="M102" s="784"/>
    </row>
    <row r="103" spans="2:13" s="333" customFormat="1" ht="13.15">
      <c r="B103" s="767"/>
      <c r="C103" s="768"/>
      <c r="D103" s="769"/>
      <c r="E103" s="769"/>
      <c r="F103" s="769"/>
      <c r="G103" s="769"/>
      <c r="H103" s="769">
        <f t="shared" si="12"/>
        <v>0</v>
      </c>
      <c r="I103" s="785"/>
      <c r="J103" s="769"/>
      <c r="K103" s="782"/>
      <c r="L103" s="783"/>
      <c r="M103" s="786"/>
    </row>
    <row r="104" spans="2:13" s="333" customFormat="1" ht="13.15">
      <c r="B104" s="767"/>
      <c r="C104" s="768"/>
      <c r="D104" s="769"/>
      <c r="E104" s="769"/>
      <c r="F104" s="769"/>
      <c r="G104" s="769"/>
      <c r="H104" s="769">
        <f t="shared" si="12"/>
        <v>0</v>
      </c>
      <c r="I104" s="785"/>
      <c r="J104" s="769"/>
      <c r="K104" s="782"/>
      <c r="L104" s="783"/>
      <c r="M104" s="786"/>
    </row>
    <row r="105" spans="2:13" s="333" customFormat="1" ht="13.15">
      <c r="B105" s="767"/>
      <c r="C105" s="768"/>
      <c r="D105" s="769"/>
      <c r="E105" s="769"/>
      <c r="F105" s="769"/>
      <c r="G105" s="769"/>
      <c r="H105" s="769">
        <f t="shared" si="12"/>
        <v>0</v>
      </c>
      <c r="I105" s="785"/>
      <c r="J105" s="769"/>
      <c r="K105" s="782"/>
      <c r="L105" s="783"/>
      <c r="M105" s="784"/>
    </row>
    <row r="106" spans="2:13" s="333" customFormat="1" ht="13.15">
      <c r="B106" s="767"/>
      <c r="C106" s="787"/>
      <c r="D106" s="769"/>
      <c r="E106" s="769"/>
      <c r="F106" s="769"/>
      <c r="G106" s="769"/>
      <c r="H106" s="769">
        <f t="shared" si="12"/>
        <v>0</v>
      </c>
      <c r="I106" s="769"/>
      <c r="J106" s="769"/>
      <c r="K106" s="782"/>
      <c r="L106" s="783"/>
      <c r="M106" s="786"/>
    </row>
    <row r="107" spans="2:13" s="333" customFormat="1" ht="13.15">
      <c r="B107" s="788"/>
      <c r="C107" s="772"/>
      <c r="D107" s="772"/>
      <c r="E107" s="772"/>
      <c r="F107" s="772"/>
      <c r="G107" s="772"/>
      <c r="H107" s="772"/>
      <c r="I107" s="772"/>
      <c r="J107" s="772"/>
      <c r="K107" s="789"/>
      <c r="L107" s="790"/>
      <c r="M107" s="784"/>
    </row>
    <row r="108" spans="2:13" s="333" customFormat="1" ht="13.15">
      <c r="B108" s="356" t="s">
        <v>298</v>
      </c>
      <c r="C108" s="357">
        <f t="shared" ref="C108:J108" si="13">SUM(C98:C107)</f>
        <v>0</v>
      </c>
      <c r="D108" s="357"/>
      <c r="E108" s="357"/>
      <c r="F108" s="357">
        <f t="shared" si="13"/>
        <v>0</v>
      </c>
      <c r="G108" s="357">
        <f t="shared" si="13"/>
        <v>0</v>
      </c>
      <c r="H108" s="357">
        <f t="shared" si="13"/>
        <v>0</v>
      </c>
      <c r="I108" s="357">
        <f t="shared" si="13"/>
        <v>0</v>
      </c>
      <c r="J108" s="357">
        <f t="shared" si="13"/>
        <v>0</v>
      </c>
      <c r="K108" s="357"/>
      <c r="L108" s="357"/>
      <c r="M108" s="340"/>
    </row>
    <row r="109" spans="2:13" s="333" customFormat="1" ht="15.05">
      <c r="B109" s="660"/>
      <c r="C109" s="660"/>
      <c r="D109" s="660"/>
      <c r="E109" s="660"/>
      <c r="F109" s="660"/>
      <c r="G109" s="660"/>
      <c r="H109" s="660"/>
      <c r="I109" s="660"/>
      <c r="J109" s="660"/>
      <c r="K109" s="660"/>
      <c r="M109" s="340"/>
    </row>
    <row r="110" spans="2:13" s="333" customFormat="1" ht="15.05">
      <c r="B110" s="660"/>
      <c r="C110" s="660"/>
      <c r="D110" s="660"/>
      <c r="E110" s="660"/>
      <c r="F110" s="660"/>
      <c r="G110" s="660"/>
      <c r="H110" s="660"/>
      <c r="I110" s="660"/>
      <c r="J110" s="660"/>
      <c r="K110" s="660"/>
      <c r="M110" s="340"/>
    </row>
    <row r="111" spans="2:13" s="333" customFormat="1" ht="13.15">
      <c r="B111" s="367"/>
      <c r="C111" s="353"/>
      <c r="D111" s="341" t="s">
        <v>460</v>
      </c>
      <c r="E111" s="342"/>
      <c r="F111" s="658" t="s">
        <v>449</v>
      </c>
      <c r="G111" s="341" t="s">
        <v>461</v>
      </c>
      <c r="H111" s="341" t="s">
        <v>462</v>
      </c>
      <c r="I111" s="341"/>
      <c r="J111" s="341"/>
      <c r="K111" s="372"/>
      <c r="L111" s="372"/>
      <c r="M111" s="340"/>
    </row>
    <row r="112" spans="2:13" s="333" customFormat="1" ht="13.15">
      <c r="B112" s="370" t="s">
        <v>684</v>
      </c>
      <c r="C112" s="341"/>
      <c r="D112" s="658" t="s">
        <v>463</v>
      </c>
      <c r="E112" s="341"/>
      <c r="F112" s="658" t="s">
        <v>452</v>
      </c>
      <c r="G112" s="341" t="s">
        <v>464</v>
      </c>
      <c r="H112" s="341" t="s">
        <v>28</v>
      </c>
      <c r="I112" s="341" t="s">
        <v>450</v>
      </c>
      <c r="J112" s="341" t="s">
        <v>451</v>
      </c>
      <c r="K112" s="372"/>
      <c r="L112" s="372"/>
      <c r="M112" s="362" t="s">
        <v>3</v>
      </c>
    </row>
    <row r="113" spans="2:13" s="333" customFormat="1" ht="13.15">
      <c r="B113" s="364"/>
      <c r="C113" s="341"/>
      <c r="D113" s="354" t="s">
        <v>477</v>
      </c>
      <c r="G113" s="341" t="s">
        <v>452</v>
      </c>
      <c r="H113" s="341" t="s">
        <v>452</v>
      </c>
      <c r="I113" s="341" t="s">
        <v>452</v>
      </c>
      <c r="J113" s="341" t="s">
        <v>452</v>
      </c>
      <c r="K113" s="372"/>
      <c r="L113" s="372"/>
      <c r="M113" s="340"/>
    </row>
    <row r="114" spans="2:13" s="333" customFormat="1" ht="13.15">
      <c r="B114" s="373"/>
      <c r="C114" s="344"/>
      <c r="D114" s="344"/>
      <c r="E114" s="344"/>
      <c r="F114" s="344"/>
      <c r="G114" s="372" t="s">
        <v>452</v>
      </c>
      <c r="H114" s="372" t="s">
        <v>452</v>
      </c>
      <c r="I114" s="372" t="s">
        <v>452</v>
      </c>
      <c r="J114" s="372" t="s">
        <v>452</v>
      </c>
      <c r="K114" s="372"/>
      <c r="L114" s="372"/>
      <c r="M114" s="341" t="s">
        <v>467</v>
      </c>
    </row>
    <row r="115" spans="2:13" s="333" customFormat="1" ht="13.15">
      <c r="B115" s="373"/>
      <c r="C115" s="344"/>
      <c r="D115" s="344"/>
      <c r="E115" s="344"/>
      <c r="F115" s="344"/>
      <c r="G115" s="357"/>
      <c r="H115" s="357"/>
      <c r="I115" s="357"/>
      <c r="J115" s="357"/>
      <c r="K115" s="357"/>
      <c r="L115" s="357"/>
      <c r="M115" s="340"/>
    </row>
    <row r="116" spans="2:13" s="333" customFormat="1" ht="13.15">
      <c r="B116" s="767"/>
      <c r="C116" s="768"/>
      <c r="D116" s="769"/>
      <c r="E116" s="769"/>
      <c r="F116" s="769"/>
      <c r="G116" s="769"/>
      <c r="H116" s="769">
        <f t="shared" ref="H116:H124" si="14">D116</f>
        <v>0</v>
      </c>
      <c r="I116" s="769"/>
      <c r="J116" s="769"/>
      <c r="K116" s="782"/>
      <c r="L116" s="783"/>
      <c r="M116" s="784"/>
    </row>
    <row r="117" spans="2:13" s="333" customFormat="1" ht="13.15">
      <c r="B117" s="767"/>
      <c r="C117" s="768"/>
      <c r="D117" s="769"/>
      <c r="E117" s="769"/>
      <c r="F117" s="769"/>
      <c r="G117" s="769"/>
      <c r="H117" s="769">
        <f t="shared" si="14"/>
        <v>0</v>
      </c>
      <c r="I117" s="785"/>
      <c r="J117" s="769"/>
      <c r="K117" s="782"/>
      <c r="L117" s="783"/>
      <c r="M117" s="786"/>
    </row>
    <row r="118" spans="2:13" s="333" customFormat="1" ht="13.15">
      <c r="B118" s="767"/>
      <c r="C118" s="768"/>
      <c r="D118" s="769"/>
      <c r="E118" s="769"/>
      <c r="F118" s="769"/>
      <c r="G118" s="769"/>
      <c r="H118" s="769">
        <f t="shared" si="14"/>
        <v>0</v>
      </c>
      <c r="I118" s="785"/>
      <c r="J118" s="769"/>
      <c r="K118" s="782"/>
      <c r="L118" s="783"/>
      <c r="M118" s="786"/>
    </row>
    <row r="119" spans="2:13" s="333" customFormat="1" ht="13.15">
      <c r="B119" s="767"/>
      <c r="C119" s="768"/>
      <c r="D119" s="769"/>
      <c r="E119" s="769"/>
      <c r="F119" s="769"/>
      <c r="G119" s="769"/>
      <c r="H119" s="769">
        <f t="shared" si="14"/>
        <v>0</v>
      </c>
      <c r="I119" s="785"/>
      <c r="J119" s="769"/>
      <c r="K119" s="782"/>
      <c r="L119" s="783"/>
      <c r="M119" s="784"/>
    </row>
    <row r="120" spans="2:13" s="333" customFormat="1" ht="13.15">
      <c r="B120" s="767"/>
      <c r="C120" s="768"/>
      <c r="D120" s="769"/>
      <c r="E120" s="769"/>
      <c r="F120" s="769"/>
      <c r="G120" s="769"/>
      <c r="H120" s="769">
        <f t="shared" si="14"/>
        <v>0</v>
      </c>
      <c r="I120" s="785"/>
      <c r="J120" s="769"/>
      <c r="K120" s="782"/>
      <c r="L120" s="783"/>
      <c r="M120" s="784"/>
    </row>
    <row r="121" spans="2:13" s="333" customFormat="1" ht="13.15">
      <c r="B121" s="767"/>
      <c r="C121" s="768"/>
      <c r="D121" s="769"/>
      <c r="E121" s="769"/>
      <c r="F121" s="769"/>
      <c r="G121" s="769"/>
      <c r="H121" s="769">
        <f t="shared" si="14"/>
        <v>0</v>
      </c>
      <c r="I121" s="785"/>
      <c r="J121" s="769"/>
      <c r="K121" s="782"/>
      <c r="L121" s="783"/>
      <c r="M121" s="786"/>
    </row>
    <row r="122" spans="2:13" s="333" customFormat="1" ht="13.15">
      <c r="B122" s="767"/>
      <c r="C122" s="768"/>
      <c r="D122" s="769"/>
      <c r="E122" s="769"/>
      <c r="F122" s="769"/>
      <c r="G122" s="769"/>
      <c r="H122" s="769">
        <f t="shared" si="14"/>
        <v>0</v>
      </c>
      <c r="I122" s="785"/>
      <c r="J122" s="769"/>
      <c r="K122" s="782"/>
      <c r="L122" s="783"/>
      <c r="M122" s="786"/>
    </row>
    <row r="123" spans="2:13" s="333" customFormat="1" ht="13.15">
      <c r="B123" s="767"/>
      <c r="C123" s="768"/>
      <c r="D123" s="769"/>
      <c r="E123" s="769"/>
      <c r="F123" s="769"/>
      <c r="G123" s="769"/>
      <c r="H123" s="769">
        <f t="shared" si="14"/>
        <v>0</v>
      </c>
      <c r="I123" s="785"/>
      <c r="J123" s="769"/>
      <c r="K123" s="782"/>
      <c r="L123" s="783"/>
      <c r="M123" s="784"/>
    </row>
    <row r="124" spans="2:13" s="333" customFormat="1" ht="13.15">
      <c r="B124" s="767"/>
      <c r="C124" s="787"/>
      <c r="D124" s="769"/>
      <c r="E124" s="769"/>
      <c r="F124" s="769"/>
      <c r="G124" s="769"/>
      <c r="H124" s="769">
        <f t="shared" si="14"/>
        <v>0</v>
      </c>
      <c r="I124" s="769"/>
      <c r="J124" s="769"/>
      <c r="K124" s="782"/>
      <c r="L124" s="783"/>
      <c r="M124" s="786"/>
    </row>
    <row r="125" spans="2:13" s="333" customFormat="1" ht="13.15">
      <c r="B125" s="788"/>
      <c r="C125" s="772"/>
      <c r="D125" s="772"/>
      <c r="E125" s="772"/>
      <c r="F125" s="772"/>
      <c r="G125" s="772"/>
      <c r="H125" s="772"/>
      <c r="I125" s="772"/>
      <c r="J125" s="772"/>
      <c r="K125" s="789"/>
      <c r="L125" s="790"/>
      <c r="M125" s="784"/>
    </row>
    <row r="126" spans="2:13" s="333" customFormat="1" ht="13.15">
      <c r="B126" s="356" t="s">
        <v>298</v>
      </c>
      <c r="C126" s="357"/>
      <c r="D126" s="357">
        <f t="shared" ref="D126" si="15">SUM(D116:D125)</f>
        <v>0</v>
      </c>
      <c r="E126" s="357"/>
      <c r="F126" s="357">
        <f t="shared" ref="F126:J126" si="16">SUM(F116:F125)</f>
        <v>0</v>
      </c>
      <c r="G126" s="357">
        <f t="shared" si="16"/>
        <v>0</v>
      </c>
      <c r="H126" s="357">
        <f t="shared" si="16"/>
        <v>0</v>
      </c>
      <c r="I126" s="357">
        <f t="shared" si="16"/>
        <v>0</v>
      </c>
      <c r="J126" s="357">
        <f t="shared" si="16"/>
        <v>0</v>
      </c>
      <c r="K126" s="357"/>
      <c r="L126" s="357"/>
      <c r="M126" s="340"/>
    </row>
    <row r="127" spans="2:13" s="333" customFormat="1" ht="13.15">
      <c r="B127" s="356"/>
      <c r="C127" s="357"/>
      <c r="D127" s="357"/>
      <c r="E127" s="357"/>
      <c r="F127" s="357"/>
      <c r="G127" s="357"/>
      <c r="H127" s="357"/>
      <c r="I127" s="357"/>
      <c r="J127" s="357"/>
      <c r="K127" s="357"/>
      <c r="L127" s="357"/>
      <c r="M127" s="340"/>
    </row>
    <row r="128" spans="2:13" s="333" customFormat="1" ht="13.8" thickBot="1">
      <c r="B128" s="356"/>
      <c r="C128" s="357"/>
      <c r="D128" s="357"/>
      <c r="E128" s="357"/>
      <c r="F128" s="357"/>
      <c r="G128" s="357"/>
      <c r="H128" s="357"/>
      <c r="I128" s="357"/>
      <c r="J128" s="357"/>
      <c r="K128" s="357"/>
      <c r="L128" s="357"/>
      <c r="M128" s="340"/>
    </row>
    <row r="129" spans="2:13" s="333" customFormat="1" ht="13.8" thickBot="1">
      <c r="B129" s="344"/>
      <c r="C129" s="1341" t="str">
        <f>C5</f>
        <v>Jersey Central Power &amp; Light</v>
      </c>
      <c r="D129" s="1342"/>
      <c r="E129" s="1342"/>
      <c r="F129" s="1342"/>
      <c r="G129" s="1342"/>
      <c r="H129" s="1342"/>
      <c r="I129" s="1342"/>
      <c r="J129" s="1343"/>
      <c r="K129" s="339"/>
      <c r="L129" s="339"/>
      <c r="M129" s="340"/>
    </row>
    <row r="130" spans="2:13" s="333" customFormat="1" ht="30.05">
      <c r="B130" s="371"/>
      <c r="K130" s="370"/>
      <c r="M130" s="340"/>
    </row>
    <row r="131" spans="2:13" s="333" customFormat="1" ht="26.3">
      <c r="B131" s="367"/>
      <c r="C131" s="353" t="s">
        <v>447</v>
      </c>
      <c r="D131" s="341" t="s">
        <v>460</v>
      </c>
      <c r="E131" s="342" t="s">
        <v>448</v>
      </c>
      <c r="F131" s="334" t="s">
        <v>449</v>
      </c>
      <c r="G131" s="341" t="s">
        <v>461</v>
      </c>
      <c r="H131" s="341" t="s">
        <v>462</v>
      </c>
      <c r="I131" s="341"/>
      <c r="J131" s="341"/>
      <c r="K131" s="372"/>
      <c r="L131" s="372"/>
      <c r="M131" s="340"/>
    </row>
    <row r="132" spans="2:13" s="333" customFormat="1" ht="13.15">
      <c r="B132" s="370" t="s">
        <v>683</v>
      </c>
      <c r="C132" s="341" t="s">
        <v>463</v>
      </c>
      <c r="D132" s="334" t="str">
        <f>+C132</f>
        <v>Balance</v>
      </c>
      <c r="E132" s="341" t="s">
        <v>10</v>
      </c>
      <c r="F132" s="334" t="s">
        <v>452</v>
      </c>
      <c r="G132" s="341" t="s">
        <v>464</v>
      </c>
      <c r="H132" s="341" t="s">
        <v>28</v>
      </c>
      <c r="I132" s="341" t="s">
        <v>450</v>
      </c>
      <c r="J132" s="341" t="s">
        <v>451</v>
      </c>
      <c r="K132" s="372"/>
      <c r="L132" s="372"/>
      <c r="M132" s="362" t="s">
        <v>3</v>
      </c>
    </row>
    <row r="133" spans="2:13" s="333" customFormat="1" ht="13.15">
      <c r="B133" s="364"/>
      <c r="C133" s="354" t="s">
        <v>476</v>
      </c>
      <c r="D133" s="354" t="s">
        <v>477</v>
      </c>
      <c r="G133" s="341" t="s">
        <v>452</v>
      </c>
      <c r="H133" s="341" t="s">
        <v>452</v>
      </c>
      <c r="I133" s="341" t="s">
        <v>452</v>
      </c>
      <c r="J133" s="341" t="s">
        <v>452</v>
      </c>
      <c r="K133" s="372"/>
      <c r="L133" s="372"/>
      <c r="M133" s="340"/>
    </row>
    <row r="134" spans="2:13" s="333" customFormat="1" ht="13.15">
      <c r="B134" s="373"/>
      <c r="C134" s="344"/>
      <c r="D134" s="344"/>
      <c r="E134" s="344"/>
      <c r="F134" s="344"/>
      <c r="G134" s="372" t="s">
        <v>452</v>
      </c>
      <c r="H134" s="372" t="s">
        <v>452</v>
      </c>
      <c r="I134" s="372" t="s">
        <v>452</v>
      </c>
      <c r="J134" s="372" t="s">
        <v>452</v>
      </c>
      <c r="K134" s="372"/>
      <c r="L134" s="372"/>
      <c r="M134" s="341" t="s">
        <v>467</v>
      </c>
    </row>
    <row r="135" spans="2:13" s="333" customFormat="1" ht="13.15">
      <c r="B135" s="373"/>
      <c r="C135" s="344"/>
      <c r="D135" s="344"/>
      <c r="E135" s="344"/>
      <c r="F135" s="344"/>
      <c r="G135" s="357"/>
      <c r="H135" s="357"/>
      <c r="I135" s="357"/>
      <c r="J135" s="357"/>
      <c r="K135" s="357"/>
      <c r="L135" s="357"/>
      <c r="M135" s="340"/>
    </row>
    <row r="136" spans="2:13" s="333" customFormat="1" ht="13.15">
      <c r="B136" s="775"/>
      <c r="C136" s="776">
        <f>C98</f>
        <v>0</v>
      </c>
      <c r="D136" s="357">
        <f>D116</f>
        <v>0</v>
      </c>
      <c r="E136" s="357">
        <f>AVERAGE(C136:D136)</f>
        <v>0</v>
      </c>
      <c r="F136" s="357"/>
      <c r="G136" s="357"/>
      <c r="H136" s="357">
        <f t="shared" ref="H136:H144" si="17">E136</f>
        <v>0</v>
      </c>
      <c r="I136" s="357"/>
      <c r="J136" s="357"/>
      <c r="K136" s="791"/>
      <c r="L136" s="792"/>
      <c r="M136" s="340"/>
    </row>
    <row r="137" spans="2:13" s="333" customFormat="1" ht="25.55" customHeight="1">
      <c r="B137" s="775"/>
      <c r="C137" s="776">
        <f t="shared" ref="C137:C144" si="18">C99</f>
        <v>0</v>
      </c>
      <c r="D137" s="357">
        <f t="shared" ref="D137:D144" si="19">D117</f>
        <v>0</v>
      </c>
      <c r="E137" s="357">
        <f t="shared" ref="E137:E144" si="20">AVERAGE(C137:D137)</f>
        <v>0</v>
      </c>
      <c r="F137" s="357"/>
      <c r="G137" s="357"/>
      <c r="H137" s="357">
        <f t="shared" si="17"/>
        <v>0</v>
      </c>
      <c r="I137" s="793"/>
      <c r="J137" s="357"/>
      <c r="K137" s="791"/>
      <c r="L137" s="792"/>
      <c r="M137" s="794"/>
    </row>
    <row r="138" spans="2:13" s="333" customFormat="1" ht="25.55" customHeight="1">
      <c r="B138" s="775"/>
      <c r="C138" s="776">
        <f t="shared" si="18"/>
        <v>0</v>
      </c>
      <c r="D138" s="357">
        <f t="shared" si="19"/>
        <v>0</v>
      </c>
      <c r="E138" s="357">
        <f t="shared" si="20"/>
        <v>0</v>
      </c>
      <c r="F138" s="357"/>
      <c r="G138" s="357"/>
      <c r="H138" s="357">
        <f t="shared" si="17"/>
        <v>0</v>
      </c>
      <c r="I138" s="793"/>
      <c r="J138" s="357"/>
      <c r="K138" s="791"/>
      <c r="L138" s="792"/>
      <c r="M138" s="794"/>
    </row>
    <row r="139" spans="2:13" s="333" customFormat="1" ht="25.55" customHeight="1">
      <c r="B139" s="775"/>
      <c r="C139" s="776">
        <f t="shared" si="18"/>
        <v>0</v>
      </c>
      <c r="D139" s="357">
        <f t="shared" si="19"/>
        <v>0</v>
      </c>
      <c r="E139" s="357">
        <f t="shared" si="20"/>
        <v>0</v>
      </c>
      <c r="F139" s="357"/>
      <c r="G139" s="357"/>
      <c r="H139" s="357">
        <f t="shared" si="17"/>
        <v>0</v>
      </c>
      <c r="I139" s="793"/>
      <c r="J139" s="357"/>
      <c r="K139" s="791"/>
      <c r="L139" s="792"/>
      <c r="M139" s="340"/>
    </row>
    <row r="140" spans="2:13" s="333" customFormat="1" ht="25.55" customHeight="1">
      <c r="B140" s="775"/>
      <c r="C140" s="776">
        <f t="shared" si="18"/>
        <v>0</v>
      </c>
      <c r="D140" s="357">
        <f t="shared" si="19"/>
        <v>0</v>
      </c>
      <c r="E140" s="357">
        <f t="shared" si="20"/>
        <v>0</v>
      </c>
      <c r="F140" s="357"/>
      <c r="G140" s="357"/>
      <c r="H140" s="357">
        <f t="shared" si="17"/>
        <v>0</v>
      </c>
      <c r="I140" s="793"/>
      <c r="J140" s="357"/>
      <c r="K140" s="791"/>
      <c r="L140" s="792"/>
      <c r="M140" s="340"/>
    </row>
    <row r="141" spans="2:13" s="333" customFormat="1" ht="13.15">
      <c r="B141" s="775"/>
      <c r="C141" s="776">
        <f t="shared" si="18"/>
        <v>0</v>
      </c>
      <c r="D141" s="357">
        <f t="shared" si="19"/>
        <v>0</v>
      </c>
      <c r="E141" s="357">
        <f t="shared" si="20"/>
        <v>0</v>
      </c>
      <c r="F141" s="357"/>
      <c r="G141" s="357"/>
      <c r="H141" s="357">
        <f t="shared" si="17"/>
        <v>0</v>
      </c>
      <c r="I141" s="793"/>
      <c r="J141" s="357"/>
      <c r="K141" s="791"/>
      <c r="L141" s="792"/>
      <c r="M141" s="794"/>
    </row>
    <row r="142" spans="2:13" s="333" customFormat="1" ht="13.15">
      <c r="B142" s="775"/>
      <c r="C142" s="776">
        <f t="shared" si="18"/>
        <v>0</v>
      </c>
      <c r="D142" s="357">
        <f t="shared" si="19"/>
        <v>0</v>
      </c>
      <c r="E142" s="357">
        <f t="shared" si="20"/>
        <v>0</v>
      </c>
      <c r="F142" s="357"/>
      <c r="G142" s="357"/>
      <c r="H142" s="357">
        <f t="shared" si="17"/>
        <v>0</v>
      </c>
      <c r="I142" s="793"/>
      <c r="J142" s="357"/>
      <c r="K142" s="791"/>
      <c r="L142" s="792"/>
      <c r="M142" s="794"/>
    </row>
    <row r="143" spans="2:13" s="333" customFormat="1" ht="13.15">
      <c r="B143" s="775"/>
      <c r="C143" s="776">
        <f t="shared" si="18"/>
        <v>0</v>
      </c>
      <c r="D143" s="357">
        <f t="shared" si="19"/>
        <v>0</v>
      </c>
      <c r="E143" s="357">
        <f t="shared" si="20"/>
        <v>0</v>
      </c>
      <c r="F143" s="357"/>
      <c r="G143" s="357"/>
      <c r="H143" s="357">
        <f t="shared" si="17"/>
        <v>0</v>
      </c>
      <c r="I143" s="793"/>
      <c r="J143" s="357"/>
      <c r="K143" s="791"/>
      <c r="L143" s="792"/>
      <c r="M143" s="340"/>
    </row>
    <row r="144" spans="2:13" s="333" customFormat="1" ht="13.15">
      <c r="B144" s="775"/>
      <c r="C144" s="776">
        <f t="shared" si="18"/>
        <v>0</v>
      </c>
      <c r="D144" s="357">
        <f t="shared" si="19"/>
        <v>0</v>
      </c>
      <c r="E144" s="357">
        <f t="shared" si="20"/>
        <v>0</v>
      </c>
      <c r="F144" s="357"/>
      <c r="G144" s="357"/>
      <c r="H144" s="357">
        <f t="shared" si="17"/>
        <v>0</v>
      </c>
      <c r="I144" s="357"/>
      <c r="J144" s="357"/>
      <c r="K144" s="791"/>
      <c r="L144" s="792"/>
      <c r="M144" s="794"/>
    </row>
    <row r="145" spans="2:24" s="333" customFormat="1" ht="13.15">
      <c r="B145" s="795"/>
      <c r="C145" s="780"/>
      <c r="D145" s="780"/>
      <c r="E145" s="780"/>
      <c r="F145" s="780"/>
      <c r="G145" s="780"/>
      <c r="H145" s="780"/>
      <c r="I145" s="780"/>
      <c r="J145" s="780"/>
      <c r="K145" s="796"/>
      <c r="L145" s="797"/>
      <c r="M145" s="340"/>
    </row>
    <row r="146" spans="2:24" s="333" customFormat="1" ht="13.15">
      <c r="B146" s="356" t="s">
        <v>298</v>
      </c>
      <c r="C146" s="357">
        <f t="shared" ref="C146:J146" si="21">SUM(C136:C145)</f>
        <v>0</v>
      </c>
      <c r="D146" s="357">
        <f t="shared" si="21"/>
        <v>0</v>
      </c>
      <c r="E146" s="357">
        <f t="shared" si="21"/>
        <v>0</v>
      </c>
      <c r="F146" s="357">
        <f t="shared" si="21"/>
        <v>0</v>
      </c>
      <c r="G146" s="357">
        <f t="shared" si="21"/>
        <v>0</v>
      </c>
      <c r="H146" s="357">
        <f t="shared" si="21"/>
        <v>0</v>
      </c>
      <c r="I146" s="357">
        <f t="shared" si="21"/>
        <v>0</v>
      </c>
      <c r="J146" s="357">
        <f t="shared" si="21"/>
        <v>0</v>
      </c>
      <c r="K146" s="357"/>
      <c r="L146" s="357"/>
      <c r="M146" s="340"/>
    </row>
    <row r="147" spans="2:24" s="333" customFormat="1">
      <c r="G147" s="374"/>
      <c r="J147" s="363" t="s">
        <v>3</v>
      </c>
      <c r="K147" s="360"/>
      <c r="L147" s="363"/>
      <c r="M147" s="362"/>
    </row>
    <row r="148" spans="2:24" s="333" customFormat="1" ht="13.15">
      <c r="B148" s="359" t="s">
        <v>478</v>
      </c>
      <c r="C148" s="343"/>
      <c r="D148" s="343"/>
      <c r="E148" s="343"/>
      <c r="G148" s="347"/>
      <c r="H148" s="347"/>
      <c r="I148" s="361"/>
      <c r="J148" s="361"/>
      <c r="K148" s="361"/>
      <c r="M148" s="340"/>
    </row>
    <row r="149" spans="2:24" s="333" customFormat="1" ht="13.15">
      <c r="B149" s="359"/>
      <c r="C149" s="343"/>
      <c r="D149" s="343"/>
      <c r="E149" s="343"/>
      <c r="G149" s="347"/>
      <c r="H149" s="347"/>
      <c r="I149" s="361"/>
      <c r="J149" s="361"/>
      <c r="K149" s="361"/>
      <c r="M149" s="340"/>
    </row>
    <row r="150" spans="2:24" s="333" customFormat="1" ht="12.7" customHeight="1">
      <c r="B150" s="1340" t="s">
        <v>469</v>
      </c>
      <c r="C150" s="1340"/>
      <c r="D150" s="1340"/>
      <c r="E150" s="1340"/>
      <c r="F150" s="1340"/>
      <c r="G150" s="1340"/>
      <c r="H150" s="1340"/>
      <c r="I150" s="1340"/>
      <c r="J150" s="1340"/>
      <c r="K150" s="1340"/>
      <c r="M150" s="340"/>
    </row>
    <row r="151" spans="2:24" s="333" customFormat="1" ht="12.05" customHeight="1">
      <c r="B151" s="1340" t="s">
        <v>470</v>
      </c>
      <c r="C151" s="1340"/>
      <c r="D151" s="1340"/>
      <c r="E151" s="1340"/>
      <c r="F151" s="1340"/>
      <c r="G151" s="1340"/>
      <c r="H151" s="1340"/>
      <c r="I151" s="1340"/>
      <c r="J151" s="1340"/>
      <c r="K151" s="1340"/>
      <c r="M151" s="340"/>
    </row>
    <row r="152" spans="2:24" s="333" customFormat="1" ht="13.15">
      <c r="B152" s="366" t="s">
        <v>471</v>
      </c>
      <c r="C152" s="347"/>
      <c r="D152" s="347"/>
      <c r="E152" s="347"/>
      <c r="F152" s="347"/>
      <c r="G152" s="347"/>
      <c r="H152" s="347"/>
      <c r="I152" s="361"/>
      <c r="J152" s="361"/>
      <c r="K152" s="361"/>
      <c r="M152" s="340"/>
    </row>
    <row r="153" spans="2:24" s="333" customFormat="1" ht="13.15">
      <c r="B153" s="366" t="s">
        <v>472</v>
      </c>
      <c r="C153" s="347"/>
      <c r="D153" s="347"/>
      <c r="E153" s="347"/>
      <c r="F153" s="347"/>
      <c r="G153" s="347"/>
      <c r="H153" s="347"/>
      <c r="I153" s="361"/>
      <c r="J153" s="361"/>
      <c r="K153" s="361"/>
      <c r="M153" s="340"/>
    </row>
    <row r="154" spans="2:24" s="333" customFormat="1" ht="13.15">
      <c r="B154" s="366" t="s">
        <v>473</v>
      </c>
      <c r="C154" s="347"/>
      <c r="D154" s="347"/>
      <c r="E154" s="347"/>
      <c r="F154" s="347"/>
      <c r="G154" s="347"/>
      <c r="H154" s="347"/>
      <c r="I154" s="361"/>
      <c r="J154" s="361"/>
      <c r="K154" s="361"/>
      <c r="M154" s="340"/>
      <c r="X154" s="375"/>
    </row>
    <row r="155" spans="2:24" s="333" customFormat="1" ht="25.55" customHeight="1">
      <c r="B155" s="1340" t="s">
        <v>474</v>
      </c>
      <c r="C155" s="1340"/>
      <c r="D155" s="1340"/>
      <c r="E155" s="1340"/>
      <c r="F155" s="1340"/>
      <c r="G155" s="1340"/>
      <c r="H155" s="1340"/>
      <c r="I155" s="1340"/>
      <c r="J155" s="1340"/>
      <c r="K155" s="1340"/>
      <c r="M155" s="340"/>
    </row>
    <row r="156" spans="2:24" s="333" customFormat="1" ht="13.15">
      <c r="B156" s="376"/>
      <c r="C156" s="343"/>
      <c r="D156" s="343"/>
      <c r="E156" s="343"/>
      <c r="F156" s="343"/>
      <c r="G156" s="347"/>
      <c r="H156" s="347"/>
      <c r="I156" s="361"/>
      <c r="J156" s="361"/>
      <c r="K156" s="361"/>
      <c r="M156" s="340"/>
    </row>
    <row r="157" spans="2:24" s="333" customFormat="1" ht="13.15">
      <c r="B157" s="376"/>
      <c r="C157" s="343"/>
      <c r="D157" s="343"/>
      <c r="E157" s="343"/>
      <c r="F157" s="343"/>
      <c r="G157" s="347"/>
      <c r="H157" s="347"/>
      <c r="I157" s="361"/>
      <c r="J157" s="361"/>
      <c r="K157" s="361"/>
      <c r="M157" s="340"/>
    </row>
    <row r="158" spans="2:24" s="333" customFormat="1" ht="13.15">
      <c r="B158" s="377" t="s">
        <v>475</v>
      </c>
      <c r="C158" s="343"/>
      <c r="D158" s="343"/>
      <c r="E158" s="343"/>
      <c r="F158" s="343"/>
      <c r="G158" s="347"/>
      <c r="H158" s="347"/>
      <c r="I158" s="361"/>
      <c r="J158" s="361"/>
      <c r="K158" s="361"/>
      <c r="M158" s="340"/>
    </row>
    <row r="159" spans="2:24" s="333" customFormat="1" ht="13.8" thickBot="1">
      <c r="B159" s="658" t="s">
        <v>123</v>
      </c>
      <c r="C159" s="658" t="s">
        <v>444</v>
      </c>
      <c r="D159" s="658" t="s">
        <v>445</v>
      </c>
      <c r="E159" s="658" t="s">
        <v>446</v>
      </c>
      <c r="F159" s="658" t="s">
        <v>125</v>
      </c>
      <c r="G159" s="658" t="s">
        <v>126</v>
      </c>
      <c r="H159" s="658" t="s">
        <v>127</v>
      </c>
      <c r="I159" s="658" t="s">
        <v>128</v>
      </c>
      <c r="J159" s="658" t="s">
        <v>129</v>
      </c>
      <c r="K159" s="339"/>
      <c r="L159" s="339"/>
      <c r="M159" s="340"/>
    </row>
    <row r="160" spans="2:24" s="333" customFormat="1" ht="13.8" thickBot="1">
      <c r="B160" s="365"/>
      <c r="C160" s="1341" t="str">
        <f>C129</f>
        <v>Jersey Central Power &amp; Light</v>
      </c>
      <c r="D160" s="1342"/>
      <c r="E160" s="1342"/>
      <c r="F160" s="1342"/>
      <c r="G160" s="1342"/>
      <c r="H160" s="1342"/>
      <c r="I160" s="1342"/>
      <c r="J160" s="1343"/>
      <c r="K160" s="339"/>
      <c r="L160" s="339"/>
      <c r="M160" s="340"/>
    </row>
    <row r="161" spans="2:13" s="333" customFormat="1" ht="13.15">
      <c r="B161" s="344"/>
      <c r="K161" s="372"/>
      <c r="L161" s="372"/>
      <c r="M161" s="340"/>
    </row>
    <row r="162" spans="2:13" s="333" customFormat="1" ht="13.15">
      <c r="B162" s="370" t="s">
        <v>479</v>
      </c>
      <c r="C162" s="353" t="s">
        <v>447</v>
      </c>
      <c r="D162" s="341"/>
      <c r="E162" s="342"/>
      <c r="F162" s="658" t="s">
        <v>449</v>
      </c>
      <c r="G162" s="341" t="s">
        <v>461</v>
      </c>
      <c r="H162" s="341" t="s">
        <v>462</v>
      </c>
      <c r="I162" s="341"/>
      <c r="J162" s="341"/>
      <c r="K162" s="372"/>
      <c r="L162" s="372"/>
      <c r="M162" s="340"/>
    </row>
    <row r="163" spans="2:13" s="333" customFormat="1" ht="13.15">
      <c r="B163" s="344"/>
      <c r="C163" s="341" t="s">
        <v>463</v>
      </c>
      <c r="D163" s="658"/>
      <c r="E163" s="341"/>
      <c r="F163" s="658" t="s">
        <v>452</v>
      </c>
      <c r="G163" s="341" t="s">
        <v>464</v>
      </c>
      <c r="H163" s="341" t="s">
        <v>28</v>
      </c>
      <c r="I163" s="341" t="s">
        <v>450</v>
      </c>
      <c r="J163" s="341" t="s">
        <v>451</v>
      </c>
      <c r="K163" s="372"/>
      <c r="L163" s="372"/>
      <c r="M163" s="341" t="s">
        <v>467</v>
      </c>
    </row>
    <row r="164" spans="2:13" s="333" customFormat="1" ht="13.15">
      <c r="B164" s="355" t="s">
        <v>3</v>
      </c>
      <c r="C164" s="354" t="s">
        <v>480</v>
      </c>
      <c r="D164" s="341"/>
      <c r="G164" s="341" t="s">
        <v>452</v>
      </c>
      <c r="H164" s="341" t="s">
        <v>452</v>
      </c>
      <c r="I164" s="341" t="s">
        <v>452</v>
      </c>
      <c r="J164" s="341" t="s">
        <v>452</v>
      </c>
      <c r="K164" s="372"/>
      <c r="L164" s="372"/>
      <c r="M164" s="340"/>
    </row>
    <row r="165" spans="2:13" s="333" customFormat="1" ht="13.15">
      <c r="B165" s="373"/>
      <c r="C165" s="357"/>
      <c r="D165" s="357"/>
      <c r="E165" s="357"/>
      <c r="F165" s="357"/>
      <c r="G165" s="357"/>
      <c r="H165" s="357"/>
      <c r="I165" s="357"/>
      <c r="J165" s="357"/>
      <c r="K165" s="791"/>
      <c r="L165" s="792"/>
      <c r="M165" s="340"/>
    </row>
    <row r="166" spans="2:13" s="333" customFormat="1" ht="13.15">
      <c r="B166" s="767"/>
      <c r="C166" s="787"/>
      <c r="D166" s="787"/>
      <c r="E166" s="769"/>
      <c r="F166" s="769"/>
      <c r="G166" s="769"/>
      <c r="H166" s="769">
        <f t="shared" ref="H166:H177" si="22">C166</f>
        <v>0</v>
      </c>
      <c r="I166" s="769"/>
      <c r="J166" s="769"/>
      <c r="K166" s="769"/>
      <c r="L166" s="769"/>
      <c r="M166" s="769"/>
    </row>
    <row r="167" spans="2:13" s="333" customFormat="1" ht="13.15">
      <c r="B167" s="767"/>
      <c r="C167" s="787"/>
      <c r="D167" s="787"/>
      <c r="E167" s="769"/>
      <c r="F167" s="769"/>
      <c r="G167" s="769"/>
      <c r="H167" s="769">
        <f t="shared" si="22"/>
        <v>0</v>
      </c>
      <c r="I167" s="769"/>
      <c r="J167" s="769"/>
      <c r="K167" s="769"/>
      <c r="L167" s="769"/>
      <c r="M167" s="769"/>
    </row>
    <row r="168" spans="2:13" s="333" customFormat="1" ht="13.15">
      <c r="B168" s="767"/>
      <c r="C168" s="787"/>
      <c r="D168" s="787"/>
      <c r="E168" s="769"/>
      <c r="F168" s="769"/>
      <c r="G168" s="769"/>
      <c r="H168" s="769">
        <f t="shared" si="22"/>
        <v>0</v>
      </c>
      <c r="I168" s="769"/>
      <c r="J168" s="769"/>
      <c r="K168" s="769"/>
      <c r="L168" s="769"/>
      <c r="M168" s="769"/>
    </row>
    <row r="169" spans="2:13" s="333" customFormat="1" ht="13.15">
      <c r="B169" s="767"/>
      <c r="C169" s="787"/>
      <c r="D169" s="787"/>
      <c r="E169" s="769"/>
      <c r="F169" s="769"/>
      <c r="G169" s="769"/>
      <c r="H169" s="769">
        <f t="shared" si="22"/>
        <v>0</v>
      </c>
      <c r="I169" s="769"/>
      <c r="J169" s="769"/>
      <c r="K169" s="769"/>
      <c r="L169" s="769"/>
      <c r="M169" s="769"/>
    </row>
    <row r="170" spans="2:13" s="333" customFormat="1" ht="13.15">
      <c r="B170" s="767"/>
      <c r="C170" s="787"/>
      <c r="D170" s="787"/>
      <c r="E170" s="769"/>
      <c r="F170" s="769"/>
      <c r="G170" s="769"/>
      <c r="H170" s="769">
        <f t="shared" si="22"/>
        <v>0</v>
      </c>
      <c r="I170" s="769"/>
      <c r="J170" s="769"/>
      <c r="K170" s="769"/>
      <c r="L170" s="769"/>
      <c r="M170" s="769"/>
    </row>
    <row r="171" spans="2:13" s="333" customFormat="1" ht="13.15">
      <c r="B171" s="767"/>
      <c r="C171" s="787"/>
      <c r="D171" s="787"/>
      <c r="E171" s="769"/>
      <c r="F171" s="769"/>
      <c r="G171" s="769"/>
      <c r="H171" s="769">
        <f t="shared" si="22"/>
        <v>0</v>
      </c>
      <c r="I171" s="769"/>
      <c r="J171" s="769"/>
      <c r="K171" s="769"/>
      <c r="L171" s="769"/>
      <c r="M171" s="769"/>
    </row>
    <row r="172" spans="2:13" s="333" customFormat="1" ht="13.15">
      <c r="B172" s="767"/>
      <c r="C172" s="787"/>
      <c r="D172" s="787"/>
      <c r="E172" s="769"/>
      <c r="F172" s="769"/>
      <c r="G172" s="769"/>
      <c r="H172" s="769">
        <f t="shared" si="22"/>
        <v>0</v>
      </c>
      <c r="I172" s="769"/>
      <c r="J172" s="769"/>
      <c r="K172" s="769"/>
      <c r="L172" s="769"/>
      <c r="M172" s="769"/>
    </row>
    <row r="173" spans="2:13" s="333" customFormat="1" ht="13.15">
      <c r="B173" s="767"/>
      <c r="C173" s="787"/>
      <c r="D173" s="787"/>
      <c r="E173" s="769"/>
      <c r="F173" s="769"/>
      <c r="G173" s="769"/>
      <c r="H173" s="769">
        <f t="shared" si="22"/>
        <v>0</v>
      </c>
      <c r="I173" s="769"/>
      <c r="J173" s="769"/>
      <c r="K173" s="769"/>
      <c r="L173" s="769"/>
      <c r="M173" s="770"/>
    </row>
    <row r="174" spans="2:13" s="333" customFormat="1" ht="13.15">
      <c r="B174" s="767"/>
      <c r="C174" s="787"/>
      <c r="D174" s="787"/>
      <c r="E174" s="769"/>
      <c r="F174" s="769"/>
      <c r="G174" s="769"/>
      <c r="H174" s="769">
        <f t="shared" si="22"/>
        <v>0</v>
      </c>
      <c r="I174" s="769"/>
      <c r="J174" s="769"/>
      <c r="K174" s="769"/>
      <c r="L174" s="769"/>
      <c r="M174" s="770"/>
    </row>
    <row r="175" spans="2:13" s="333" customFormat="1" ht="13.15">
      <c r="B175" s="767"/>
      <c r="C175" s="787"/>
      <c r="D175" s="787"/>
      <c r="E175" s="769"/>
      <c r="F175" s="769"/>
      <c r="G175" s="769"/>
      <c r="H175" s="769">
        <f t="shared" si="22"/>
        <v>0</v>
      </c>
      <c r="I175" s="769"/>
      <c r="J175" s="769"/>
      <c r="K175" s="769"/>
      <c r="L175" s="769"/>
      <c r="M175" s="769"/>
    </row>
    <row r="176" spans="2:13" s="333" customFormat="1" ht="13.15">
      <c r="B176" s="767"/>
      <c r="C176" s="787"/>
      <c r="D176" s="787"/>
      <c r="E176" s="769"/>
      <c r="F176" s="769"/>
      <c r="G176" s="769"/>
      <c r="H176" s="769">
        <f t="shared" si="22"/>
        <v>0</v>
      </c>
      <c r="I176" s="769"/>
      <c r="J176" s="769"/>
      <c r="K176" s="769"/>
      <c r="L176" s="769"/>
      <c r="M176" s="769"/>
    </row>
    <row r="177" spans="2:13" s="333" customFormat="1" ht="13.15">
      <c r="B177" s="767"/>
      <c r="C177" s="798"/>
      <c r="D177" s="798"/>
      <c r="E177" s="772"/>
      <c r="F177" s="772"/>
      <c r="G177" s="772"/>
      <c r="H177" s="772">
        <f t="shared" si="22"/>
        <v>0</v>
      </c>
      <c r="I177" s="772"/>
      <c r="J177" s="772"/>
      <c r="K177" s="772"/>
      <c r="L177" s="772"/>
      <c r="M177" s="773"/>
    </row>
    <row r="178" spans="2:13" s="333" customFormat="1" ht="13.15">
      <c r="B178" s="356" t="s">
        <v>298</v>
      </c>
      <c r="C178" s="357">
        <f>SUM(C165:C177)</f>
        <v>0</v>
      </c>
      <c r="D178" s="357"/>
      <c r="E178" s="357"/>
      <c r="F178" s="357"/>
      <c r="G178" s="357">
        <f>SUM(G165:G177)</f>
        <v>0</v>
      </c>
      <c r="H178" s="357">
        <f>SUM(H165:H177)</f>
        <v>0</v>
      </c>
      <c r="I178" s="357">
        <f>SUM(I165:I177)</f>
        <v>0</v>
      </c>
      <c r="J178" s="357">
        <f>SUM(J165:J177)</f>
        <v>0</v>
      </c>
      <c r="K178" s="357"/>
      <c r="L178" s="357"/>
      <c r="M178" s="340"/>
    </row>
    <row r="179" spans="2:13" s="333" customFormat="1" ht="13.15">
      <c r="B179" s="376"/>
      <c r="C179" s="343"/>
      <c r="D179" s="343"/>
      <c r="E179" s="343"/>
      <c r="F179" s="343"/>
      <c r="G179" s="347"/>
      <c r="H179" s="347"/>
      <c r="I179" s="361"/>
      <c r="J179" s="361"/>
      <c r="K179" s="361"/>
      <c r="M179" s="340"/>
    </row>
    <row r="180" spans="2:13" s="333" customFormat="1" ht="13.15">
      <c r="B180" s="376"/>
      <c r="C180" s="343"/>
      <c r="D180" s="343"/>
      <c r="E180" s="343"/>
      <c r="F180" s="343"/>
      <c r="G180" s="347"/>
      <c r="H180" s="347"/>
      <c r="I180" s="361"/>
      <c r="J180" s="361"/>
      <c r="K180" s="361"/>
      <c r="M180" s="340"/>
    </row>
    <row r="181" spans="2:13" s="333" customFormat="1" ht="13.15">
      <c r="B181" s="370" t="s">
        <v>479</v>
      </c>
      <c r="C181" s="353"/>
      <c r="D181" s="341" t="s">
        <v>460</v>
      </c>
      <c r="E181" s="342"/>
      <c r="F181" s="658" t="s">
        <v>449</v>
      </c>
      <c r="G181" s="341" t="s">
        <v>461</v>
      </c>
      <c r="H181" s="341" t="s">
        <v>462</v>
      </c>
      <c r="I181" s="341"/>
      <c r="J181" s="341"/>
      <c r="K181" s="372"/>
      <c r="L181" s="372"/>
      <c r="M181" s="340"/>
    </row>
    <row r="182" spans="2:13" s="333" customFormat="1" ht="13.15">
      <c r="B182" s="344"/>
      <c r="C182" s="341"/>
      <c r="D182" s="658" t="s">
        <v>463</v>
      </c>
      <c r="E182" s="341"/>
      <c r="F182" s="658" t="s">
        <v>452</v>
      </c>
      <c r="G182" s="341" t="s">
        <v>464</v>
      </c>
      <c r="H182" s="341" t="s">
        <v>28</v>
      </c>
      <c r="I182" s="341" t="s">
        <v>450</v>
      </c>
      <c r="J182" s="341" t="s">
        <v>451</v>
      </c>
      <c r="K182" s="372"/>
      <c r="L182" s="372"/>
      <c r="M182" s="341" t="s">
        <v>467</v>
      </c>
    </row>
    <row r="183" spans="2:13" s="333" customFormat="1" ht="13.15">
      <c r="B183" s="355" t="s">
        <v>3</v>
      </c>
      <c r="C183" s="341"/>
      <c r="D183" s="354" t="s">
        <v>481</v>
      </c>
      <c r="G183" s="341" t="s">
        <v>452</v>
      </c>
      <c r="H183" s="341" t="s">
        <v>452</v>
      </c>
      <c r="I183" s="341" t="s">
        <v>452</v>
      </c>
      <c r="J183" s="341" t="s">
        <v>452</v>
      </c>
      <c r="K183" s="372"/>
      <c r="L183" s="372"/>
      <c r="M183" s="340"/>
    </row>
    <row r="184" spans="2:13" s="333" customFormat="1" ht="13.15">
      <c r="B184" s="373"/>
      <c r="C184" s="357"/>
      <c r="D184" s="357"/>
      <c r="E184" s="357"/>
      <c r="F184" s="357"/>
      <c r="G184" s="357"/>
      <c r="H184" s="357"/>
      <c r="I184" s="357"/>
      <c r="J184" s="357"/>
      <c r="K184" s="791"/>
      <c r="L184" s="792"/>
      <c r="M184" s="340"/>
    </row>
    <row r="185" spans="2:13" s="333" customFormat="1" ht="13.15">
      <c r="B185" s="767"/>
      <c r="C185" s="787"/>
      <c r="D185" s="787"/>
      <c r="E185" s="769"/>
      <c r="F185" s="769"/>
      <c r="G185" s="769"/>
      <c r="H185" s="769">
        <f t="shared" ref="H185:H196" si="23">D185</f>
        <v>0</v>
      </c>
      <c r="I185" s="769"/>
      <c r="J185" s="769"/>
      <c r="K185" s="769"/>
      <c r="L185" s="769"/>
      <c r="M185" s="769"/>
    </row>
    <row r="186" spans="2:13" s="333" customFormat="1" ht="13.15">
      <c r="B186" s="767"/>
      <c r="C186" s="787"/>
      <c r="D186" s="787"/>
      <c r="E186" s="769"/>
      <c r="F186" s="769"/>
      <c r="G186" s="769"/>
      <c r="H186" s="769">
        <f t="shared" si="23"/>
        <v>0</v>
      </c>
      <c r="I186" s="769"/>
      <c r="J186" s="769"/>
      <c r="K186" s="769"/>
      <c r="L186" s="769"/>
      <c r="M186" s="769"/>
    </row>
    <row r="187" spans="2:13" s="333" customFormat="1" ht="13.15">
      <c r="B187" s="767"/>
      <c r="C187" s="787"/>
      <c r="D187" s="787"/>
      <c r="E187" s="769"/>
      <c r="F187" s="769"/>
      <c r="G187" s="769"/>
      <c r="H187" s="769">
        <f t="shared" si="23"/>
        <v>0</v>
      </c>
      <c r="I187" s="769"/>
      <c r="J187" s="769"/>
      <c r="K187" s="769"/>
      <c r="L187" s="769"/>
      <c r="M187" s="769"/>
    </row>
    <row r="188" spans="2:13" s="333" customFormat="1" ht="13.15">
      <c r="B188" s="767"/>
      <c r="C188" s="787"/>
      <c r="D188" s="787"/>
      <c r="E188" s="769"/>
      <c r="F188" s="769"/>
      <c r="G188" s="769"/>
      <c r="H188" s="769">
        <f t="shared" si="23"/>
        <v>0</v>
      </c>
      <c r="I188" s="769"/>
      <c r="J188" s="769"/>
      <c r="K188" s="769"/>
      <c r="L188" s="769"/>
      <c r="M188" s="769"/>
    </row>
    <row r="189" spans="2:13" s="333" customFormat="1" ht="13.15">
      <c r="B189" s="767"/>
      <c r="C189" s="787"/>
      <c r="D189" s="787"/>
      <c r="E189" s="769"/>
      <c r="F189" s="769"/>
      <c r="G189" s="769"/>
      <c r="H189" s="769">
        <f t="shared" si="23"/>
        <v>0</v>
      </c>
      <c r="I189" s="769"/>
      <c r="J189" s="769"/>
      <c r="K189" s="769"/>
      <c r="L189" s="769"/>
      <c r="M189" s="769"/>
    </row>
    <row r="190" spans="2:13" s="333" customFormat="1" ht="13.15">
      <c r="B190" s="767"/>
      <c r="C190" s="787"/>
      <c r="D190" s="787"/>
      <c r="E190" s="769"/>
      <c r="F190" s="769"/>
      <c r="G190" s="769"/>
      <c r="H190" s="769">
        <f t="shared" si="23"/>
        <v>0</v>
      </c>
      <c r="I190" s="769"/>
      <c r="J190" s="769"/>
      <c r="K190" s="769"/>
      <c r="L190" s="769"/>
      <c r="M190" s="769"/>
    </row>
    <row r="191" spans="2:13" s="333" customFormat="1" ht="13.15">
      <c r="B191" s="767"/>
      <c r="C191" s="787"/>
      <c r="D191" s="787"/>
      <c r="E191" s="769"/>
      <c r="F191" s="769"/>
      <c r="G191" s="769"/>
      <c r="H191" s="769">
        <f t="shared" si="23"/>
        <v>0</v>
      </c>
      <c r="I191" s="769"/>
      <c r="J191" s="769"/>
      <c r="K191" s="769"/>
      <c r="L191" s="769"/>
      <c r="M191" s="769"/>
    </row>
    <row r="192" spans="2:13" s="333" customFormat="1" ht="13.15">
      <c r="B192" s="767"/>
      <c r="C192" s="787"/>
      <c r="D192" s="787"/>
      <c r="E192" s="769"/>
      <c r="F192" s="769"/>
      <c r="G192" s="769"/>
      <c r="H192" s="769">
        <f t="shared" si="23"/>
        <v>0</v>
      </c>
      <c r="I192" s="769"/>
      <c r="J192" s="769"/>
      <c r="K192" s="769"/>
      <c r="L192" s="769"/>
      <c r="M192" s="770"/>
    </row>
    <row r="193" spans="2:13" s="333" customFormat="1" ht="13.15">
      <c r="B193" s="767"/>
      <c r="C193" s="787"/>
      <c r="D193" s="787"/>
      <c r="E193" s="769"/>
      <c r="F193" s="769"/>
      <c r="G193" s="769"/>
      <c r="H193" s="769">
        <f t="shared" si="23"/>
        <v>0</v>
      </c>
      <c r="I193" s="769"/>
      <c r="J193" s="769"/>
      <c r="K193" s="769"/>
      <c r="L193" s="769"/>
      <c r="M193" s="770"/>
    </row>
    <row r="194" spans="2:13" s="333" customFormat="1" ht="13.15">
      <c r="B194" s="767"/>
      <c r="C194" s="787"/>
      <c r="D194" s="787"/>
      <c r="E194" s="769"/>
      <c r="F194" s="769"/>
      <c r="G194" s="769"/>
      <c r="H194" s="769">
        <f t="shared" si="23"/>
        <v>0</v>
      </c>
      <c r="I194" s="769"/>
      <c r="J194" s="769"/>
      <c r="K194" s="769"/>
      <c r="L194" s="769"/>
      <c r="M194" s="769"/>
    </row>
    <row r="195" spans="2:13" s="333" customFormat="1" ht="13.15">
      <c r="B195" s="767"/>
      <c r="C195" s="787"/>
      <c r="D195" s="787"/>
      <c r="E195" s="769"/>
      <c r="F195" s="769"/>
      <c r="G195" s="769"/>
      <c r="H195" s="769">
        <f t="shared" si="23"/>
        <v>0</v>
      </c>
      <c r="I195" s="769"/>
      <c r="J195" s="769"/>
      <c r="K195" s="769"/>
      <c r="L195" s="769"/>
      <c r="M195" s="769"/>
    </row>
    <row r="196" spans="2:13" s="333" customFormat="1" ht="13.15">
      <c r="B196" s="767"/>
      <c r="C196" s="798"/>
      <c r="D196" s="798"/>
      <c r="E196" s="772"/>
      <c r="F196" s="772"/>
      <c r="G196" s="772"/>
      <c r="H196" s="772">
        <f t="shared" si="23"/>
        <v>0</v>
      </c>
      <c r="I196" s="772"/>
      <c r="J196" s="772"/>
      <c r="K196" s="772"/>
      <c r="L196" s="772"/>
      <c r="M196" s="773"/>
    </row>
    <row r="197" spans="2:13" s="333" customFormat="1" ht="13.15">
      <c r="B197" s="356" t="s">
        <v>298</v>
      </c>
      <c r="C197" s="357">
        <f>SUM(C184:C196)</f>
        <v>0</v>
      </c>
      <c r="D197" s="357">
        <f>SUM(D185:D196)</f>
        <v>0</v>
      </c>
      <c r="E197" s="357"/>
      <c r="F197" s="357"/>
      <c r="G197" s="357">
        <f>SUM(G184:G196)</f>
        <v>0</v>
      </c>
      <c r="H197" s="357">
        <f>SUM(H184:H196)</f>
        <v>0</v>
      </c>
      <c r="I197" s="357">
        <f>SUM(I184:I196)</f>
        <v>0</v>
      </c>
      <c r="J197" s="357">
        <f>SUM(J184:J196)</f>
        <v>0</v>
      </c>
      <c r="K197" s="357"/>
      <c r="L197" s="357"/>
      <c r="M197" s="340"/>
    </row>
    <row r="198" spans="2:13" s="333" customFormat="1" ht="15.05">
      <c r="B198" s="369"/>
      <c r="C198" s="343"/>
      <c r="D198" s="343"/>
      <c r="E198" s="343"/>
      <c r="F198" s="343"/>
      <c r="G198" s="347"/>
      <c r="H198" s="347"/>
      <c r="I198" s="361"/>
      <c r="J198" s="361"/>
      <c r="K198" s="361"/>
      <c r="M198" s="340"/>
    </row>
    <row r="199" spans="2:13" s="333" customFormat="1" ht="13.15">
      <c r="B199" s="344"/>
      <c r="C199" s="344"/>
      <c r="D199" s="344"/>
      <c r="E199" s="344"/>
      <c r="F199" s="344"/>
      <c r="G199" s="344"/>
      <c r="H199" s="344"/>
      <c r="I199" s="344"/>
      <c r="J199" s="370"/>
      <c r="K199" s="370"/>
      <c r="M199" s="340"/>
    </row>
    <row r="200" spans="2:13" s="333" customFormat="1" ht="13.8" thickBot="1">
      <c r="B200" s="334" t="s">
        <v>123</v>
      </c>
      <c r="C200" s="334" t="s">
        <v>444</v>
      </c>
      <c r="D200" s="334" t="s">
        <v>445</v>
      </c>
      <c r="E200" s="334" t="s">
        <v>446</v>
      </c>
      <c r="F200" s="334" t="s">
        <v>125</v>
      </c>
      <c r="G200" s="334" t="s">
        <v>126</v>
      </c>
      <c r="H200" s="334" t="s">
        <v>127</v>
      </c>
      <c r="I200" s="334" t="s">
        <v>128</v>
      </c>
      <c r="J200" s="334" t="s">
        <v>129</v>
      </c>
      <c r="K200" s="339"/>
      <c r="L200" s="339"/>
      <c r="M200" s="340"/>
    </row>
    <row r="201" spans="2:13" s="333" customFormat="1" ht="13.8" thickBot="1">
      <c r="B201" s="365"/>
      <c r="C201" s="1341" t="str">
        <f>C5</f>
        <v>Jersey Central Power &amp; Light</v>
      </c>
      <c r="D201" s="1342"/>
      <c r="E201" s="1342"/>
      <c r="F201" s="1342"/>
      <c r="G201" s="1342"/>
      <c r="H201" s="1342"/>
      <c r="I201" s="1342"/>
      <c r="J201" s="1343"/>
      <c r="K201" s="339"/>
      <c r="L201" s="339"/>
      <c r="M201" s="340"/>
    </row>
    <row r="202" spans="2:13" s="333" customFormat="1" ht="13.15">
      <c r="B202" s="344"/>
      <c r="K202" s="372"/>
      <c r="L202" s="372"/>
      <c r="M202" s="340"/>
    </row>
    <row r="203" spans="2:13" s="333" customFormat="1" ht="26.3">
      <c r="B203" s="370" t="s">
        <v>685</v>
      </c>
      <c r="C203" s="353" t="s">
        <v>447</v>
      </c>
      <c r="D203" s="341" t="s">
        <v>460</v>
      </c>
      <c r="E203" s="342" t="s">
        <v>448</v>
      </c>
      <c r="F203" s="334" t="s">
        <v>449</v>
      </c>
      <c r="G203" s="341" t="s">
        <v>461</v>
      </c>
      <c r="H203" s="341" t="s">
        <v>462</v>
      </c>
      <c r="I203" s="341"/>
      <c r="J203" s="341"/>
      <c r="K203" s="372"/>
      <c r="L203" s="372"/>
      <c r="M203" s="340"/>
    </row>
    <row r="204" spans="2:13" s="333" customFormat="1" ht="13.15">
      <c r="B204" s="344"/>
      <c r="C204" s="341" t="s">
        <v>463</v>
      </c>
      <c r="D204" s="334" t="str">
        <f>+C204</f>
        <v>Balance</v>
      </c>
      <c r="E204" s="341" t="s">
        <v>10</v>
      </c>
      <c r="F204" s="334" t="s">
        <v>452</v>
      </c>
      <c r="G204" s="341" t="s">
        <v>464</v>
      </c>
      <c r="H204" s="341" t="s">
        <v>28</v>
      </c>
      <c r="I204" s="341" t="s">
        <v>450</v>
      </c>
      <c r="J204" s="341" t="s">
        <v>451</v>
      </c>
      <c r="K204" s="372"/>
      <c r="L204" s="372"/>
      <c r="M204" s="341" t="s">
        <v>467</v>
      </c>
    </row>
    <row r="205" spans="2:13" s="333" customFormat="1" ht="13.15">
      <c r="B205" s="355" t="s">
        <v>3</v>
      </c>
      <c r="C205" s="800" t="s">
        <v>480</v>
      </c>
      <c r="D205" s="800" t="s">
        <v>481</v>
      </c>
      <c r="E205" s="340"/>
      <c r="F205" s="340"/>
      <c r="G205" s="341" t="s">
        <v>452</v>
      </c>
      <c r="H205" s="341" t="s">
        <v>452</v>
      </c>
      <c r="I205" s="341" t="s">
        <v>452</v>
      </c>
      <c r="J205" s="341" t="s">
        <v>452</v>
      </c>
      <c r="K205" s="372"/>
      <c r="L205" s="372"/>
      <c r="M205" s="340"/>
    </row>
    <row r="206" spans="2:13" s="333" customFormat="1" ht="13.15">
      <c r="B206" s="373"/>
      <c r="C206" s="357"/>
      <c r="D206" s="357"/>
      <c r="E206" s="357"/>
      <c r="F206" s="357"/>
      <c r="G206" s="357"/>
      <c r="H206" s="357"/>
      <c r="I206" s="357"/>
      <c r="J206" s="357"/>
      <c r="K206" s="791"/>
      <c r="L206" s="792"/>
      <c r="M206" s="340"/>
    </row>
    <row r="207" spans="2:13" s="333" customFormat="1" ht="13.15">
      <c r="B207" s="775"/>
      <c r="C207" s="799">
        <f>C166</f>
        <v>0</v>
      </c>
      <c r="D207" s="799">
        <f>D185</f>
        <v>0</v>
      </c>
      <c r="E207" s="357">
        <f t="shared" ref="E207:E215" si="24">AVERAGE(C207:D207)</f>
        <v>0</v>
      </c>
      <c r="F207" s="357"/>
      <c r="G207" s="357"/>
      <c r="H207" s="357">
        <f t="shared" ref="H207:H217" si="25">E207</f>
        <v>0</v>
      </c>
      <c r="I207" s="357"/>
      <c r="J207" s="357"/>
      <c r="K207" s="357"/>
      <c r="L207" s="357"/>
      <c r="M207" s="357"/>
    </row>
    <row r="208" spans="2:13" s="333" customFormat="1" ht="13.15">
      <c r="B208" s="775"/>
      <c r="C208" s="799">
        <f t="shared" ref="C208:C217" si="26">C167</f>
        <v>0</v>
      </c>
      <c r="D208" s="799">
        <f t="shared" ref="D208:D217" si="27">D186</f>
        <v>0</v>
      </c>
      <c r="E208" s="357">
        <f t="shared" si="24"/>
        <v>0</v>
      </c>
      <c r="F208" s="357"/>
      <c r="G208" s="357"/>
      <c r="H208" s="357">
        <f t="shared" si="25"/>
        <v>0</v>
      </c>
      <c r="I208" s="357"/>
      <c r="J208" s="357"/>
      <c r="K208" s="357"/>
      <c r="L208" s="357"/>
      <c r="M208" s="357"/>
    </row>
    <row r="209" spans="2:13" s="333" customFormat="1" ht="13.15">
      <c r="B209" s="775"/>
      <c r="C209" s="799">
        <f t="shared" si="26"/>
        <v>0</v>
      </c>
      <c r="D209" s="799">
        <f t="shared" si="27"/>
        <v>0</v>
      </c>
      <c r="E209" s="357">
        <f t="shared" si="24"/>
        <v>0</v>
      </c>
      <c r="F209" s="357"/>
      <c r="G209" s="357"/>
      <c r="H209" s="357">
        <f t="shared" si="25"/>
        <v>0</v>
      </c>
      <c r="I209" s="357"/>
      <c r="J209" s="357"/>
      <c r="K209" s="357"/>
      <c r="L209" s="357"/>
      <c r="M209" s="357"/>
    </row>
    <row r="210" spans="2:13" s="333" customFormat="1" ht="13.15">
      <c r="B210" s="775"/>
      <c r="C210" s="799">
        <f t="shared" si="26"/>
        <v>0</v>
      </c>
      <c r="D210" s="799">
        <f t="shared" si="27"/>
        <v>0</v>
      </c>
      <c r="E210" s="357">
        <f t="shared" si="24"/>
        <v>0</v>
      </c>
      <c r="F210" s="357"/>
      <c r="G210" s="357"/>
      <c r="H210" s="357">
        <f t="shared" si="25"/>
        <v>0</v>
      </c>
      <c r="I210" s="357"/>
      <c r="J210" s="357"/>
      <c r="K210" s="357"/>
      <c r="L210" s="357"/>
      <c r="M210" s="357"/>
    </row>
    <row r="211" spans="2:13" s="333" customFormat="1" ht="13.15">
      <c r="B211" s="775"/>
      <c r="C211" s="799">
        <f t="shared" si="26"/>
        <v>0</v>
      </c>
      <c r="D211" s="799">
        <f t="shared" si="27"/>
        <v>0</v>
      </c>
      <c r="E211" s="357">
        <f t="shared" si="24"/>
        <v>0</v>
      </c>
      <c r="F211" s="357"/>
      <c r="G211" s="357"/>
      <c r="H211" s="357">
        <f t="shared" si="25"/>
        <v>0</v>
      </c>
      <c r="I211" s="357"/>
      <c r="J211" s="357"/>
      <c r="K211" s="357"/>
      <c r="L211" s="357"/>
      <c r="M211" s="357"/>
    </row>
    <row r="212" spans="2:13" s="333" customFormat="1" ht="13.15">
      <c r="B212" s="775"/>
      <c r="C212" s="799">
        <f t="shared" si="26"/>
        <v>0</v>
      </c>
      <c r="D212" s="799">
        <f t="shared" si="27"/>
        <v>0</v>
      </c>
      <c r="E212" s="357">
        <f t="shared" si="24"/>
        <v>0</v>
      </c>
      <c r="F212" s="357"/>
      <c r="G212" s="357"/>
      <c r="H212" s="357">
        <f t="shared" si="25"/>
        <v>0</v>
      </c>
      <c r="I212" s="357"/>
      <c r="J212" s="357"/>
      <c r="K212" s="357"/>
      <c r="L212" s="357"/>
      <c r="M212" s="357"/>
    </row>
    <row r="213" spans="2:13" s="333" customFormat="1" ht="13.15">
      <c r="B213" s="775"/>
      <c r="C213" s="799">
        <f t="shared" si="26"/>
        <v>0</v>
      </c>
      <c r="D213" s="799">
        <f t="shared" si="27"/>
        <v>0</v>
      </c>
      <c r="E213" s="357">
        <f t="shared" si="24"/>
        <v>0</v>
      </c>
      <c r="F213" s="357"/>
      <c r="G213" s="357"/>
      <c r="H213" s="357">
        <f t="shared" si="25"/>
        <v>0</v>
      </c>
      <c r="I213" s="357"/>
      <c r="J213" s="357"/>
      <c r="K213" s="357"/>
      <c r="L213" s="357"/>
      <c r="M213" s="357"/>
    </row>
    <row r="214" spans="2:13" s="333" customFormat="1" ht="13.15">
      <c r="B214" s="775"/>
      <c r="C214" s="799">
        <f t="shared" si="26"/>
        <v>0</v>
      </c>
      <c r="D214" s="799">
        <f t="shared" si="27"/>
        <v>0</v>
      </c>
      <c r="E214" s="357">
        <f t="shared" si="24"/>
        <v>0</v>
      </c>
      <c r="F214" s="357"/>
      <c r="G214" s="357"/>
      <c r="H214" s="357">
        <f t="shared" si="25"/>
        <v>0</v>
      </c>
      <c r="I214" s="357"/>
      <c r="J214" s="357"/>
      <c r="K214" s="357"/>
      <c r="L214" s="357"/>
      <c r="M214" s="777"/>
    </row>
    <row r="215" spans="2:13" s="333" customFormat="1" ht="13.15">
      <c r="B215" s="775"/>
      <c r="C215" s="799">
        <f t="shared" si="26"/>
        <v>0</v>
      </c>
      <c r="D215" s="799">
        <f t="shared" si="27"/>
        <v>0</v>
      </c>
      <c r="E215" s="357">
        <f t="shared" si="24"/>
        <v>0</v>
      </c>
      <c r="F215" s="357"/>
      <c r="G215" s="357"/>
      <c r="H215" s="357">
        <f t="shared" si="25"/>
        <v>0</v>
      </c>
      <c r="I215" s="357"/>
      <c r="J215" s="357"/>
      <c r="K215" s="357"/>
      <c r="L215" s="357"/>
      <c r="M215" s="777"/>
    </row>
    <row r="216" spans="2:13" s="333" customFormat="1" ht="13.15">
      <c r="B216" s="775"/>
      <c r="C216" s="799">
        <f t="shared" si="26"/>
        <v>0</v>
      </c>
      <c r="D216" s="799">
        <f t="shared" si="27"/>
        <v>0</v>
      </c>
      <c r="E216" s="357">
        <f t="shared" ref="E216:E217" si="28">AVERAGE(C216:D216)</f>
        <v>0</v>
      </c>
      <c r="F216" s="357"/>
      <c r="G216" s="357"/>
      <c r="H216" s="357">
        <f t="shared" si="25"/>
        <v>0</v>
      </c>
      <c r="I216" s="357"/>
      <c r="J216" s="357"/>
      <c r="K216" s="357"/>
      <c r="L216" s="357"/>
      <c r="M216" s="357"/>
    </row>
    <row r="217" spans="2:13" s="333" customFormat="1" ht="13.15">
      <c r="B217" s="775"/>
      <c r="C217" s="799">
        <f t="shared" si="26"/>
        <v>0</v>
      </c>
      <c r="D217" s="799">
        <f t="shared" si="27"/>
        <v>0</v>
      </c>
      <c r="E217" s="357">
        <f t="shared" si="28"/>
        <v>0</v>
      </c>
      <c r="F217" s="357"/>
      <c r="G217" s="357"/>
      <c r="H217" s="357">
        <f t="shared" si="25"/>
        <v>0</v>
      </c>
      <c r="I217" s="357"/>
      <c r="J217" s="357"/>
      <c r="K217" s="357"/>
      <c r="L217" s="357"/>
      <c r="M217" s="357"/>
    </row>
    <row r="218" spans="2:13" s="333" customFormat="1" ht="13.15">
      <c r="B218" s="775"/>
      <c r="C218" s="779"/>
      <c r="D218" s="779"/>
      <c r="E218" s="780"/>
      <c r="F218" s="780"/>
      <c r="G218" s="780"/>
      <c r="H218" s="780"/>
      <c r="I218" s="780"/>
      <c r="J218" s="780"/>
      <c r="K218" s="780"/>
      <c r="L218" s="780"/>
      <c r="M218" s="781"/>
    </row>
    <row r="219" spans="2:13" s="333" customFormat="1" ht="13.15">
      <c r="B219" s="356" t="s">
        <v>298</v>
      </c>
      <c r="C219" s="357">
        <f>SUM(C206:C218)</f>
        <v>0</v>
      </c>
      <c r="D219" s="357">
        <f>SUM(D207:D218)</f>
        <v>0</v>
      </c>
      <c r="E219" s="357">
        <f>SUM(E206:E218)</f>
        <v>0</v>
      </c>
      <c r="F219" s="357"/>
      <c r="G219" s="357">
        <f>SUM(G206:G218)</f>
        <v>0</v>
      </c>
      <c r="H219" s="357">
        <f>SUM(H206:H218)</f>
        <v>0</v>
      </c>
      <c r="I219" s="357">
        <f>SUM(I206:I218)</f>
        <v>0</v>
      </c>
      <c r="J219" s="357">
        <f>SUM(J206:J218)</f>
        <v>0</v>
      </c>
      <c r="K219" s="357"/>
      <c r="L219" s="357"/>
      <c r="M219" s="340"/>
    </row>
    <row r="220" spans="2:13" s="333" customFormat="1" ht="13.15">
      <c r="B220" s="359"/>
      <c r="G220" s="347"/>
      <c r="H220" s="347"/>
      <c r="I220" s="347"/>
      <c r="J220" s="347"/>
      <c r="K220" s="357"/>
      <c r="L220" s="347"/>
      <c r="M220" s="340"/>
    </row>
    <row r="221" spans="2:13" s="333" customFormat="1" ht="13.15">
      <c r="B221" s="359" t="s">
        <v>482</v>
      </c>
      <c r="C221" s="343"/>
      <c r="D221" s="343"/>
      <c r="E221" s="343"/>
      <c r="F221" s="343"/>
      <c r="G221" s="347"/>
      <c r="H221" s="347"/>
      <c r="I221" s="361"/>
      <c r="J221" s="361"/>
      <c r="K221" s="361"/>
      <c r="M221" s="340"/>
    </row>
    <row r="222" spans="2:13" s="333" customFormat="1" ht="13.15">
      <c r="B222" s="376"/>
      <c r="C222" s="343"/>
      <c r="D222" s="343"/>
      <c r="E222" s="343"/>
      <c r="F222" s="343"/>
      <c r="G222" s="343"/>
      <c r="H222" s="343"/>
      <c r="I222" s="343"/>
      <c r="J222" s="343"/>
      <c r="K222" s="343"/>
      <c r="M222" s="340"/>
    </row>
    <row r="223" spans="2:13" s="333" customFormat="1" ht="13.15">
      <c r="B223" s="1340" t="s">
        <v>469</v>
      </c>
      <c r="C223" s="1340"/>
      <c r="D223" s="1340"/>
      <c r="E223" s="1340"/>
      <c r="F223" s="1340"/>
      <c r="G223" s="1340"/>
      <c r="H223" s="1340"/>
      <c r="I223" s="1340"/>
      <c r="J223" s="1340"/>
      <c r="K223" s="1340"/>
      <c r="M223" s="340"/>
    </row>
    <row r="224" spans="2:13" s="333" customFormat="1" ht="13.15">
      <c r="B224" s="1340" t="s">
        <v>470</v>
      </c>
      <c r="C224" s="1340"/>
      <c r="D224" s="1340"/>
      <c r="E224" s="1340"/>
      <c r="F224" s="1340"/>
      <c r="G224" s="1340"/>
      <c r="H224" s="1340"/>
      <c r="I224" s="1340"/>
      <c r="J224" s="1340"/>
      <c r="K224" s="1340"/>
      <c r="M224" s="340"/>
    </row>
    <row r="225" spans="2:13" s="333" customFormat="1" ht="13.15">
      <c r="B225" s="366" t="s">
        <v>471</v>
      </c>
      <c r="C225" s="347"/>
      <c r="D225" s="347"/>
      <c r="E225" s="347"/>
      <c r="F225" s="347"/>
      <c r="G225" s="347"/>
      <c r="H225" s="347"/>
      <c r="I225" s="361"/>
      <c r="J225" s="361"/>
      <c r="K225" s="361"/>
      <c r="M225" s="340"/>
    </row>
    <row r="226" spans="2:13" s="333" customFormat="1" ht="13.15">
      <c r="B226" s="366" t="s">
        <v>472</v>
      </c>
      <c r="C226" s="347"/>
      <c r="D226" s="347"/>
      <c r="E226" s="347"/>
      <c r="F226" s="347"/>
      <c r="G226" s="347"/>
      <c r="H226" s="347"/>
      <c r="I226" s="361"/>
      <c r="J226" s="361"/>
      <c r="K226" s="361"/>
      <c r="L226" s="349"/>
      <c r="M226" s="349"/>
    </row>
    <row r="227" spans="2:13" s="333" customFormat="1" ht="13.15">
      <c r="B227" s="366" t="s">
        <v>473</v>
      </c>
      <c r="C227" s="347"/>
      <c r="D227" s="347"/>
      <c r="E227" s="347"/>
      <c r="F227" s="347"/>
      <c r="G227" s="347"/>
      <c r="H227" s="347"/>
      <c r="I227" s="361"/>
      <c r="J227" s="361"/>
      <c r="K227" s="361"/>
      <c r="L227" s="349"/>
      <c r="M227" s="349"/>
    </row>
    <row r="228" spans="2:13" s="333" customFormat="1" ht="32.25" customHeight="1">
      <c r="B228" s="1340" t="s">
        <v>474</v>
      </c>
      <c r="C228" s="1340"/>
      <c r="D228" s="1340"/>
      <c r="E228" s="1340"/>
      <c r="F228" s="1340"/>
      <c r="G228" s="1340"/>
      <c r="H228" s="1340"/>
      <c r="I228" s="1340"/>
      <c r="J228" s="1340"/>
      <c r="K228" s="1340"/>
      <c r="L228" s="349"/>
      <c r="M228" s="349"/>
    </row>
    <row r="229" spans="2:13" s="333" customFormat="1" ht="13.15">
      <c r="B229" s="347"/>
      <c r="C229" s="347"/>
      <c r="D229" s="347"/>
      <c r="E229" s="347"/>
      <c r="F229" s="347"/>
      <c r="G229" s="347"/>
      <c r="H229" s="347"/>
      <c r="I229" s="347"/>
      <c r="J229" s="378"/>
      <c r="K229" s="378"/>
      <c r="L229" s="349"/>
      <c r="M229" s="349"/>
    </row>
    <row r="230" spans="2:13" s="333" customFormat="1" ht="13.15">
      <c r="B230" s="377" t="s">
        <v>475</v>
      </c>
      <c r="C230" s="343"/>
      <c r="D230" s="343"/>
      <c r="E230" s="343"/>
      <c r="F230" s="343"/>
      <c r="G230" s="347"/>
      <c r="H230" s="347"/>
      <c r="I230" s="361"/>
      <c r="J230" s="361"/>
      <c r="K230" s="361"/>
      <c r="M230" s="340"/>
    </row>
    <row r="231" spans="2:13" s="333" customFormat="1" ht="13.15">
      <c r="B231" s="376"/>
      <c r="C231" s="343"/>
      <c r="D231" s="343"/>
      <c r="E231" s="343"/>
      <c r="F231" s="343"/>
      <c r="G231" s="347"/>
      <c r="H231" s="347"/>
      <c r="I231" s="361"/>
      <c r="J231" s="361"/>
      <c r="K231" s="361"/>
      <c r="M231" s="340"/>
    </row>
    <row r="232" spans="2:13" s="333" customFormat="1" ht="13.8" thickBot="1">
      <c r="B232" s="658" t="s">
        <v>123</v>
      </c>
      <c r="C232" s="658" t="s">
        <v>444</v>
      </c>
      <c r="D232" s="658" t="s">
        <v>445</v>
      </c>
      <c r="E232" s="658" t="s">
        <v>446</v>
      </c>
      <c r="F232" s="658" t="s">
        <v>125</v>
      </c>
      <c r="G232" s="658" t="s">
        <v>126</v>
      </c>
      <c r="H232" s="658" t="s">
        <v>127</v>
      </c>
      <c r="I232" s="658" t="s">
        <v>128</v>
      </c>
      <c r="J232" s="658" t="s">
        <v>129</v>
      </c>
      <c r="K232" s="339"/>
      <c r="L232" s="339"/>
      <c r="M232" s="340"/>
    </row>
    <row r="233" spans="2:13" s="333" customFormat="1" ht="13.8" thickBot="1">
      <c r="B233" s="365"/>
      <c r="C233" s="1341" t="str">
        <f>C201</f>
        <v>Jersey Central Power &amp; Light</v>
      </c>
      <c r="D233" s="1342"/>
      <c r="E233" s="1342"/>
      <c r="F233" s="1342"/>
      <c r="G233" s="1342"/>
      <c r="H233" s="1342"/>
      <c r="I233" s="1342"/>
      <c r="J233" s="1343"/>
      <c r="K233" s="339"/>
      <c r="L233" s="339"/>
      <c r="M233" s="340"/>
    </row>
    <row r="234" spans="2:13" s="333" customFormat="1" ht="13.15">
      <c r="B234" s="344"/>
      <c r="K234" s="372"/>
      <c r="L234" s="372"/>
      <c r="M234" s="340"/>
    </row>
    <row r="235" spans="2:13" s="333" customFormat="1" ht="13.15">
      <c r="B235" s="370" t="s">
        <v>484</v>
      </c>
      <c r="C235" s="353" t="s">
        <v>447</v>
      </c>
      <c r="D235" s="341"/>
      <c r="E235" s="342"/>
      <c r="F235" s="658" t="s">
        <v>449</v>
      </c>
      <c r="G235" s="341" t="s">
        <v>461</v>
      </c>
      <c r="H235" s="341" t="s">
        <v>462</v>
      </c>
      <c r="I235" s="341"/>
      <c r="J235" s="341"/>
      <c r="K235" s="372"/>
      <c r="L235" s="372"/>
      <c r="M235" s="340"/>
    </row>
    <row r="236" spans="2:13" s="333" customFormat="1" ht="13.15">
      <c r="B236" s="344"/>
      <c r="C236" s="341" t="s">
        <v>463</v>
      </c>
      <c r="D236" s="658"/>
      <c r="E236" s="341"/>
      <c r="F236" s="658" t="s">
        <v>452</v>
      </c>
      <c r="G236" s="341" t="s">
        <v>464</v>
      </c>
      <c r="H236" s="341" t="s">
        <v>28</v>
      </c>
      <c r="I236" s="341" t="s">
        <v>450</v>
      </c>
      <c r="J236" s="341" t="s">
        <v>451</v>
      </c>
      <c r="K236" s="372"/>
      <c r="L236" s="372"/>
      <c r="M236" s="341" t="s">
        <v>467</v>
      </c>
    </row>
    <row r="237" spans="2:13" s="333" customFormat="1" ht="13.15">
      <c r="B237" s="355" t="s">
        <v>3</v>
      </c>
      <c r="C237" s="354" t="s">
        <v>485</v>
      </c>
      <c r="D237" s="341"/>
      <c r="G237" s="341" t="s">
        <v>452</v>
      </c>
      <c r="H237" s="341" t="s">
        <v>452</v>
      </c>
      <c r="I237" s="341" t="s">
        <v>452</v>
      </c>
      <c r="J237" s="341" t="s">
        <v>452</v>
      </c>
      <c r="K237" s="372"/>
      <c r="L237" s="372"/>
      <c r="M237" s="340"/>
    </row>
    <row r="238" spans="2:13" s="333" customFormat="1" ht="13.15">
      <c r="B238" s="373"/>
      <c r="C238" s="357"/>
      <c r="D238" s="357"/>
      <c r="E238" s="357"/>
      <c r="F238" s="357"/>
      <c r="G238" s="357"/>
      <c r="H238" s="357"/>
      <c r="I238" s="357"/>
      <c r="J238" s="357"/>
      <c r="K238" s="791"/>
      <c r="L238" s="792"/>
      <c r="M238" s="340"/>
    </row>
    <row r="239" spans="2:13" s="333" customFormat="1" ht="13.15">
      <c r="B239" s="767"/>
      <c r="C239" s="787"/>
      <c r="D239" s="787"/>
      <c r="E239" s="769"/>
      <c r="F239" s="769"/>
      <c r="G239" s="769"/>
      <c r="H239" s="769">
        <f t="shared" ref="H239:H247" si="29">C239</f>
        <v>0</v>
      </c>
      <c r="I239" s="769"/>
      <c r="J239" s="769"/>
      <c r="K239" s="769"/>
      <c r="L239" s="769"/>
      <c r="M239" s="769"/>
    </row>
    <row r="240" spans="2:13" s="333" customFormat="1" ht="13.15">
      <c r="B240" s="767"/>
      <c r="C240" s="787"/>
      <c r="D240" s="787"/>
      <c r="E240" s="769"/>
      <c r="F240" s="769"/>
      <c r="G240" s="769"/>
      <c r="H240" s="769">
        <f t="shared" si="29"/>
        <v>0</v>
      </c>
      <c r="I240" s="769"/>
      <c r="J240" s="769"/>
      <c r="K240" s="769"/>
      <c r="L240" s="769"/>
      <c r="M240" s="769"/>
    </row>
    <row r="241" spans="2:13" s="333" customFormat="1" ht="13.15">
      <c r="B241" s="767"/>
      <c r="C241" s="787"/>
      <c r="D241" s="787"/>
      <c r="E241" s="769"/>
      <c r="F241" s="769"/>
      <c r="G241" s="769"/>
      <c r="H241" s="769">
        <f t="shared" si="29"/>
        <v>0</v>
      </c>
      <c r="I241" s="769"/>
      <c r="J241" s="769"/>
      <c r="K241" s="769"/>
      <c r="L241" s="769"/>
      <c r="M241" s="769"/>
    </row>
    <row r="242" spans="2:13" s="333" customFormat="1" ht="13.15">
      <c r="B242" s="767"/>
      <c r="C242" s="787"/>
      <c r="D242" s="787"/>
      <c r="E242" s="769"/>
      <c r="F242" s="769"/>
      <c r="G242" s="769"/>
      <c r="H242" s="769">
        <f t="shared" si="29"/>
        <v>0</v>
      </c>
      <c r="I242" s="769"/>
      <c r="J242" s="769"/>
      <c r="K242" s="769"/>
      <c r="L242" s="769"/>
      <c r="M242" s="769"/>
    </row>
    <row r="243" spans="2:13" s="333" customFormat="1" ht="13.15">
      <c r="B243" s="767"/>
      <c r="C243" s="787"/>
      <c r="D243" s="787"/>
      <c r="E243" s="769"/>
      <c r="F243" s="769"/>
      <c r="G243" s="769"/>
      <c r="H243" s="769">
        <f t="shared" si="29"/>
        <v>0</v>
      </c>
      <c r="I243" s="769"/>
      <c r="J243" s="769"/>
      <c r="K243" s="769"/>
      <c r="L243" s="769"/>
      <c r="M243" s="770"/>
    </row>
    <row r="244" spans="2:13" s="333" customFormat="1" ht="13.15">
      <c r="B244" s="767"/>
      <c r="C244" s="787"/>
      <c r="D244" s="787"/>
      <c r="E244" s="769"/>
      <c r="F244" s="769"/>
      <c r="G244" s="769"/>
      <c r="H244" s="769">
        <f t="shared" si="29"/>
        <v>0</v>
      </c>
      <c r="I244" s="769"/>
      <c r="J244" s="769"/>
      <c r="K244" s="769"/>
      <c r="L244" s="769"/>
      <c r="M244" s="770"/>
    </row>
    <row r="245" spans="2:13" s="333" customFormat="1" ht="13.15">
      <c r="B245" s="767"/>
      <c r="C245" s="787"/>
      <c r="D245" s="787"/>
      <c r="E245" s="769"/>
      <c r="F245" s="769"/>
      <c r="G245" s="769"/>
      <c r="H245" s="769">
        <f t="shared" si="29"/>
        <v>0</v>
      </c>
      <c r="I245" s="769"/>
      <c r="J245" s="769"/>
      <c r="K245" s="769"/>
      <c r="L245" s="769"/>
      <c r="M245" s="769"/>
    </row>
    <row r="246" spans="2:13" s="333" customFormat="1" ht="13.15">
      <c r="B246" s="767"/>
      <c r="C246" s="787"/>
      <c r="D246" s="787"/>
      <c r="E246" s="769"/>
      <c r="F246" s="769"/>
      <c r="G246" s="769"/>
      <c r="H246" s="769">
        <f t="shared" si="29"/>
        <v>0</v>
      </c>
      <c r="I246" s="769"/>
      <c r="J246" s="769"/>
      <c r="K246" s="769"/>
      <c r="L246" s="769"/>
      <c r="M246" s="769"/>
    </row>
    <row r="247" spans="2:13" s="333" customFormat="1" ht="13.15">
      <c r="B247" s="767"/>
      <c r="C247" s="798"/>
      <c r="D247" s="798"/>
      <c r="E247" s="772"/>
      <c r="F247" s="772"/>
      <c r="G247" s="772"/>
      <c r="H247" s="772">
        <f t="shared" si="29"/>
        <v>0</v>
      </c>
      <c r="I247" s="772"/>
      <c r="J247" s="772"/>
      <c r="K247" s="772"/>
      <c r="L247" s="772"/>
      <c r="M247" s="773"/>
    </row>
    <row r="248" spans="2:13" s="333" customFormat="1" ht="13.15">
      <c r="B248" s="356" t="s">
        <v>298</v>
      </c>
      <c r="C248" s="357">
        <f>SUM(C238:C247)</f>
        <v>0</v>
      </c>
      <c r="D248" s="357"/>
      <c r="E248" s="357"/>
      <c r="F248" s="357"/>
      <c r="G248" s="357">
        <f>SUM(G238:G247)</f>
        <v>0</v>
      </c>
      <c r="H248" s="357">
        <f>SUM(H238:H247)</f>
        <v>0</v>
      </c>
      <c r="I248" s="357">
        <f>SUM(I238:I247)</f>
        <v>0</v>
      </c>
      <c r="J248" s="357">
        <f>SUM(J238:J247)</f>
        <v>0</v>
      </c>
      <c r="K248" s="357"/>
      <c r="L248" s="357"/>
      <c r="M248" s="340"/>
    </row>
    <row r="249" spans="2:13" s="333" customFormat="1" ht="13.15">
      <c r="B249" s="344"/>
      <c r="C249" s="344"/>
      <c r="D249" s="344"/>
      <c r="E249" s="344"/>
      <c r="F249" s="344"/>
      <c r="G249" s="344"/>
      <c r="H249" s="344"/>
      <c r="I249" s="344"/>
      <c r="J249" s="370"/>
      <c r="K249" s="370"/>
      <c r="M249" s="340"/>
    </row>
    <row r="250" spans="2:13" s="333" customFormat="1" ht="13.15">
      <c r="B250" s="344"/>
      <c r="C250" s="344"/>
      <c r="D250" s="344"/>
      <c r="E250" s="344"/>
      <c r="F250" s="344"/>
      <c r="G250" s="344"/>
      <c r="H250" s="344"/>
      <c r="I250" s="344"/>
      <c r="J250" s="370"/>
      <c r="K250" s="370"/>
      <c r="M250" s="340"/>
    </row>
    <row r="251" spans="2:13" s="333" customFormat="1" ht="13.15">
      <c r="B251" s="370" t="s">
        <v>484</v>
      </c>
      <c r="C251" s="353"/>
      <c r="D251" s="341" t="s">
        <v>460</v>
      </c>
      <c r="E251" s="342"/>
      <c r="F251" s="658" t="s">
        <v>449</v>
      </c>
      <c r="G251" s="341" t="s">
        <v>461</v>
      </c>
      <c r="H251" s="341" t="s">
        <v>462</v>
      </c>
      <c r="I251" s="341"/>
      <c r="J251" s="341"/>
      <c r="K251" s="372"/>
      <c r="L251" s="372"/>
      <c r="M251" s="340"/>
    </row>
    <row r="252" spans="2:13" s="333" customFormat="1" ht="13.15">
      <c r="B252" s="344"/>
      <c r="C252" s="341"/>
      <c r="D252" s="658" t="s">
        <v>463</v>
      </c>
      <c r="E252" s="341"/>
      <c r="F252" s="658" t="s">
        <v>452</v>
      </c>
      <c r="G252" s="341" t="s">
        <v>464</v>
      </c>
      <c r="H252" s="341" t="s">
        <v>28</v>
      </c>
      <c r="I252" s="341" t="s">
        <v>450</v>
      </c>
      <c r="J252" s="341" t="s">
        <v>451</v>
      </c>
      <c r="K252" s="372"/>
      <c r="L252" s="372"/>
      <c r="M252" s="341" t="s">
        <v>467</v>
      </c>
    </row>
    <row r="253" spans="2:13" s="333" customFormat="1" ht="13.15">
      <c r="B253" s="355" t="s">
        <v>3</v>
      </c>
      <c r="C253" s="341"/>
      <c r="D253" s="354" t="s">
        <v>486</v>
      </c>
      <c r="G253" s="341" t="s">
        <v>452</v>
      </c>
      <c r="H253" s="341" t="s">
        <v>452</v>
      </c>
      <c r="I253" s="341" t="s">
        <v>452</v>
      </c>
      <c r="J253" s="341" t="s">
        <v>452</v>
      </c>
      <c r="K253" s="372"/>
      <c r="L253" s="372"/>
      <c r="M253" s="340"/>
    </row>
    <row r="254" spans="2:13" s="333" customFormat="1" ht="13.15">
      <c r="B254" s="373"/>
      <c r="C254" s="357"/>
      <c r="D254" s="357"/>
      <c r="E254" s="357"/>
      <c r="F254" s="357"/>
      <c r="G254" s="357"/>
      <c r="H254" s="357"/>
      <c r="I254" s="357"/>
      <c r="J254" s="357"/>
      <c r="K254" s="791"/>
      <c r="L254" s="792"/>
      <c r="M254" s="340"/>
    </row>
    <row r="255" spans="2:13" s="333" customFormat="1" ht="13.15">
      <c r="B255" s="767"/>
      <c r="C255" s="787"/>
      <c r="D255" s="787"/>
      <c r="E255" s="769"/>
      <c r="F255" s="769"/>
      <c r="G255" s="769"/>
      <c r="H255" s="769">
        <f t="shared" ref="H255:H263" si="30">D255</f>
        <v>0</v>
      </c>
      <c r="I255" s="769"/>
      <c r="J255" s="769"/>
      <c r="K255" s="769"/>
      <c r="L255" s="769"/>
      <c r="M255" s="769"/>
    </row>
    <row r="256" spans="2:13" s="333" customFormat="1" ht="13.15">
      <c r="B256" s="767"/>
      <c r="C256" s="787"/>
      <c r="D256" s="787"/>
      <c r="E256" s="769"/>
      <c r="F256" s="769"/>
      <c r="G256" s="769"/>
      <c r="H256" s="769">
        <f t="shared" si="30"/>
        <v>0</v>
      </c>
      <c r="I256" s="769"/>
      <c r="J256" s="769"/>
      <c r="K256" s="769"/>
      <c r="L256" s="769"/>
      <c r="M256" s="769"/>
    </row>
    <row r="257" spans="2:117" s="333" customFormat="1" ht="13.15">
      <c r="B257" s="767"/>
      <c r="C257" s="787"/>
      <c r="D257" s="787"/>
      <c r="E257" s="769"/>
      <c r="F257" s="769"/>
      <c r="G257" s="769"/>
      <c r="H257" s="769">
        <f t="shared" si="30"/>
        <v>0</v>
      </c>
      <c r="I257" s="769"/>
      <c r="J257" s="769"/>
      <c r="K257" s="769"/>
      <c r="L257" s="769"/>
      <c r="M257" s="769"/>
    </row>
    <row r="258" spans="2:117" s="333" customFormat="1" ht="13.15">
      <c r="B258" s="767"/>
      <c r="C258" s="787"/>
      <c r="D258" s="787"/>
      <c r="E258" s="769"/>
      <c r="F258" s="769"/>
      <c r="G258" s="769"/>
      <c r="H258" s="769">
        <f t="shared" si="30"/>
        <v>0</v>
      </c>
      <c r="I258" s="769"/>
      <c r="J258" s="769"/>
      <c r="K258" s="769"/>
      <c r="L258" s="769"/>
      <c r="M258" s="769"/>
    </row>
    <row r="259" spans="2:117" s="333" customFormat="1" ht="13.15">
      <c r="B259" s="767"/>
      <c r="C259" s="787"/>
      <c r="D259" s="787"/>
      <c r="E259" s="769"/>
      <c r="F259" s="769"/>
      <c r="G259" s="769"/>
      <c r="H259" s="769">
        <f t="shared" si="30"/>
        <v>0</v>
      </c>
      <c r="I259" s="769"/>
      <c r="J259" s="769"/>
      <c r="K259" s="769"/>
      <c r="L259" s="769"/>
      <c r="M259" s="770"/>
    </row>
    <row r="260" spans="2:117" s="333" customFormat="1" ht="13.15">
      <c r="B260" s="767"/>
      <c r="C260" s="787"/>
      <c r="D260" s="787"/>
      <c r="E260" s="769"/>
      <c r="F260" s="769"/>
      <c r="G260" s="769"/>
      <c r="H260" s="769">
        <f t="shared" si="30"/>
        <v>0</v>
      </c>
      <c r="I260" s="769"/>
      <c r="J260" s="769"/>
      <c r="K260" s="769"/>
      <c r="L260" s="769"/>
      <c r="M260" s="770"/>
    </row>
    <row r="261" spans="2:117" s="333" customFormat="1" ht="13.15">
      <c r="B261" s="767"/>
      <c r="C261" s="787"/>
      <c r="D261" s="787"/>
      <c r="E261" s="769"/>
      <c r="F261" s="769"/>
      <c r="G261" s="769"/>
      <c r="H261" s="769">
        <f t="shared" si="30"/>
        <v>0</v>
      </c>
      <c r="I261" s="769"/>
      <c r="J261" s="769"/>
      <c r="K261" s="769"/>
      <c r="L261" s="769"/>
      <c r="M261" s="769"/>
    </row>
    <row r="262" spans="2:117" s="333" customFormat="1" ht="13.15">
      <c r="B262" s="767"/>
      <c r="C262" s="787"/>
      <c r="D262" s="787"/>
      <c r="E262" s="769"/>
      <c r="F262" s="769"/>
      <c r="G262" s="769"/>
      <c r="H262" s="769">
        <f t="shared" si="30"/>
        <v>0</v>
      </c>
      <c r="I262" s="769"/>
      <c r="J262" s="769"/>
      <c r="K262" s="769"/>
      <c r="L262" s="769"/>
      <c r="M262" s="769"/>
    </row>
    <row r="263" spans="2:117" s="333" customFormat="1" ht="13.15">
      <c r="B263" s="767"/>
      <c r="C263" s="798"/>
      <c r="D263" s="798"/>
      <c r="E263" s="772"/>
      <c r="F263" s="772"/>
      <c r="G263" s="772"/>
      <c r="H263" s="772">
        <f t="shared" si="30"/>
        <v>0</v>
      </c>
      <c r="I263" s="772"/>
      <c r="J263" s="772"/>
      <c r="K263" s="772"/>
      <c r="L263" s="772"/>
      <c r="M263" s="773"/>
    </row>
    <row r="264" spans="2:117" s="333" customFormat="1" ht="13.15">
      <c r="B264" s="356" t="s">
        <v>298</v>
      </c>
      <c r="C264" s="357">
        <f>SUM(C254:C263)</f>
        <v>0</v>
      </c>
      <c r="D264" s="357"/>
      <c r="E264" s="357"/>
      <c r="F264" s="357"/>
      <c r="G264" s="357">
        <f>SUM(G254:G263)</f>
        <v>0</v>
      </c>
      <c r="H264" s="357">
        <f>SUM(H254:H263)</f>
        <v>0</v>
      </c>
      <c r="I264" s="357">
        <f>SUM(I254:I263)</f>
        <v>0</v>
      </c>
      <c r="J264" s="357">
        <f>SUM(J254:J263)</f>
        <v>0</v>
      </c>
      <c r="K264" s="357"/>
      <c r="L264" s="357"/>
      <c r="M264" s="340"/>
    </row>
    <row r="265" spans="2:117" s="333" customFormat="1" ht="13.15">
      <c r="B265" s="344"/>
      <c r="C265" s="344"/>
      <c r="D265" s="344"/>
      <c r="E265" s="344"/>
      <c r="F265" s="344"/>
      <c r="G265" s="344"/>
      <c r="H265" s="344"/>
      <c r="I265" s="344"/>
      <c r="J265" s="370"/>
      <c r="K265" s="370"/>
      <c r="M265" s="340"/>
    </row>
    <row r="266" spans="2:117" s="333" customFormat="1" ht="13.15">
      <c r="B266" s="344"/>
      <c r="C266" s="344"/>
      <c r="D266" s="344"/>
      <c r="E266" s="344"/>
      <c r="F266" s="344"/>
      <c r="G266" s="344"/>
      <c r="H266" s="344"/>
      <c r="I266" s="344"/>
      <c r="J266" s="370"/>
      <c r="K266" s="370"/>
      <c r="M266" s="340"/>
    </row>
    <row r="267" spans="2:117" s="333" customFormat="1" ht="13.8" thickBot="1">
      <c r="B267" s="334" t="s">
        <v>123</v>
      </c>
      <c r="C267" s="334" t="s">
        <v>444</v>
      </c>
      <c r="D267" s="334" t="s">
        <v>445</v>
      </c>
      <c r="E267" s="334" t="s">
        <v>446</v>
      </c>
      <c r="F267" s="334" t="s">
        <v>125</v>
      </c>
      <c r="G267" s="334" t="s">
        <v>126</v>
      </c>
      <c r="H267" s="334" t="s">
        <v>127</v>
      </c>
      <c r="I267" s="334" t="s">
        <v>128</v>
      </c>
      <c r="J267" s="334" t="s">
        <v>129</v>
      </c>
      <c r="K267" s="339"/>
      <c r="L267" s="339"/>
      <c r="M267" s="340"/>
    </row>
    <row r="268" spans="2:117" s="333" customFormat="1" ht="13.8" thickBot="1">
      <c r="B268" s="365"/>
      <c r="C268" s="1341" t="str">
        <f>C5</f>
        <v>Jersey Central Power &amp; Light</v>
      </c>
      <c r="D268" s="1342"/>
      <c r="E268" s="1342"/>
      <c r="F268" s="1342"/>
      <c r="G268" s="1342"/>
      <c r="H268" s="1342"/>
      <c r="I268" s="1342"/>
      <c r="J268" s="1343"/>
      <c r="K268" s="339"/>
      <c r="L268" s="339"/>
      <c r="M268" s="340"/>
    </row>
    <row r="269" spans="2:117" s="333" customFormat="1" ht="13.15">
      <c r="B269" s="344"/>
      <c r="K269" s="372"/>
      <c r="L269" s="372"/>
      <c r="M269" s="340"/>
      <c r="N269" s="340"/>
      <c r="O269" s="340"/>
      <c r="P269" s="340"/>
      <c r="Q269" s="340"/>
      <c r="R269" s="340"/>
      <c r="S269" s="340"/>
      <c r="T269" s="340"/>
      <c r="U269" s="340"/>
      <c r="V269" s="340"/>
      <c r="W269" s="340"/>
      <c r="X269" s="340"/>
      <c r="Y269" s="340"/>
      <c r="Z269" s="340"/>
      <c r="AA269" s="340"/>
      <c r="AB269" s="340"/>
      <c r="AC269" s="340"/>
      <c r="AD269" s="340"/>
      <c r="AE269" s="340"/>
      <c r="AF269" s="340"/>
      <c r="AG269" s="340"/>
      <c r="AH269" s="340"/>
      <c r="AI269" s="340"/>
      <c r="AJ269" s="340"/>
      <c r="AK269" s="340"/>
      <c r="AL269" s="340"/>
      <c r="AM269" s="340"/>
      <c r="AN269" s="340"/>
      <c r="AO269" s="340"/>
      <c r="AP269" s="340"/>
      <c r="AQ269" s="340"/>
      <c r="AR269" s="340"/>
      <c r="AS269" s="340"/>
      <c r="AT269" s="340"/>
      <c r="AU269" s="340"/>
      <c r="AV269" s="340"/>
      <c r="AW269" s="340"/>
      <c r="AX269" s="340"/>
      <c r="AY269" s="340"/>
      <c r="AZ269" s="340"/>
      <c r="BA269" s="340"/>
      <c r="BB269" s="340"/>
      <c r="BC269" s="340"/>
      <c r="BD269" s="340"/>
      <c r="BE269" s="340"/>
      <c r="BF269" s="340"/>
      <c r="BG269" s="340"/>
      <c r="BH269" s="340"/>
      <c r="BI269" s="340"/>
      <c r="BJ269" s="340"/>
      <c r="BK269" s="340"/>
      <c r="BL269" s="340"/>
      <c r="BM269" s="340"/>
      <c r="BN269" s="340"/>
      <c r="BO269" s="340"/>
      <c r="BP269" s="340"/>
      <c r="BQ269" s="340"/>
      <c r="BR269" s="340"/>
      <c r="BS269" s="340"/>
      <c r="BT269" s="340"/>
      <c r="BU269" s="340"/>
      <c r="BV269" s="340"/>
      <c r="BW269" s="340"/>
      <c r="BX269" s="340"/>
      <c r="BY269" s="340"/>
      <c r="BZ269" s="340"/>
      <c r="CA269" s="340"/>
      <c r="CB269" s="340"/>
      <c r="CC269" s="340"/>
      <c r="CD269" s="340"/>
      <c r="CE269" s="340"/>
      <c r="CF269" s="340"/>
      <c r="CG269" s="340"/>
      <c r="CH269" s="340"/>
      <c r="CI269" s="340"/>
      <c r="CJ269" s="340"/>
      <c r="CK269" s="340"/>
      <c r="CL269" s="340"/>
      <c r="CM269" s="340"/>
      <c r="CN269" s="340"/>
      <c r="CO269" s="340"/>
      <c r="CP269" s="340"/>
      <c r="CQ269" s="340"/>
      <c r="CR269" s="340"/>
      <c r="CS269" s="340"/>
      <c r="CT269" s="340"/>
      <c r="CU269" s="340"/>
      <c r="CV269" s="340"/>
      <c r="CW269" s="340"/>
      <c r="CX269" s="340"/>
      <c r="CY269" s="340"/>
      <c r="CZ269" s="340"/>
      <c r="DA269" s="340"/>
      <c r="DB269" s="340"/>
      <c r="DC269" s="340"/>
      <c r="DD269" s="340"/>
      <c r="DE269" s="340"/>
      <c r="DF269" s="340"/>
      <c r="DG269" s="340"/>
      <c r="DH269" s="340"/>
      <c r="DI269" s="340"/>
      <c r="DJ269" s="340"/>
      <c r="DK269" s="340"/>
      <c r="DL269" s="340"/>
      <c r="DM269" s="340"/>
    </row>
    <row r="270" spans="2:117" s="333" customFormat="1" ht="26.3">
      <c r="B270" s="370" t="s">
        <v>686</v>
      </c>
      <c r="C270" s="353" t="s">
        <v>447</v>
      </c>
      <c r="D270" s="341" t="s">
        <v>460</v>
      </c>
      <c r="E270" s="342" t="s">
        <v>448</v>
      </c>
      <c r="F270" s="334" t="s">
        <v>449</v>
      </c>
      <c r="G270" s="341" t="s">
        <v>461</v>
      </c>
      <c r="H270" s="341" t="s">
        <v>462</v>
      </c>
      <c r="I270" s="341"/>
      <c r="J270" s="341"/>
      <c r="K270" s="372"/>
      <c r="L270" s="372"/>
      <c r="M270" s="340"/>
      <c r="N270" s="340"/>
      <c r="O270" s="340"/>
      <c r="P270" s="340"/>
      <c r="Q270" s="340"/>
      <c r="R270" s="340"/>
      <c r="S270" s="340"/>
      <c r="T270" s="340"/>
      <c r="U270" s="340"/>
      <c r="V270" s="340"/>
      <c r="W270" s="340"/>
      <c r="X270" s="340"/>
      <c r="Y270" s="340"/>
      <c r="Z270" s="340"/>
      <c r="AA270" s="340"/>
      <c r="AB270" s="340"/>
      <c r="AC270" s="340"/>
      <c r="AD270" s="340"/>
      <c r="AE270" s="340"/>
      <c r="AF270" s="340"/>
      <c r="AG270" s="340"/>
      <c r="AH270" s="340"/>
      <c r="AI270" s="340"/>
      <c r="AJ270" s="340"/>
      <c r="AK270" s="340"/>
      <c r="AL270" s="340"/>
      <c r="AM270" s="340"/>
      <c r="AN270" s="340"/>
      <c r="AO270" s="340"/>
      <c r="AP270" s="340"/>
      <c r="AQ270" s="340"/>
      <c r="AR270" s="340"/>
      <c r="AS270" s="340"/>
      <c r="AT270" s="340"/>
      <c r="AU270" s="340"/>
      <c r="AV270" s="340"/>
      <c r="AW270" s="340"/>
      <c r="AX270" s="340"/>
      <c r="AY270" s="340"/>
      <c r="AZ270" s="340"/>
      <c r="BA270" s="340"/>
      <c r="BB270" s="340"/>
      <c r="BC270" s="340"/>
      <c r="BD270" s="340"/>
      <c r="BE270" s="340"/>
      <c r="BF270" s="340"/>
      <c r="BG270" s="340"/>
      <c r="BH270" s="340"/>
      <c r="BI270" s="340"/>
      <c r="BJ270" s="340"/>
      <c r="BK270" s="340"/>
      <c r="BL270" s="340"/>
      <c r="BM270" s="340"/>
      <c r="BN270" s="340"/>
      <c r="BO270" s="340"/>
      <c r="BP270" s="340"/>
      <c r="BQ270" s="340"/>
      <c r="BR270" s="340"/>
      <c r="BS270" s="340"/>
      <c r="BT270" s="340"/>
      <c r="BU270" s="340"/>
      <c r="BV270" s="340"/>
      <c r="BW270" s="340"/>
      <c r="BX270" s="340"/>
      <c r="BY270" s="340"/>
      <c r="BZ270" s="340"/>
      <c r="CA270" s="340"/>
      <c r="CB270" s="340"/>
      <c r="CC270" s="340"/>
      <c r="CD270" s="340"/>
      <c r="CE270" s="340"/>
      <c r="CF270" s="340"/>
      <c r="CG270" s="340"/>
      <c r="CH270" s="340"/>
      <c r="CI270" s="340"/>
      <c r="CJ270" s="340"/>
      <c r="CK270" s="340"/>
      <c r="CL270" s="340"/>
      <c r="CM270" s="340"/>
      <c r="CN270" s="340"/>
      <c r="CO270" s="340"/>
      <c r="CP270" s="340"/>
      <c r="CQ270" s="340"/>
      <c r="CR270" s="340"/>
      <c r="CS270" s="340"/>
      <c r="CT270" s="340"/>
      <c r="CU270" s="340"/>
      <c r="CV270" s="340"/>
      <c r="CW270" s="340"/>
      <c r="CX270" s="340"/>
      <c r="CY270" s="340"/>
      <c r="CZ270" s="340"/>
      <c r="DA270" s="340"/>
      <c r="DB270" s="340"/>
      <c r="DC270" s="340"/>
      <c r="DD270" s="340"/>
      <c r="DE270" s="340"/>
      <c r="DF270" s="340"/>
      <c r="DG270" s="340"/>
      <c r="DH270" s="340"/>
      <c r="DI270" s="340"/>
      <c r="DJ270" s="340"/>
      <c r="DK270" s="340"/>
      <c r="DL270" s="340"/>
      <c r="DM270" s="340"/>
    </row>
    <row r="271" spans="2:117" s="333" customFormat="1" ht="13.15">
      <c r="B271" s="344"/>
      <c r="C271" s="341" t="s">
        <v>463</v>
      </c>
      <c r="D271" s="334" t="str">
        <f>+C271</f>
        <v>Balance</v>
      </c>
      <c r="E271" s="341" t="s">
        <v>10</v>
      </c>
      <c r="F271" s="334" t="s">
        <v>452</v>
      </c>
      <c r="G271" s="341" t="s">
        <v>464</v>
      </c>
      <c r="H271" s="341" t="s">
        <v>28</v>
      </c>
      <c r="I271" s="341" t="s">
        <v>450</v>
      </c>
      <c r="J271" s="341" t="s">
        <v>451</v>
      </c>
      <c r="K271" s="372"/>
      <c r="L271" s="372"/>
      <c r="M271" s="341" t="s">
        <v>467</v>
      </c>
      <c r="N271" s="340"/>
      <c r="O271" s="340"/>
      <c r="P271" s="340"/>
      <c r="Q271" s="340"/>
      <c r="R271" s="340"/>
      <c r="S271" s="340"/>
      <c r="T271" s="340"/>
      <c r="U271" s="340"/>
      <c r="V271" s="340"/>
      <c r="W271" s="340"/>
      <c r="X271" s="340"/>
      <c r="Y271" s="340"/>
      <c r="Z271" s="340"/>
      <c r="AA271" s="340"/>
      <c r="AB271" s="340"/>
      <c r="AC271" s="340"/>
      <c r="AD271" s="340"/>
      <c r="AE271" s="340"/>
      <c r="AF271" s="340"/>
      <c r="AG271" s="340"/>
      <c r="AH271" s="340"/>
      <c r="AI271" s="340"/>
      <c r="AJ271" s="340"/>
      <c r="AK271" s="340"/>
      <c r="AL271" s="340"/>
      <c r="AM271" s="340"/>
      <c r="AN271" s="340"/>
      <c r="AO271" s="340"/>
      <c r="AP271" s="340"/>
      <c r="AQ271" s="340"/>
      <c r="AR271" s="340"/>
      <c r="AS271" s="340"/>
      <c r="AT271" s="340"/>
      <c r="AU271" s="340"/>
      <c r="AV271" s="340"/>
      <c r="AW271" s="340"/>
      <c r="AX271" s="340"/>
      <c r="AY271" s="340"/>
      <c r="AZ271" s="340"/>
      <c r="BA271" s="340"/>
      <c r="BB271" s="340"/>
      <c r="BC271" s="340"/>
      <c r="BD271" s="340"/>
      <c r="BE271" s="340"/>
      <c r="BF271" s="340"/>
      <c r="BG271" s="340"/>
      <c r="BH271" s="340"/>
      <c r="BI271" s="340"/>
      <c r="BJ271" s="340"/>
      <c r="BK271" s="340"/>
      <c r="BL271" s="340"/>
      <c r="BM271" s="340"/>
      <c r="BN271" s="340"/>
      <c r="BO271" s="340"/>
      <c r="BP271" s="340"/>
      <c r="BQ271" s="340"/>
      <c r="BR271" s="340"/>
      <c r="BS271" s="340"/>
      <c r="BT271" s="340"/>
      <c r="BU271" s="340"/>
      <c r="BV271" s="340"/>
      <c r="BW271" s="340"/>
      <c r="BX271" s="340"/>
      <c r="BY271" s="340"/>
      <c r="BZ271" s="340"/>
      <c r="CA271" s="340"/>
      <c r="CB271" s="340"/>
      <c r="CC271" s="340"/>
      <c r="CD271" s="340"/>
      <c r="CE271" s="340"/>
      <c r="CF271" s="340"/>
      <c r="CG271" s="340"/>
      <c r="CH271" s="340"/>
      <c r="CI271" s="340"/>
      <c r="CJ271" s="340"/>
      <c r="CK271" s="340"/>
      <c r="CL271" s="340"/>
      <c r="CM271" s="340"/>
      <c r="CN271" s="340"/>
      <c r="CO271" s="340"/>
      <c r="CP271" s="340"/>
      <c r="CQ271" s="340"/>
      <c r="CR271" s="340"/>
      <c r="CS271" s="340"/>
      <c r="CT271" s="340"/>
      <c r="CU271" s="340"/>
      <c r="CV271" s="340"/>
      <c r="CW271" s="340"/>
      <c r="CX271" s="340"/>
      <c r="CY271" s="340"/>
      <c r="CZ271" s="340"/>
      <c r="DA271" s="340"/>
      <c r="DB271" s="340"/>
      <c r="DC271" s="340"/>
      <c r="DD271" s="340"/>
      <c r="DE271" s="340"/>
      <c r="DF271" s="340"/>
      <c r="DG271" s="340"/>
      <c r="DH271" s="340"/>
      <c r="DI271" s="340"/>
      <c r="DJ271" s="340"/>
      <c r="DK271" s="340"/>
      <c r="DL271" s="340"/>
      <c r="DM271" s="340"/>
    </row>
    <row r="272" spans="2:117" s="333" customFormat="1" ht="13.15">
      <c r="B272" s="355" t="s">
        <v>3</v>
      </c>
      <c r="C272" s="354" t="s">
        <v>485</v>
      </c>
      <c r="D272" s="354" t="s">
        <v>486</v>
      </c>
      <c r="G272" s="341" t="s">
        <v>452</v>
      </c>
      <c r="H272" s="341" t="s">
        <v>452</v>
      </c>
      <c r="I272" s="341" t="s">
        <v>452</v>
      </c>
      <c r="J272" s="341" t="s">
        <v>452</v>
      </c>
      <c r="K272" s="372"/>
      <c r="L272" s="372"/>
      <c r="M272" s="340"/>
      <c r="N272" s="340"/>
      <c r="O272" s="340"/>
      <c r="P272" s="340"/>
      <c r="Q272" s="340"/>
      <c r="R272" s="340"/>
      <c r="S272" s="340"/>
      <c r="T272" s="340"/>
      <c r="U272" s="340"/>
      <c r="V272" s="340"/>
      <c r="W272" s="340"/>
      <c r="X272" s="340"/>
      <c r="Y272" s="340"/>
      <c r="Z272" s="340"/>
      <c r="AA272" s="340"/>
      <c r="AB272" s="340"/>
      <c r="AC272" s="340"/>
      <c r="AD272" s="340"/>
      <c r="AE272" s="340"/>
      <c r="AF272" s="340"/>
      <c r="AG272" s="340"/>
      <c r="AH272" s="340"/>
      <c r="AI272" s="340"/>
      <c r="AJ272" s="340"/>
      <c r="AK272" s="340"/>
      <c r="AL272" s="340"/>
      <c r="AM272" s="340"/>
      <c r="AN272" s="340"/>
      <c r="AO272" s="340"/>
      <c r="AP272" s="340"/>
      <c r="AQ272" s="340"/>
      <c r="AR272" s="340"/>
      <c r="AS272" s="340"/>
      <c r="AT272" s="340"/>
      <c r="AU272" s="340"/>
      <c r="AV272" s="340"/>
      <c r="AW272" s="340"/>
      <c r="AX272" s="340"/>
      <c r="AY272" s="340"/>
      <c r="AZ272" s="340"/>
      <c r="BA272" s="340"/>
      <c r="BB272" s="340"/>
      <c r="BC272" s="340"/>
      <c r="BD272" s="340"/>
      <c r="BE272" s="340"/>
      <c r="BF272" s="340"/>
      <c r="BG272" s="340"/>
      <c r="BH272" s="340"/>
      <c r="BI272" s="340"/>
      <c r="BJ272" s="340"/>
      <c r="BK272" s="340"/>
      <c r="BL272" s="340"/>
      <c r="BM272" s="340"/>
      <c r="BN272" s="340"/>
      <c r="BO272" s="340"/>
      <c r="BP272" s="340"/>
      <c r="BQ272" s="340"/>
      <c r="BR272" s="340"/>
      <c r="BS272" s="340"/>
      <c r="BT272" s="340"/>
      <c r="BU272" s="340"/>
      <c r="BV272" s="340"/>
      <c r="BW272" s="340"/>
      <c r="BX272" s="340"/>
      <c r="BY272" s="340"/>
      <c r="BZ272" s="340"/>
      <c r="CA272" s="340"/>
      <c r="CB272" s="340"/>
      <c r="CC272" s="340"/>
      <c r="CD272" s="340"/>
      <c r="CE272" s="340"/>
      <c r="CF272" s="340"/>
      <c r="CG272" s="340"/>
      <c r="CH272" s="340"/>
      <c r="CI272" s="340"/>
      <c r="CJ272" s="340"/>
      <c r="CK272" s="340"/>
      <c r="CL272" s="340"/>
      <c r="CM272" s="340"/>
      <c r="CN272" s="340"/>
      <c r="CO272" s="340"/>
      <c r="CP272" s="340"/>
      <c r="CQ272" s="340"/>
      <c r="CR272" s="340"/>
      <c r="CS272" s="340"/>
      <c r="CT272" s="340"/>
      <c r="CU272" s="340"/>
      <c r="CV272" s="340"/>
      <c r="CW272" s="340"/>
      <c r="CX272" s="340"/>
      <c r="CY272" s="340"/>
      <c r="CZ272" s="340"/>
      <c r="DA272" s="340"/>
      <c r="DB272" s="340"/>
      <c r="DC272" s="340"/>
      <c r="DD272" s="340"/>
      <c r="DE272" s="340"/>
      <c r="DF272" s="340"/>
      <c r="DG272" s="340"/>
      <c r="DH272" s="340"/>
      <c r="DI272" s="340"/>
      <c r="DJ272" s="340"/>
      <c r="DK272" s="340"/>
      <c r="DL272" s="340"/>
      <c r="DM272" s="340"/>
    </row>
    <row r="273" spans="2:117" s="333" customFormat="1" ht="13.15">
      <c r="B273" s="373"/>
      <c r="C273" s="357"/>
      <c r="D273" s="357"/>
      <c r="E273" s="357"/>
      <c r="F273" s="357"/>
      <c r="G273" s="357"/>
      <c r="H273" s="357"/>
      <c r="I273" s="357"/>
      <c r="J273" s="357"/>
      <c r="K273" s="791"/>
      <c r="L273" s="792"/>
      <c r="M273" s="340"/>
      <c r="N273" s="340"/>
      <c r="O273" s="340"/>
      <c r="P273" s="340"/>
      <c r="Q273" s="340"/>
      <c r="R273" s="340"/>
      <c r="S273" s="340"/>
      <c r="T273" s="340"/>
      <c r="U273" s="340"/>
      <c r="V273" s="340"/>
      <c r="W273" s="340"/>
      <c r="X273" s="340"/>
      <c r="Y273" s="340"/>
      <c r="Z273" s="340"/>
      <c r="AA273" s="340"/>
      <c r="AB273" s="340"/>
      <c r="AC273" s="340"/>
      <c r="AD273" s="340"/>
      <c r="AE273" s="340"/>
      <c r="AF273" s="340"/>
      <c r="AG273" s="340"/>
      <c r="AH273" s="340"/>
      <c r="AI273" s="340"/>
      <c r="AJ273" s="340"/>
      <c r="AK273" s="340"/>
      <c r="AL273" s="340"/>
      <c r="AM273" s="340"/>
      <c r="AN273" s="340"/>
      <c r="AO273" s="340"/>
      <c r="AP273" s="340"/>
      <c r="AQ273" s="340"/>
      <c r="AR273" s="340"/>
      <c r="AS273" s="340"/>
      <c r="AT273" s="340"/>
      <c r="AU273" s="340"/>
      <c r="AV273" s="340"/>
      <c r="AW273" s="340"/>
      <c r="AX273" s="340"/>
      <c r="AY273" s="340"/>
      <c r="AZ273" s="340"/>
      <c r="BA273" s="340"/>
      <c r="BB273" s="340"/>
      <c r="BC273" s="340"/>
      <c r="BD273" s="340"/>
      <c r="BE273" s="340"/>
      <c r="BF273" s="340"/>
      <c r="BG273" s="340"/>
      <c r="BH273" s="340"/>
      <c r="BI273" s="340"/>
      <c r="BJ273" s="340"/>
      <c r="BK273" s="340"/>
      <c r="BL273" s="340"/>
      <c r="BM273" s="340"/>
      <c r="BN273" s="340"/>
      <c r="BO273" s="340"/>
      <c r="BP273" s="340"/>
      <c r="BQ273" s="340"/>
      <c r="BR273" s="340"/>
      <c r="BS273" s="340"/>
      <c r="BT273" s="340"/>
      <c r="BU273" s="340"/>
      <c r="BV273" s="340"/>
      <c r="BW273" s="340"/>
      <c r="BX273" s="340"/>
      <c r="BY273" s="340"/>
      <c r="BZ273" s="340"/>
      <c r="CA273" s="340"/>
      <c r="CB273" s="340"/>
      <c r="CC273" s="340"/>
      <c r="CD273" s="340"/>
      <c r="CE273" s="340"/>
      <c r="CF273" s="340"/>
      <c r="CG273" s="340"/>
      <c r="CH273" s="340"/>
      <c r="CI273" s="340"/>
      <c r="CJ273" s="340"/>
      <c r="CK273" s="340"/>
      <c r="CL273" s="340"/>
      <c r="CM273" s="340"/>
      <c r="CN273" s="340"/>
      <c r="CO273" s="340"/>
      <c r="CP273" s="340"/>
      <c r="CQ273" s="340"/>
      <c r="CR273" s="340"/>
      <c r="CS273" s="340"/>
      <c r="CT273" s="340"/>
      <c r="CU273" s="340"/>
      <c r="CV273" s="340"/>
      <c r="CW273" s="340"/>
      <c r="CX273" s="340"/>
      <c r="CY273" s="340"/>
      <c r="CZ273" s="340"/>
      <c r="DA273" s="340"/>
      <c r="DB273" s="340"/>
      <c r="DC273" s="340"/>
      <c r="DD273" s="340"/>
      <c r="DE273" s="340"/>
      <c r="DF273" s="340"/>
      <c r="DG273" s="340"/>
      <c r="DH273" s="340"/>
      <c r="DI273" s="340"/>
      <c r="DJ273" s="340"/>
      <c r="DK273" s="340"/>
      <c r="DL273" s="340"/>
      <c r="DM273" s="340"/>
    </row>
    <row r="274" spans="2:117" s="333" customFormat="1" ht="13.15">
      <c r="B274" s="775"/>
      <c r="C274" s="799">
        <f>C239</f>
        <v>0</v>
      </c>
      <c r="D274" s="799">
        <f>D255</f>
        <v>0</v>
      </c>
      <c r="E274" s="357">
        <f>AVERAGE(C274:D274)</f>
        <v>0</v>
      </c>
      <c r="F274" s="357"/>
      <c r="G274" s="357"/>
      <c r="H274" s="357">
        <f t="shared" ref="H274:H281" si="31">E274</f>
        <v>0</v>
      </c>
      <c r="I274" s="357"/>
      <c r="J274" s="357"/>
      <c r="K274" s="357"/>
      <c r="L274" s="357"/>
      <c r="M274" s="357"/>
    </row>
    <row r="275" spans="2:117" s="333" customFormat="1" ht="13.15">
      <c r="B275" s="775"/>
      <c r="C275" s="799">
        <f t="shared" ref="C275:C281" si="32">C240</f>
        <v>0</v>
      </c>
      <c r="D275" s="799">
        <f t="shared" ref="D275:D281" si="33">D256</f>
        <v>0</v>
      </c>
      <c r="E275" s="357">
        <f t="shared" ref="E275:E281" si="34">AVERAGE(C275:D275)</f>
        <v>0</v>
      </c>
      <c r="F275" s="357"/>
      <c r="G275" s="357"/>
      <c r="H275" s="357">
        <f t="shared" si="31"/>
        <v>0</v>
      </c>
      <c r="I275" s="357"/>
      <c r="J275" s="357"/>
      <c r="K275" s="357"/>
      <c r="L275" s="357"/>
      <c r="M275" s="357"/>
    </row>
    <row r="276" spans="2:117" s="333" customFormat="1" ht="13.15">
      <c r="B276" s="775"/>
      <c r="C276" s="799">
        <f t="shared" si="32"/>
        <v>0</v>
      </c>
      <c r="D276" s="799">
        <f t="shared" si="33"/>
        <v>0</v>
      </c>
      <c r="E276" s="357">
        <f t="shared" si="34"/>
        <v>0</v>
      </c>
      <c r="F276" s="357"/>
      <c r="G276" s="357"/>
      <c r="H276" s="357">
        <f t="shared" si="31"/>
        <v>0</v>
      </c>
      <c r="I276" s="357"/>
      <c r="J276" s="357"/>
      <c r="K276" s="357"/>
      <c r="L276" s="357"/>
      <c r="M276" s="357"/>
    </row>
    <row r="277" spans="2:117" s="333" customFormat="1" ht="13.15">
      <c r="B277" s="775"/>
      <c r="C277" s="799">
        <f t="shared" si="32"/>
        <v>0</v>
      </c>
      <c r="D277" s="799">
        <f t="shared" si="33"/>
        <v>0</v>
      </c>
      <c r="E277" s="357">
        <f t="shared" si="34"/>
        <v>0</v>
      </c>
      <c r="F277" s="357"/>
      <c r="G277" s="357"/>
      <c r="H277" s="357">
        <f t="shared" si="31"/>
        <v>0</v>
      </c>
      <c r="I277" s="357"/>
      <c r="J277" s="357"/>
      <c r="K277" s="357"/>
      <c r="L277" s="357"/>
      <c r="M277" s="357"/>
    </row>
    <row r="278" spans="2:117" s="333" customFormat="1" ht="13.15">
      <c r="B278" s="775"/>
      <c r="C278" s="799">
        <f t="shared" si="32"/>
        <v>0</v>
      </c>
      <c r="D278" s="799">
        <f t="shared" si="33"/>
        <v>0</v>
      </c>
      <c r="E278" s="357">
        <f t="shared" si="34"/>
        <v>0</v>
      </c>
      <c r="F278" s="357"/>
      <c r="G278" s="357"/>
      <c r="H278" s="357">
        <f t="shared" si="31"/>
        <v>0</v>
      </c>
      <c r="I278" s="357"/>
      <c r="J278" s="357"/>
      <c r="K278" s="357"/>
      <c r="L278" s="357"/>
      <c r="M278" s="777"/>
    </row>
    <row r="279" spans="2:117" s="333" customFormat="1" ht="13.15">
      <c r="B279" s="775"/>
      <c r="C279" s="799">
        <f t="shared" si="32"/>
        <v>0</v>
      </c>
      <c r="D279" s="799">
        <f t="shared" si="33"/>
        <v>0</v>
      </c>
      <c r="E279" s="357">
        <f t="shared" si="34"/>
        <v>0</v>
      </c>
      <c r="F279" s="357"/>
      <c r="G279" s="357"/>
      <c r="H279" s="357">
        <f t="shared" si="31"/>
        <v>0</v>
      </c>
      <c r="I279" s="357"/>
      <c r="J279" s="357"/>
      <c r="K279" s="357"/>
      <c r="L279" s="357"/>
      <c r="M279" s="777"/>
    </row>
    <row r="280" spans="2:117" s="333" customFormat="1" ht="13.15">
      <c r="B280" s="775"/>
      <c r="C280" s="799">
        <f t="shared" si="32"/>
        <v>0</v>
      </c>
      <c r="D280" s="799">
        <f t="shared" si="33"/>
        <v>0</v>
      </c>
      <c r="E280" s="357">
        <f t="shared" si="34"/>
        <v>0</v>
      </c>
      <c r="F280" s="357"/>
      <c r="G280" s="357"/>
      <c r="H280" s="357">
        <f t="shared" si="31"/>
        <v>0</v>
      </c>
      <c r="I280" s="357"/>
      <c r="J280" s="357"/>
      <c r="K280" s="357"/>
      <c r="L280" s="357"/>
      <c r="M280" s="357"/>
    </row>
    <row r="281" spans="2:117" s="333" customFormat="1" ht="13.15">
      <c r="B281" s="775"/>
      <c r="C281" s="799">
        <f t="shared" si="32"/>
        <v>0</v>
      </c>
      <c r="D281" s="799">
        <f t="shared" si="33"/>
        <v>0</v>
      </c>
      <c r="E281" s="357">
        <f t="shared" si="34"/>
        <v>0</v>
      </c>
      <c r="F281" s="357"/>
      <c r="G281" s="357"/>
      <c r="H281" s="357">
        <f t="shared" si="31"/>
        <v>0</v>
      </c>
      <c r="I281" s="357"/>
      <c r="J281" s="357"/>
      <c r="K281" s="357"/>
      <c r="L281" s="357"/>
      <c r="M281" s="357"/>
    </row>
    <row r="282" spans="2:117" s="333" customFormat="1" ht="13.15">
      <c r="B282" s="775"/>
      <c r="C282" s="779"/>
      <c r="D282" s="779"/>
      <c r="E282" s="780"/>
      <c r="F282" s="780"/>
      <c r="G282" s="780"/>
      <c r="H282" s="780"/>
      <c r="I282" s="780"/>
      <c r="J282" s="780"/>
      <c r="K282" s="780"/>
      <c r="L282" s="780"/>
      <c r="M282" s="781"/>
    </row>
    <row r="283" spans="2:117" s="333" customFormat="1" ht="13.15">
      <c r="B283" s="356" t="s">
        <v>298</v>
      </c>
      <c r="C283" s="357">
        <f>SUM(C273:C282)</f>
        <v>0</v>
      </c>
      <c r="D283" s="357">
        <f>SUM(D274:D282)</f>
        <v>0</v>
      </c>
      <c r="E283" s="357">
        <f>SUM(E273:E282)</f>
        <v>0</v>
      </c>
      <c r="F283" s="357"/>
      <c r="G283" s="357">
        <f>SUM(G273:G282)</f>
        <v>0</v>
      </c>
      <c r="H283" s="357">
        <f>SUM(H273:H282)</f>
        <v>0</v>
      </c>
      <c r="I283" s="357">
        <f>SUM(I273:I282)</f>
        <v>0</v>
      </c>
      <c r="J283" s="357">
        <f>SUM(J273:J282)</f>
        <v>0</v>
      </c>
      <c r="K283" s="357"/>
      <c r="L283" s="357"/>
      <c r="M283" s="340"/>
    </row>
    <row r="284" spans="2:117" s="333" customFormat="1" ht="13.15">
      <c r="B284" s="359"/>
      <c r="G284" s="347"/>
      <c r="H284" s="347"/>
      <c r="I284" s="347"/>
      <c r="J284" s="347"/>
      <c r="K284" s="357"/>
      <c r="L284" s="347"/>
      <c r="M284" s="340"/>
    </row>
    <row r="285" spans="2:117" s="333" customFormat="1" ht="13.15">
      <c r="B285" s="359" t="s">
        <v>489</v>
      </c>
      <c r="C285" s="343"/>
      <c r="D285" s="343"/>
      <c r="E285" s="343"/>
      <c r="F285" s="343"/>
      <c r="G285" s="347"/>
      <c r="H285" s="347"/>
      <c r="I285" s="361"/>
      <c r="J285" s="361"/>
      <c r="K285" s="361"/>
      <c r="M285" s="340"/>
    </row>
    <row r="286" spans="2:117" s="333" customFormat="1" ht="13.15">
      <c r="B286" s="376"/>
      <c r="C286" s="343"/>
      <c r="D286" s="343"/>
      <c r="E286" s="343"/>
      <c r="F286" s="343"/>
      <c r="G286" s="343"/>
      <c r="H286" s="343"/>
      <c r="I286" s="343"/>
      <c r="J286" s="343"/>
      <c r="K286" s="343"/>
      <c r="M286" s="340"/>
    </row>
    <row r="287" spans="2:117" s="333" customFormat="1" ht="13.15">
      <c r="B287" s="1340" t="s">
        <v>469</v>
      </c>
      <c r="C287" s="1340"/>
      <c r="D287" s="1340"/>
      <c r="E287" s="1340"/>
      <c r="F287" s="1340"/>
      <c r="G287" s="1340"/>
      <c r="H287" s="1340"/>
      <c r="I287" s="1340"/>
      <c r="J287" s="1340"/>
      <c r="K287" s="1340"/>
      <c r="M287" s="340"/>
    </row>
    <row r="288" spans="2:117" s="333" customFormat="1" ht="13.15">
      <c r="B288" s="1340" t="s">
        <v>470</v>
      </c>
      <c r="C288" s="1340"/>
      <c r="D288" s="1340"/>
      <c r="E288" s="1340"/>
      <c r="F288" s="1340"/>
      <c r="G288" s="1340"/>
      <c r="H288" s="1340"/>
      <c r="I288" s="1340"/>
      <c r="J288" s="1340"/>
      <c r="K288" s="1340"/>
      <c r="M288" s="340"/>
    </row>
    <row r="289" spans="2:13" s="333" customFormat="1" ht="13.15">
      <c r="B289" s="366" t="s">
        <v>471</v>
      </c>
      <c r="C289" s="347"/>
      <c r="D289" s="347"/>
      <c r="E289" s="347"/>
      <c r="F289" s="347"/>
      <c r="G289" s="347"/>
      <c r="H289" s="347"/>
      <c r="I289" s="361"/>
      <c r="J289" s="361"/>
      <c r="K289" s="361"/>
      <c r="M289" s="340"/>
    </row>
    <row r="290" spans="2:13" s="333" customFormat="1" ht="13.15">
      <c r="B290" s="366" t="s">
        <v>472</v>
      </c>
      <c r="C290" s="347"/>
      <c r="D290" s="347"/>
      <c r="E290" s="347"/>
      <c r="F290" s="347"/>
      <c r="G290" s="347"/>
      <c r="H290" s="347"/>
      <c r="I290" s="361"/>
      <c r="J290" s="361"/>
      <c r="K290" s="361"/>
      <c r="L290" s="349"/>
      <c r="M290" s="349"/>
    </row>
    <row r="291" spans="2:13" s="333" customFormat="1" ht="13.15">
      <c r="B291" s="366" t="s">
        <v>473</v>
      </c>
      <c r="C291" s="347"/>
      <c r="D291" s="347"/>
      <c r="E291" s="347"/>
      <c r="F291" s="347"/>
      <c r="G291" s="347"/>
      <c r="H291" s="347"/>
      <c r="I291" s="361"/>
      <c r="J291" s="361"/>
      <c r="K291" s="361"/>
      <c r="L291" s="349"/>
      <c r="M291" s="349"/>
    </row>
    <row r="292" spans="2:13" s="333" customFormat="1" ht="13.15">
      <c r="B292" s="1340" t="s">
        <v>474</v>
      </c>
      <c r="C292" s="1340"/>
      <c r="D292" s="1340"/>
      <c r="E292" s="1340"/>
      <c r="F292" s="1340"/>
      <c r="G292" s="1340"/>
      <c r="H292" s="1340"/>
      <c r="I292" s="1340"/>
      <c r="J292" s="1340"/>
      <c r="K292" s="1340"/>
      <c r="L292" s="349"/>
      <c r="M292" s="349"/>
    </row>
    <row r="293" spans="2:13" s="333" customFormat="1"/>
    <row r="294" spans="2:13" s="333" customFormat="1"/>
    <row r="295" spans="2:13" s="333" customFormat="1" ht="13.15">
      <c r="B295" s="377" t="s">
        <v>475</v>
      </c>
      <c r="C295" s="343"/>
      <c r="D295" s="343"/>
      <c r="E295" s="343"/>
      <c r="F295" s="343"/>
      <c r="G295" s="347"/>
      <c r="H295" s="347"/>
      <c r="I295" s="361"/>
      <c r="J295" s="361"/>
      <c r="K295" s="361"/>
      <c r="M295" s="340"/>
    </row>
    <row r="296" spans="2:13" s="333" customFormat="1" ht="13.15">
      <c r="B296" s="376"/>
      <c r="C296" s="343"/>
      <c r="D296" s="343"/>
      <c r="E296" s="343"/>
      <c r="F296" s="343"/>
      <c r="G296" s="347"/>
      <c r="H296" s="347"/>
      <c r="I296" s="361"/>
      <c r="J296" s="361"/>
      <c r="K296" s="361"/>
      <c r="M296" s="340"/>
    </row>
    <row r="297" spans="2:13" s="333" customFormat="1" ht="15.05">
      <c r="B297" s="369"/>
      <c r="C297" s="343"/>
      <c r="D297" s="343"/>
      <c r="E297" s="343"/>
      <c r="F297" s="343"/>
      <c r="G297" s="347"/>
      <c r="H297" s="347"/>
      <c r="I297" s="361"/>
      <c r="J297" s="361"/>
      <c r="K297" s="361"/>
      <c r="M297" s="340"/>
    </row>
    <row r="298" spans="2:13" s="333" customFormat="1" ht="13.8" thickBot="1">
      <c r="B298" s="658" t="s">
        <v>123</v>
      </c>
      <c r="C298" s="658" t="s">
        <v>444</v>
      </c>
      <c r="D298" s="658" t="s">
        <v>445</v>
      </c>
      <c r="E298" s="658" t="s">
        <v>446</v>
      </c>
      <c r="F298" s="658" t="s">
        <v>125</v>
      </c>
      <c r="G298" s="658" t="s">
        <v>126</v>
      </c>
      <c r="H298" s="658" t="s">
        <v>127</v>
      </c>
      <c r="I298" s="658" t="s">
        <v>128</v>
      </c>
      <c r="J298" s="658" t="s">
        <v>129</v>
      </c>
      <c r="K298" s="339"/>
      <c r="L298" s="339"/>
      <c r="M298" s="340"/>
    </row>
    <row r="299" spans="2:13" s="333" customFormat="1" ht="13.8" thickBot="1">
      <c r="B299" s="365"/>
      <c r="C299" s="1341" t="str">
        <f>C268</f>
        <v>Jersey Central Power &amp; Light</v>
      </c>
      <c r="D299" s="1342"/>
      <c r="E299" s="1342"/>
      <c r="F299" s="1342"/>
      <c r="G299" s="1342"/>
      <c r="H299" s="1342"/>
      <c r="I299" s="1342"/>
      <c r="J299" s="1343"/>
      <c r="K299" s="339"/>
      <c r="L299" s="339"/>
      <c r="M299" s="340"/>
    </row>
    <row r="300" spans="2:13" s="333" customFormat="1" ht="13.15">
      <c r="B300" s="344"/>
      <c r="K300" s="372"/>
      <c r="L300" s="372"/>
      <c r="M300" s="340"/>
    </row>
    <row r="301" spans="2:13" s="333" customFormat="1" ht="13.15">
      <c r="B301" s="370" t="s">
        <v>490</v>
      </c>
      <c r="C301" s="353" t="s">
        <v>447</v>
      </c>
      <c r="D301" s="341"/>
      <c r="E301" s="342"/>
      <c r="F301" s="658" t="s">
        <v>449</v>
      </c>
      <c r="G301" s="341" t="s">
        <v>461</v>
      </c>
      <c r="H301" s="341" t="s">
        <v>462</v>
      </c>
      <c r="I301" s="341"/>
      <c r="J301" s="341"/>
      <c r="K301" s="372"/>
      <c r="L301" s="372"/>
      <c r="M301" s="340"/>
    </row>
    <row r="302" spans="2:13" s="333" customFormat="1" ht="13.15">
      <c r="B302" s="344"/>
      <c r="C302" s="341" t="s">
        <v>463</v>
      </c>
      <c r="D302" s="658"/>
      <c r="E302" s="341"/>
      <c r="F302" s="658" t="s">
        <v>452</v>
      </c>
      <c r="G302" s="341" t="s">
        <v>464</v>
      </c>
      <c r="H302" s="341" t="s">
        <v>28</v>
      </c>
      <c r="I302" s="341" t="s">
        <v>450</v>
      </c>
      <c r="J302" s="341" t="s">
        <v>451</v>
      </c>
      <c r="K302" s="372"/>
      <c r="L302" s="372"/>
      <c r="M302" s="341" t="s">
        <v>467</v>
      </c>
    </row>
    <row r="303" spans="2:13" s="333" customFormat="1" ht="13.15">
      <c r="B303" s="355" t="s">
        <v>3</v>
      </c>
      <c r="C303" s="354" t="s">
        <v>492</v>
      </c>
      <c r="D303" s="341"/>
      <c r="G303" s="341" t="s">
        <v>452</v>
      </c>
      <c r="H303" s="341" t="s">
        <v>452</v>
      </c>
      <c r="I303" s="341" t="s">
        <v>452</v>
      </c>
      <c r="J303" s="341" t="s">
        <v>452</v>
      </c>
      <c r="K303" s="372"/>
      <c r="L303" s="372"/>
      <c r="M303" s="340"/>
    </row>
    <row r="304" spans="2:13" s="333" customFormat="1" ht="13.15">
      <c r="B304" s="373"/>
      <c r="C304" s="357"/>
      <c r="D304" s="357"/>
      <c r="E304" s="357"/>
      <c r="F304" s="357"/>
      <c r="G304" s="357"/>
      <c r="H304" s="357"/>
      <c r="I304" s="357"/>
      <c r="J304" s="357"/>
      <c r="K304" s="791"/>
      <c r="L304" s="792"/>
      <c r="M304" s="340"/>
    </row>
    <row r="305" spans="2:13" s="333" customFormat="1" ht="13.15">
      <c r="B305" s="767"/>
      <c r="C305" s="787"/>
      <c r="D305" s="787"/>
      <c r="E305" s="769"/>
      <c r="F305" s="769"/>
      <c r="G305" s="769"/>
      <c r="H305" s="769">
        <f t="shared" ref="H305:H313" si="35">C305</f>
        <v>0</v>
      </c>
      <c r="I305" s="769"/>
      <c r="J305" s="769"/>
      <c r="K305" s="769"/>
      <c r="L305" s="769"/>
      <c r="M305" s="769"/>
    </row>
    <row r="306" spans="2:13" s="333" customFormat="1" ht="13.15">
      <c r="B306" s="767"/>
      <c r="C306" s="787"/>
      <c r="D306" s="787"/>
      <c r="E306" s="769"/>
      <c r="F306" s="769"/>
      <c r="G306" s="769"/>
      <c r="H306" s="769">
        <f t="shared" si="35"/>
        <v>0</v>
      </c>
      <c r="I306" s="769"/>
      <c r="J306" s="769"/>
      <c r="K306" s="769"/>
      <c r="L306" s="769"/>
      <c r="M306" s="769"/>
    </row>
    <row r="307" spans="2:13" s="333" customFormat="1" ht="13.15">
      <c r="B307" s="767"/>
      <c r="C307" s="787"/>
      <c r="D307" s="787"/>
      <c r="E307" s="769"/>
      <c r="F307" s="769"/>
      <c r="G307" s="769"/>
      <c r="H307" s="769">
        <f t="shared" si="35"/>
        <v>0</v>
      </c>
      <c r="I307" s="769"/>
      <c r="J307" s="769"/>
      <c r="K307" s="769"/>
      <c r="L307" s="769"/>
      <c r="M307" s="769"/>
    </row>
    <row r="308" spans="2:13" s="333" customFormat="1" ht="13.15">
      <c r="B308" s="767"/>
      <c r="C308" s="787"/>
      <c r="D308" s="787"/>
      <c r="E308" s="769"/>
      <c r="F308" s="769"/>
      <c r="G308" s="769"/>
      <c r="H308" s="769">
        <f t="shared" si="35"/>
        <v>0</v>
      </c>
      <c r="I308" s="769"/>
      <c r="J308" s="769"/>
      <c r="K308" s="769"/>
      <c r="L308" s="769"/>
      <c r="M308" s="769"/>
    </row>
    <row r="309" spans="2:13" s="333" customFormat="1" ht="13.15">
      <c r="B309" s="767"/>
      <c r="C309" s="787"/>
      <c r="D309" s="787"/>
      <c r="E309" s="769"/>
      <c r="F309" s="769"/>
      <c r="G309" s="769"/>
      <c r="H309" s="769">
        <f t="shared" si="35"/>
        <v>0</v>
      </c>
      <c r="I309" s="769"/>
      <c r="J309" s="769"/>
      <c r="K309" s="769"/>
      <c r="L309" s="769"/>
      <c r="M309" s="770"/>
    </row>
    <row r="310" spans="2:13" s="333" customFormat="1" ht="13.15">
      <c r="B310" s="767"/>
      <c r="C310" s="787"/>
      <c r="D310" s="787"/>
      <c r="E310" s="769"/>
      <c r="F310" s="769"/>
      <c r="G310" s="769"/>
      <c r="H310" s="769">
        <f t="shared" si="35"/>
        <v>0</v>
      </c>
      <c r="I310" s="769"/>
      <c r="J310" s="769"/>
      <c r="K310" s="769"/>
      <c r="L310" s="769"/>
      <c r="M310" s="770"/>
    </row>
    <row r="311" spans="2:13" s="333" customFormat="1" ht="13.15">
      <c r="B311" s="767"/>
      <c r="C311" s="787"/>
      <c r="D311" s="787"/>
      <c r="E311" s="769"/>
      <c r="F311" s="769"/>
      <c r="G311" s="769"/>
      <c r="H311" s="769">
        <f t="shared" si="35"/>
        <v>0</v>
      </c>
      <c r="I311" s="769"/>
      <c r="J311" s="769"/>
      <c r="K311" s="769"/>
      <c r="L311" s="769"/>
      <c r="M311" s="769"/>
    </row>
    <row r="312" spans="2:13" s="333" customFormat="1" ht="13.15">
      <c r="B312" s="767"/>
      <c r="C312" s="787"/>
      <c r="D312" s="787"/>
      <c r="E312" s="769"/>
      <c r="F312" s="769"/>
      <c r="G312" s="769"/>
      <c r="H312" s="769">
        <f t="shared" si="35"/>
        <v>0</v>
      </c>
      <c r="I312" s="769"/>
      <c r="J312" s="769"/>
      <c r="K312" s="769"/>
      <c r="L312" s="769"/>
      <c r="M312" s="769"/>
    </row>
    <row r="313" spans="2:13" s="333" customFormat="1" ht="13.15">
      <c r="B313" s="767"/>
      <c r="C313" s="798"/>
      <c r="D313" s="798"/>
      <c r="E313" s="772"/>
      <c r="F313" s="772"/>
      <c r="G313" s="772"/>
      <c r="H313" s="772">
        <f t="shared" si="35"/>
        <v>0</v>
      </c>
      <c r="I313" s="772"/>
      <c r="J313" s="772"/>
      <c r="K313" s="772"/>
      <c r="L313" s="772"/>
      <c r="M313" s="773"/>
    </row>
    <row r="314" spans="2:13" s="333" customFormat="1" ht="13.15">
      <c r="B314" s="356" t="s">
        <v>298</v>
      </c>
      <c r="C314" s="357">
        <f>SUM(C304:C313)</f>
        <v>0</v>
      </c>
      <c r="D314" s="357"/>
      <c r="E314" s="357"/>
      <c r="F314" s="357"/>
      <c r="G314" s="357">
        <f>SUM(G304:G313)</f>
        <v>0</v>
      </c>
      <c r="H314" s="357">
        <f>SUM(H304:H313)</f>
        <v>0</v>
      </c>
      <c r="I314" s="357">
        <f>SUM(I304:I313)</f>
        <v>0</v>
      </c>
      <c r="J314" s="357">
        <f>SUM(J304:J313)</f>
        <v>0</v>
      </c>
      <c r="K314" s="357"/>
      <c r="L314" s="357"/>
      <c r="M314" s="340"/>
    </row>
    <row r="315" spans="2:13" s="333" customFormat="1" ht="15.05">
      <c r="B315" s="369"/>
      <c r="C315" s="343"/>
      <c r="D315" s="343"/>
      <c r="E315" s="343"/>
      <c r="F315" s="343"/>
      <c r="G315" s="347"/>
      <c r="H315" s="347"/>
      <c r="I315" s="361"/>
      <c r="J315" s="361"/>
      <c r="K315" s="361"/>
      <c r="M315" s="340"/>
    </row>
    <row r="316" spans="2:13" s="333" customFormat="1" ht="15.05">
      <c r="B316" s="369"/>
      <c r="C316" s="343"/>
      <c r="D316" s="343"/>
      <c r="E316" s="343"/>
      <c r="F316" s="343"/>
      <c r="G316" s="347"/>
      <c r="H316" s="347"/>
      <c r="I316" s="361"/>
      <c r="J316" s="361"/>
      <c r="K316" s="361"/>
      <c r="M316" s="340"/>
    </row>
    <row r="317" spans="2:13" s="333" customFormat="1" ht="13.15">
      <c r="B317" s="370" t="s">
        <v>490</v>
      </c>
      <c r="C317" s="353"/>
      <c r="D317" s="341" t="s">
        <v>460</v>
      </c>
      <c r="E317" s="342"/>
      <c r="F317" s="658" t="s">
        <v>449</v>
      </c>
      <c r="G317" s="341" t="s">
        <v>461</v>
      </c>
      <c r="H317" s="341" t="s">
        <v>462</v>
      </c>
      <c r="I317" s="341"/>
      <c r="J317" s="341"/>
      <c r="K317" s="372"/>
      <c r="L317" s="372"/>
      <c r="M317" s="340"/>
    </row>
    <row r="318" spans="2:13" s="333" customFormat="1" ht="13.15">
      <c r="B318" s="344"/>
      <c r="C318" s="341"/>
      <c r="D318" s="658" t="s">
        <v>463</v>
      </c>
      <c r="E318" s="341"/>
      <c r="F318" s="658" t="s">
        <v>452</v>
      </c>
      <c r="G318" s="341" t="s">
        <v>464</v>
      </c>
      <c r="H318" s="341" t="s">
        <v>28</v>
      </c>
      <c r="I318" s="341" t="s">
        <v>450</v>
      </c>
      <c r="J318" s="341" t="s">
        <v>451</v>
      </c>
      <c r="K318" s="372"/>
      <c r="L318" s="372"/>
      <c r="M318" s="341" t="s">
        <v>467</v>
      </c>
    </row>
    <row r="319" spans="2:13" s="333" customFormat="1" ht="13.15">
      <c r="B319" s="355" t="s">
        <v>3</v>
      </c>
      <c r="C319" s="341"/>
      <c r="D319" s="354" t="s">
        <v>493</v>
      </c>
      <c r="G319" s="341" t="s">
        <v>452</v>
      </c>
      <c r="H319" s="341" t="s">
        <v>452</v>
      </c>
      <c r="I319" s="341" t="s">
        <v>452</v>
      </c>
      <c r="J319" s="341" t="s">
        <v>452</v>
      </c>
      <c r="K319" s="372"/>
      <c r="L319" s="372"/>
      <c r="M319" s="340"/>
    </row>
    <row r="320" spans="2:13" s="333" customFormat="1" ht="13.15">
      <c r="B320" s="373"/>
      <c r="C320" s="357"/>
      <c r="D320" s="357"/>
      <c r="E320" s="357"/>
      <c r="F320" s="357"/>
      <c r="G320" s="357"/>
      <c r="H320" s="357"/>
      <c r="I320" s="357"/>
      <c r="J320" s="357"/>
      <c r="K320" s="791"/>
      <c r="L320" s="792"/>
      <c r="M320" s="340"/>
    </row>
    <row r="321" spans="2:13" s="333" customFormat="1" ht="13.15">
      <c r="B321" s="767"/>
      <c r="C321" s="787"/>
      <c r="D321" s="787"/>
      <c r="E321" s="769"/>
      <c r="F321" s="769"/>
      <c r="G321" s="769"/>
      <c r="H321" s="769">
        <f t="shared" ref="H321:H329" si="36">D321</f>
        <v>0</v>
      </c>
      <c r="I321" s="769"/>
      <c r="J321" s="769"/>
      <c r="K321" s="769"/>
      <c r="L321" s="769"/>
      <c r="M321" s="769"/>
    </row>
    <row r="322" spans="2:13" s="333" customFormat="1" ht="13.15">
      <c r="B322" s="767"/>
      <c r="C322" s="787"/>
      <c r="D322" s="787"/>
      <c r="E322" s="769"/>
      <c r="F322" s="769"/>
      <c r="G322" s="769"/>
      <c r="H322" s="769">
        <f t="shared" si="36"/>
        <v>0</v>
      </c>
      <c r="I322" s="769"/>
      <c r="J322" s="769"/>
      <c r="K322" s="769"/>
      <c r="L322" s="769"/>
      <c r="M322" s="769"/>
    </row>
    <row r="323" spans="2:13" s="333" customFormat="1" ht="13.15">
      <c r="B323" s="767"/>
      <c r="C323" s="787"/>
      <c r="D323" s="787"/>
      <c r="E323" s="769"/>
      <c r="F323" s="769"/>
      <c r="G323" s="769"/>
      <c r="H323" s="769">
        <f t="shared" si="36"/>
        <v>0</v>
      </c>
      <c r="I323" s="769"/>
      <c r="J323" s="769"/>
      <c r="K323" s="769"/>
      <c r="L323" s="769"/>
      <c r="M323" s="769"/>
    </row>
    <row r="324" spans="2:13" s="333" customFormat="1" ht="13.15">
      <c r="B324" s="767"/>
      <c r="C324" s="787"/>
      <c r="D324" s="787"/>
      <c r="E324" s="769"/>
      <c r="F324" s="769"/>
      <c r="G324" s="769"/>
      <c r="H324" s="769">
        <f t="shared" si="36"/>
        <v>0</v>
      </c>
      <c r="I324" s="769"/>
      <c r="J324" s="769"/>
      <c r="K324" s="769"/>
      <c r="L324" s="769"/>
      <c r="M324" s="769"/>
    </row>
    <row r="325" spans="2:13" s="333" customFormat="1" ht="13.15">
      <c r="B325" s="767"/>
      <c r="C325" s="787"/>
      <c r="D325" s="787"/>
      <c r="E325" s="769"/>
      <c r="F325" s="769"/>
      <c r="G325" s="769"/>
      <c r="H325" s="769">
        <f t="shared" si="36"/>
        <v>0</v>
      </c>
      <c r="I325" s="769"/>
      <c r="J325" s="769"/>
      <c r="K325" s="769"/>
      <c r="L325" s="769"/>
      <c r="M325" s="770"/>
    </row>
    <row r="326" spans="2:13" s="333" customFormat="1" ht="13.15">
      <c r="B326" s="767"/>
      <c r="C326" s="787"/>
      <c r="D326" s="787"/>
      <c r="E326" s="769"/>
      <c r="F326" s="769"/>
      <c r="G326" s="769"/>
      <c r="H326" s="769">
        <f t="shared" si="36"/>
        <v>0</v>
      </c>
      <c r="I326" s="769"/>
      <c r="J326" s="769"/>
      <c r="K326" s="769"/>
      <c r="L326" s="769"/>
      <c r="M326" s="770"/>
    </row>
    <row r="327" spans="2:13" s="333" customFormat="1" ht="13.15">
      <c r="B327" s="767"/>
      <c r="C327" s="787"/>
      <c r="D327" s="787"/>
      <c r="E327" s="769"/>
      <c r="F327" s="769"/>
      <c r="G327" s="769"/>
      <c r="H327" s="769">
        <f t="shared" si="36"/>
        <v>0</v>
      </c>
      <c r="I327" s="769"/>
      <c r="J327" s="769"/>
      <c r="K327" s="769"/>
      <c r="L327" s="769"/>
      <c r="M327" s="769"/>
    </row>
    <row r="328" spans="2:13" s="333" customFormat="1" ht="13.15">
      <c r="B328" s="767"/>
      <c r="C328" s="787"/>
      <c r="D328" s="787"/>
      <c r="E328" s="769"/>
      <c r="F328" s="769"/>
      <c r="G328" s="769"/>
      <c r="H328" s="769">
        <f t="shared" si="36"/>
        <v>0</v>
      </c>
      <c r="I328" s="769"/>
      <c r="J328" s="769"/>
      <c r="K328" s="769"/>
      <c r="L328" s="769"/>
      <c r="M328" s="769"/>
    </row>
    <row r="329" spans="2:13" s="333" customFormat="1" ht="13.15">
      <c r="B329" s="767"/>
      <c r="C329" s="798"/>
      <c r="D329" s="798"/>
      <c r="E329" s="772"/>
      <c r="F329" s="772"/>
      <c r="G329" s="772"/>
      <c r="H329" s="772">
        <f t="shared" si="36"/>
        <v>0</v>
      </c>
      <c r="I329" s="772"/>
      <c r="J329" s="772"/>
      <c r="K329" s="772"/>
      <c r="L329" s="772"/>
      <c r="M329" s="773"/>
    </row>
    <row r="330" spans="2:13" s="333" customFormat="1" ht="13.15">
      <c r="B330" s="356" t="s">
        <v>298</v>
      </c>
      <c r="C330" s="357"/>
      <c r="D330" s="357">
        <f>SUM(D320:D329)</f>
        <v>0</v>
      </c>
      <c r="E330" s="357"/>
      <c r="F330" s="357"/>
      <c r="G330" s="357">
        <f>SUM(G320:G329)</f>
        <v>0</v>
      </c>
      <c r="H330" s="357">
        <f>SUM(H320:H329)</f>
        <v>0</v>
      </c>
      <c r="I330" s="357">
        <f>SUM(I320:I329)</f>
        <v>0</v>
      </c>
      <c r="J330" s="357">
        <f>SUM(J320:J329)</f>
        <v>0</v>
      </c>
      <c r="K330" s="357"/>
      <c r="L330" s="357"/>
      <c r="M330" s="340"/>
    </row>
    <row r="331" spans="2:13" s="333" customFormat="1" ht="13.15">
      <c r="B331" s="356"/>
      <c r="C331" s="357"/>
      <c r="D331" s="357"/>
      <c r="E331" s="357"/>
      <c r="F331" s="357"/>
      <c r="G331" s="357"/>
      <c r="H331" s="357"/>
      <c r="I331" s="357"/>
      <c r="J331" s="357"/>
      <c r="K331" s="357"/>
      <c r="L331" s="357"/>
      <c r="M331" s="340"/>
    </row>
    <row r="332" spans="2:13" s="333" customFormat="1" ht="13.15">
      <c r="C332" s="334"/>
      <c r="D332" s="334"/>
      <c r="E332" s="334"/>
      <c r="F332" s="334"/>
      <c r="G332" s="334"/>
      <c r="H332" s="334"/>
      <c r="I332" s="334"/>
      <c r="J332" s="334"/>
      <c r="K332" s="338"/>
      <c r="M332" s="340"/>
    </row>
    <row r="333" spans="2:13" s="333" customFormat="1" ht="13.8" thickBot="1">
      <c r="B333" s="334" t="s">
        <v>123</v>
      </c>
      <c r="C333" s="334" t="s">
        <v>444</v>
      </c>
      <c r="D333" s="334" t="s">
        <v>445</v>
      </c>
      <c r="E333" s="334" t="s">
        <v>446</v>
      </c>
      <c r="F333" s="334" t="s">
        <v>125</v>
      </c>
      <c r="G333" s="334" t="s">
        <v>126</v>
      </c>
      <c r="H333" s="334" t="s">
        <v>127</v>
      </c>
      <c r="I333" s="334" t="s">
        <v>128</v>
      </c>
      <c r="J333" s="334" t="s">
        <v>129</v>
      </c>
      <c r="K333" s="339"/>
      <c r="L333" s="339"/>
      <c r="M333" s="340"/>
    </row>
    <row r="334" spans="2:13" s="333" customFormat="1" ht="13.8" thickBot="1">
      <c r="B334" s="365"/>
      <c r="C334" s="1341" t="str">
        <f>C268</f>
        <v>Jersey Central Power &amp; Light</v>
      </c>
      <c r="D334" s="1342"/>
      <c r="E334" s="1342"/>
      <c r="F334" s="1342"/>
      <c r="G334" s="1342"/>
      <c r="H334" s="1342"/>
      <c r="I334" s="1342"/>
      <c r="J334" s="1343"/>
      <c r="K334" s="339"/>
      <c r="L334" s="339"/>
      <c r="M334" s="340"/>
    </row>
    <row r="335" spans="2:13" s="333" customFormat="1" ht="13.15">
      <c r="B335" s="344"/>
      <c r="K335" s="372"/>
      <c r="L335" s="372"/>
      <c r="M335" s="340"/>
    </row>
    <row r="336" spans="2:13" s="333" customFormat="1" ht="26.3">
      <c r="B336" s="370" t="s">
        <v>687</v>
      </c>
      <c r="C336" s="353" t="s">
        <v>447</v>
      </c>
      <c r="D336" s="341" t="s">
        <v>460</v>
      </c>
      <c r="E336" s="342" t="s">
        <v>448</v>
      </c>
      <c r="F336" s="334" t="s">
        <v>449</v>
      </c>
      <c r="G336" s="341" t="s">
        <v>461</v>
      </c>
      <c r="H336" s="341" t="s">
        <v>462</v>
      </c>
      <c r="I336" s="341"/>
      <c r="J336" s="341"/>
      <c r="K336" s="372"/>
      <c r="L336" s="372"/>
      <c r="M336" s="340"/>
    </row>
    <row r="337" spans="2:13" s="333" customFormat="1" ht="13.15">
      <c r="B337" s="344"/>
      <c r="C337" s="341" t="s">
        <v>463</v>
      </c>
      <c r="D337" s="334" t="str">
        <f>+C337</f>
        <v>Balance</v>
      </c>
      <c r="E337" s="341" t="s">
        <v>10</v>
      </c>
      <c r="F337" s="334" t="s">
        <v>452</v>
      </c>
      <c r="G337" s="341" t="s">
        <v>464</v>
      </c>
      <c r="H337" s="341" t="s">
        <v>28</v>
      </c>
      <c r="I337" s="341" t="s">
        <v>450</v>
      </c>
      <c r="J337" s="341" t="s">
        <v>451</v>
      </c>
      <c r="K337" s="372"/>
      <c r="L337" s="372"/>
      <c r="M337" s="341" t="s">
        <v>467</v>
      </c>
    </row>
    <row r="338" spans="2:13" s="333" customFormat="1" ht="13.15">
      <c r="B338" s="355" t="s">
        <v>3</v>
      </c>
      <c r="C338" s="354" t="s">
        <v>492</v>
      </c>
      <c r="D338" s="354" t="s">
        <v>493</v>
      </c>
      <c r="G338" s="341" t="s">
        <v>452</v>
      </c>
      <c r="H338" s="341" t="s">
        <v>452</v>
      </c>
      <c r="I338" s="341" t="s">
        <v>452</v>
      </c>
      <c r="J338" s="341" t="s">
        <v>452</v>
      </c>
      <c r="K338" s="372"/>
      <c r="L338" s="372"/>
      <c r="M338" s="340"/>
    </row>
    <row r="339" spans="2:13" s="333" customFormat="1" ht="13.15">
      <c r="B339" s="373"/>
      <c r="C339" s="357"/>
      <c r="D339" s="357"/>
      <c r="E339" s="357"/>
      <c r="F339" s="357"/>
      <c r="G339" s="357"/>
      <c r="H339" s="357"/>
      <c r="I339" s="357"/>
      <c r="J339" s="357"/>
      <c r="K339" s="791"/>
      <c r="L339" s="792"/>
      <c r="M339" s="340"/>
    </row>
    <row r="340" spans="2:13" s="333" customFormat="1" ht="13.15">
      <c r="B340" s="775"/>
      <c r="C340" s="799">
        <f>C305</f>
        <v>0</v>
      </c>
      <c r="D340" s="799">
        <f>D321</f>
        <v>0</v>
      </c>
      <c r="E340" s="357">
        <f>AVERAGE(C340:D340)</f>
        <v>0</v>
      </c>
      <c r="F340" s="357"/>
      <c r="G340" s="357"/>
      <c r="H340" s="357">
        <f t="shared" ref="H340:H347" si="37">E340</f>
        <v>0</v>
      </c>
      <c r="I340" s="357"/>
      <c r="J340" s="357"/>
      <c r="K340" s="357"/>
      <c r="L340" s="357"/>
      <c r="M340" s="357"/>
    </row>
    <row r="341" spans="2:13" s="333" customFormat="1" ht="13.15">
      <c r="B341" s="775"/>
      <c r="C341" s="799">
        <f t="shared" ref="C341:C347" si="38">C306</f>
        <v>0</v>
      </c>
      <c r="D341" s="799">
        <f t="shared" ref="D341:D347" si="39">D322</f>
        <v>0</v>
      </c>
      <c r="E341" s="357">
        <f t="shared" ref="E341:E347" si="40">AVERAGE(C341:D341)</f>
        <v>0</v>
      </c>
      <c r="F341" s="357"/>
      <c r="G341" s="357"/>
      <c r="H341" s="357">
        <f t="shared" si="37"/>
        <v>0</v>
      </c>
      <c r="I341" s="357"/>
      <c r="J341" s="357"/>
      <c r="K341" s="357"/>
      <c r="L341" s="357"/>
      <c r="M341" s="357"/>
    </row>
    <row r="342" spans="2:13" s="333" customFormat="1" ht="13.15">
      <c r="B342" s="775"/>
      <c r="C342" s="799">
        <f t="shared" si="38"/>
        <v>0</v>
      </c>
      <c r="D342" s="799">
        <f t="shared" si="39"/>
        <v>0</v>
      </c>
      <c r="E342" s="357">
        <f t="shared" si="40"/>
        <v>0</v>
      </c>
      <c r="F342" s="357"/>
      <c r="G342" s="357"/>
      <c r="H342" s="357">
        <f t="shared" si="37"/>
        <v>0</v>
      </c>
      <c r="I342" s="357"/>
      <c r="J342" s="357"/>
      <c r="K342" s="357"/>
      <c r="L342" s="357"/>
      <c r="M342" s="357"/>
    </row>
    <row r="343" spans="2:13" s="333" customFormat="1" ht="13.15">
      <c r="B343" s="775"/>
      <c r="C343" s="799">
        <f t="shared" si="38"/>
        <v>0</v>
      </c>
      <c r="D343" s="799">
        <f t="shared" si="39"/>
        <v>0</v>
      </c>
      <c r="E343" s="357">
        <f t="shared" si="40"/>
        <v>0</v>
      </c>
      <c r="F343" s="357"/>
      <c r="G343" s="357"/>
      <c r="H343" s="357">
        <f t="shared" si="37"/>
        <v>0</v>
      </c>
      <c r="I343" s="357"/>
      <c r="J343" s="357"/>
      <c r="K343" s="357"/>
      <c r="L343" s="357"/>
      <c r="M343" s="357"/>
    </row>
    <row r="344" spans="2:13" s="333" customFormat="1" ht="13.15">
      <c r="B344" s="775"/>
      <c r="C344" s="799">
        <f t="shared" si="38"/>
        <v>0</v>
      </c>
      <c r="D344" s="799">
        <f t="shared" si="39"/>
        <v>0</v>
      </c>
      <c r="E344" s="357">
        <f t="shared" si="40"/>
        <v>0</v>
      </c>
      <c r="F344" s="357"/>
      <c r="G344" s="357"/>
      <c r="H344" s="357">
        <f t="shared" si="37"/>
        <v>0</v>
      </c>
      <c r="I344" s="357"/>
      <c r="J344" s="357"/>
      <c r="K344" s="357"/>
      <c r="L344" s="357"/>
      <c r="M344" s="777"/>
    </row>
    <row r="345" spans="2:13" s="333" customFormat="1" ht="13.15">
      <c r="B345" s="775"/>
      <c r="C345" s="799">
        <f t="shared" si="38"/>
        <v>0</v>
      </c>
      <c r="D345" s="799">
        <f t="shared" si="39"/>
        <v>0</v>
      </c>
      <c r="E345" s="357">
        <f t="shared" si="40"/>
        <v>0</v>
      </c>
      <c r="F345" s="357"/>
      <c r="G345" s="357"/>
      <c r="H345" s="357">
        <f t="shared" si="37"/>
        <v>0</v>
      </c>
      <c r="I345" s="357"/>
      <c r="J345" s="357"/>
      <c r="K345" s="357"/>
      <c r="L345" s="357"/>
      <c r="M345" s="777"/>
    </row>
    <row r="346" spans="2:13" s="333" customFormat="1" ht="13.15">
      <c r="B346" s="775"/>
      <c r="C346" s="799">
        <f t="shared" si="38"/>
        <v>0</v>
      </c>
      <c r="D346" s="799">
        <f t="shared" si="39"/>
        <v>0</v>
      </c>
      <c r="E346" s="357">
        <f t="shared" si="40"/>
        <v>0</v>
      </c>
      <c r="F346" s="357"/>
      <c r="G346" s="357"/>
      <c r="H346" s="357">
        <f t="shared" si="37"/>
        <v>0</v>
      </c>
      <c r="I346" s="357"/>
      <c r="J346" s="357"/>
      <c r="K346" s="357"/>
      <c r="L346" s="357"/>
      <c r="M346" s="357"/>
    </row>
    <row r="347" spans="2:13" s="333" customFormat="1" ht="13.15">
      <c r="B347" s="775"/>
      <c r="C347" s="799">
        <f t="shared" si="38"/>
        <v>0</v>
      </c>
      <c r="D347" s="799">
        <f t="shared" si="39"/>
        <v>0</v>
      </c>
      <c r="E347" s="357">
        <f t="shared" si="40"/>
        <v>0</v>
      </c>
      <c r="F347" s="357"/>
      <c r="G347" s="357"/>
      <c r="H347" s="357">
        <f t="shared" si="37"/>
        <v>0</v>
      </c>
      <c r="I347" s="357"/>
      <c r="J347" s="357"/>
      <c r="K347" s="357"/>
      <c r="L347" s="357"/>
      <c r="M347" s="357"/>
    </row>
    <row r="348" spans="2:13" s="333" customFormat="1" ht="13.15">
      <c r="B348" s="775"/>
      <c r="C348" s="779"/>
      <c r="D348" s="779"/>
      <c r="E348" s="780"/>
      <c r="F348" s="780"/>
      <c r="G348" s="780"/>
      <c r="H348" s="780"/>
      <c r="I348" s="780"/>
      <c r="J348" s="780"/>
      <c r="K348" s="780"/>
      <c r="L348" s="780"/>
      <c r="M348" s="781"/>
    </row>
    <row r="349" spans="2:13" s="333" customFormat="1" ht="13.15">
      <c r="B349" s="356" t="s">
        <v>298</v>
      </c>
      <c r="C349" s="357">
        <f>SUM(C339:C348)</f>
        <v>0</v>
      </c>
      <c r="D349" s="357">
        <f>SUM(D340:D348)</f>
        <v>0</v>
      </c>
      <c r="E349" s="357">
        <f>SUM(E339:E348)</f>
        <v>0</v>
      </c>
      <c r="F349" s="357"/>
      <c r="G349" s="357">
        <f>SUM(G339:G348)</f>
        <v>0</v>
      </c>
      <c r="H349" s="357">
        <f>SUM(H339:H348)</f>
        <v>0</v>
      </c>
      <c r="I349" s="357">
        <f>SUM(I339:I348)</f>
        <v>0</v>
      </c>
      <c r="J349" s="357">
        <f>SUM(J339:J348)</f>
        <v>0</v>
      </c>
      <c r="K349" s="357"/>
      <c r="L349" s="357"/>
      <c r="M349" s="340"/>
    </row>
    <row r="350" spans="2:13" s="333" customFormat="1" ht="13.15">
      <c r="B350" s="359"/>
      <c r="G350" s="347"/>
      <c r="H350" s="347"/>
      <c r="I350" s="347"/>
      <c r="J350" s="347"/>
      <c r="K350" s="357"/>
      <c r="L350" s="347"/>
      <c r="M350" s="340"/>
    </row>
    <row r="351" spans="2:13" s="333" customFormat="1" ht="13.15">
      <c r="B351" s="359" t="s">
        <v>491</v>
      </c>
      <c r="C351" s="343"/>
      <c r="D351" s="343"/>
      <c r="E351" s="343"/>
      <c r="F351" s="343"/>
      <c r="G351" s="347"/>
      <c r="H351" s="347"/>
      <c r="I351" s="361"/>
      <c r="J351" s="361"/>
      <c r="K351" s="361"/>
      <c r="M351" s="340"/>
    </row>
    <row r="352" spans="2:13" s="333" customFormat="1" ht="13.15">
      <c r="B352" s="376"/>
      <c r="C352" s="343"/>
      <c r="D352" s="343"/>
      <c r="E352" s="343"/>
      <c r="F352" s="343"/>
      <c r="G352" s="343"/>
      <c r="H352" s="343"/>
      <c r="I352" s="343"/>
      <c r="J352" s="343"/>
      <c r="K352" s="343"/>
      <c r="M352" s="340"/>
    </row>
    <row r="353" spans="2:13" s="333" customFormat="1" ht="13.15">
      <c r="B353" s="1340" t="s">
        <v>469</v>
      </c>
      <c r="C353" s="1340"/>
      <c r="D353" s="1340"/>
      <c r="E353" s="1340"/>
      <c r="F353" s="1340"/>
      <c r="G353" s="1340"/>
      <c r="H353" s="1340"/>
      <c r="I353" s="1340"/>
      <c r="J353" s="1340"/>
      <c r="K353" s="1340"/>
      <c r="M353" s="340"/>
    </row>
    <row r="354" spans="2:13" s="333" customFormat="1" ht="13.15">
      <c r="B354" s="1340" t="s">
        <v>470</v>
      </c>
      <c r="C354" s="1340"/>
      <c r="D354" s="1340"/>
      <c r="E354" s="1340"/>
      <c r="F354" s="1340"/>
      <c r="G354" s="1340"/>
      <c r="H354" s="1340"/>
      <c r="I354" s="1340"/>
      <c r="J354" s="1340"/>
      <c r="K354" s="1340"/>
      <c r="M354" s="340"/>
    </row>
    <row r="355" spans="2:13" s="333" customFormat="1" ht="13.15">
      <c r="B355" s="366" t="s">
        <v>471</v>
      </c>
      <c r="C355" s="347"/>
      <c r="D355" s="347"/>
      <c r="E355" s="347"/>
      <c r="F355" s="347"/>
      <c r="G355" s="347"/>
      <c r="H355" s="347"/>
      <c r="I355" s="361"/>
      <c r="J355" s="361"/>
      <c r="K355" s="361"/>
      <c r="M355" s="340"/>
    </row>
    <row r="356" spans="2:13" s="333" customFormat="1" ht="13.15">
      <c r="B356" s="366" t="s">
        <v>472</v>
      </c>
      <c r="C356" s="347"/>
      <c r="D356" s="347"/>
      <c r="E356" s="347"/>
      <c r="F356" s="347"/>
      <c r="G356" s="347"/>
      <c r="H356" s="347"/>
      <c r="I356" s="361"/>
      <c r="J356" s="361"/>
      <c r="K356" s="361"/>
      <c r="L356" s="349"/>
      <c r="M356" s="349"/>
    </row>
    <row r="357" spans="2:13" s="333" customFormat="1" ht="13.15">
      <c r="B357" s="366" t="s">
        <v>473</v>
      </c>
      <c r="C357" s="347"/>
      <c r="D357" s="347"/>
      <c r="E357" s="347"/>
      <c r="F357" s="347"/>
      <c r="G357" s="347"/>
      <c r="H357" s="347"/>
      <c r="I357" s="361"/>
      <c r="J357" s="361"/>
      <c r="K357" s="361"/>
      <c r="L357" s="349"/>
      <c r="M357" s="349"/>
    </row>
    <row r="358" spans="2:13" s="333" customFormat="1" ht="13.15">
      <c r="B358" s="1340" t="s">
        <v>474</v>
      </c>
      <c r="C358" s="1340"/>
      <c r="D358" s="1340"/>
      <c r="E358" s="1340"/>
      <c r="F358" s="1340"/>
      <c r="G358" s="1340"/>
      <c r="H358" s="1340"/>
      <c r="I358" s="1340"/>
      <c r="J358" s="1340"/>
      <c r="K358" s="1340"/>
      <c r="L358" s="349"/>
      <c r="M358" s="349"/>
    </row>
    <row r="359" spans="2:13" s="333" customFormat="1"/>
    <row r="360" spans="2:13" s="333" customFormat="1"/>
    <row r="361" spans="2:13" s="333" customFormat="1"/>
    <row r="362" spans="2:13" s="333" customFormat="1"/>
    <row r="363" spans="2:13" s="333" customFormat="1"/>
    <row r="364" spans="2:13" s="333" customFormat="1"/>
    <row r="365" spans="2:13" s="333" customFormat="1"/>
    <row r="366" spans="2:13" s="333" customFormat="1"/>
    <row r="367" spans="2:13" s="333" customFormat="1"/>
    <row r="368" spans="2:13" s="333" customFormat="1"/>
    <row r="369" s="333" customFormat="1"/>
    <row r="370" s="333" customFormat="1"/>
    <row r="371" s="333" customFormat="1"/>
    <row r="372" s="333" customFormat="1"/>
    <row r="373" s="333" customFormat="1"/>
    <row r="374" s="333" customFormat="1"/>
    <row r="375" s="333" customFormat="1"/>
    <row r="376" s="333" customFormat="1"/>
    <row r="377" s="333" customFormat="1"/>
    <row r="378" s="333" customFormat="1"/>
    <row r="379" s="333" customFormat="1"/>
    <row r="380" s="333" customFormat="1"/>
    <row r="381" s="333" customFormat="1"/>
    <row r="382" s="333" customFormat="1"/>
    <row r="383" s="333" customFormat="1"/>
    <row r="384" s="333" customFormat="1"/>
    <row r="385" s="333" customFormat="1"/>
    <row r="386" s="333" customFormat="1"/>
    <row r="387" s="333" customFormat="1"/>
    <row r="388" s="333" customFormat="1"/>
    <row r="389" s="333" customFormat="1"/>
    <row r="390" s="333" customFormat="1"/>
    <row r="391" s="333" customFormat="1"/>
    <row r="392" s="333" customFormat="1"/>
    <row r="393" s="333" customFormat="1"/>
    <row r="394" s="333" customFormat="1"/>
    <row r="395" s="333" customFormat="1"/>
    <row r="396" s="333" customFormat="1"/>
    <row r="397" s="333" customFormat="1"/>
    <row r="398" s="333" customFormat="1"/>
    <row r="399" s="333" customFormat="1"/>
    <row r="400" s="333" customFormat="1"/>
    <row r="401" s="333" customFormat="1"/>
    <row r="402" s="333" customFormat="1"/>
    <row r="403" s="333" customFormat="1"/>
    <row r="404" s="333" customFormat="1"/>
    <row r="405" s="333" customFormat="1"/>
    <row r="406" s="333" customFormat="1"/>
    <row r="407" s="333" customFormat="1"/>
    <row r="408" s="333" customFormat="1"/>
    <row r="409" s="333" customFormat="1"/>
    <row r="410" s="333" customFormat="1"/>
    <row r="411" s="333" customFormat="1"/>
    <row r="412" s="333" customFormat="1"/>
    <row r="413" s="333" customFormat="1"/>
    <row r="414" s="333" customFormat="1"/>
    <row r="415" s="333" customFormat="1"/>
    <row r="416" s="333" customFormat="1"/>
    <row r="417" s="333" customFormat="1"/>
    <row r="418" s="333" customFormat="1"/>
    <row r="419" s="333" customFormat="1"/>
    <row r="420" s="333" customFormat="1"/>
    <row r="421" s="333" customFormat="1"/>
    <row r="422" s="333" customFormat="1"/>
    <row r="423" s="333" customFormat="1"/>
    <row r="424" s="333" customFormat="1"/>
    <row r="425" s="333" customFormat="1"/>
    <row r="426" s="333" customFormat="1"/>
    <row r="427" s="333" customFormat="1"/>
    <row r="428" s="333" customFormat="1"/>
    <row r="429" s="333" customFormat="1"/>
    <row r="430" s="333" customFormat="1"/>
    <row r="431" s="333" customFormat="1"/>
    <row r="432" s="333" customFormat="1"/>
    <row r="433" s="333" customFormat="1"/>
    <row r="434" s="333" customFormat="1"/>
    <row r="435" s="333" customFormat="1"/>
    <row r="436" s="333" customFormat="1"/>
    <row r="437" s="333" customFormat="1"/>
    <row r="438" s="333" customFormat="1"/>
    <row r="439" s="333" customFormat="1"/>
    <row r="440" s="333" customFormat="1"/>
    <row r="441" s="333" customFormat="1"/>
    <row r="442" s="333" customFormat="1"/>
    <row r="443" s="333" customFormat="1"/>
    <row r="444" s="333" customFormat="1"/>
    <row r="445" s="333" customFormat="1"/>
    <row r="446" s="333" customFormat="1"/>
    <row r="447" s="333" customFormat="1"/>
    <row r="448" s="333" customFormat="1"/>
    <row r="449" s="333" customFormat="1"/>
    <row r="450" s="333" customFormat="1"/>
    <row r="451" s="333" customFormat="1"/>
    <row r="452" s="333" customFormat="1"/>
    <row r="453" s="333" customFormat="1"/>
    <row r="454" s="333" customFormat="1"/>
    <row r="455" s="333" customFormat="1"/>
    <row r="456" s="333" customFormat="1"/>
    <row r="457" s="333" customFormat="1"/>
    <row r="458" s="333" customFormat="1"/>
    <row r="459" s="333" customFormat="1"/>
    <row r="460" s="333" customFormat="1"/>
    <row r="461" s="333" customFormat="1"/>
    <row r="462" s="333" customFormat="1"/>
    <row r="463" s="333" customFormat="1"/>
    <row r="464" s="333" customFormat="1"/>
    <row r="465" s="333" customFormat="1"/>
    <row r="466" s="333" customFormat="1"/>
    <row r="467" s="333" customFormat="1"/>
    <row r="468" s="333" customFormat="1"/>
    <row r="469" s="333" customFormat="1"/>
    <row r="470" s="333" customFormat="1"/>
    <row r="471" s="333" customFormat="1"/>
    <row r="472" s="333" customFormat="1"/>
    <row r="473" s="333" customFormat="1"/>
    <row r="474" s="333" customFormat="1"/>
    <row r="475" s="333" customFormat="1"/>
    <row r="476" s="333" customFormat="1"/>
    <row r="477" s="333" customFormat="1"/>
    <row r="478" s="333" customFormat="1"/>
    <row r="479" s="333" customFormat="1"/>
    <row r="480" s="333" customFormat="1"/>
    <row r="481" s="333" customFormat="1"/>
    <row r="482" s="333" customFormat="1"/>
    <row r="483" s="333" customFormat="1"/>
    <row r="484" s="333" customFormat="1"/>
    <row r="485" s="333" customFormat="1"/>
    <row r="486" s="333" customFormat="1"/>
    <row r="487" s="333" customFormat="1"/>
    <row r="488" s="333" customFormat="1"/>
    <row r="489" s="333" customFormat="1"/>
    <row r="490" s="333" customFormat="1"/>
    <row r="491" s="333" customFormat="1"/>
    <row r="492" s="333" customFormat="1"/>
    <row r="493" s="333" customFormat="1"/>
    <row r="494" s="333" customFormat="1"/>
    <row r="495" s="333" customFormat="1"/>
    <row r="496" s="333" customFormat="1"/>
    <row r="497" s="333" customFormat="1"/>
    <row r="498" s="333" customFormat="1"/>
    <row r="499" s="333" customFormat="1"/>
    <row r="500" s="333" customFormat="1"/>
    <row r="501" s="333" customFormat="1"/>
    <row r="502" s="333" customFormat="1"/>
    <row r="503" s="333" customFormat="1"/>
    <row r="504" s="333" customFormat="1"/>
    <row r="505" s="333" customFormat="1"/>
    <row r="506" s="333" customFormat="1"/>
    <row r="507" s="333" customFormat="1"/>
    <row r="508" s="333" customFormat="1"/>
    <row r="509" s="333" customFormat="1"/>
    <row r="510" s="333" customFormat="1"/>
    <row r="511" s="333" customFormat="1"/>
    <row r="512" s="333" customFormat="1"/>
    <row r="513" s="333" customFormat="1"/>
    <row r="514" s="333" customFormat="1"/>
    <row r="515" s="333" customFormat="1"/>
    <row r="516" s="333" customFormat="1"/>
    <row r="517" s="333" customFormat="1"/>
    <row r="518" s="333" customFormat="1"/>
    <row r="519" s="333" customFormat="1"/>
    <row r="520" s="333" customFormat="1"/>
    <row r="521" s="333" customFormat="1"/>
    <row r="522" s="333" customFormat="1"/>
    <row r="523" s="333" customFormat="1"/>
    <row r="524" s="333" customFormat="1"/>
    <row r="525" s="333" customFormat="1"/>
    <row r="526" s="333" customFormat="1"/>
    <row r="527" s="333" customFormat="1"/>
    <row r="528" s="333" customFormat="1"/>
    <row r="529" s="333" customFormat="1"/>
    <row r="530" s="333" customFormat="1"/>
    <row r="531" s="333" customFormat="1"/>
    <row r="532" s="333" customFormat="1"/>
    <row r="533" s="333" customFormat="1"/>
    <row r="534" s="333" customFormat="1"/>
    <row r="535" s="333" customFormat="1"/>
    <row r="536" s="333" customFormat="1"/>
    <row r="537" s="333" customFormat="1"/>
    <row r="538" s="333" customFormat="1"/>
    <row r="539" s="333" customFormat="1"/>
    <row r="540" s="333" customFormat="1"/>
    <row r="541" s="333" customFormat="1"/>
    <row r="542" s="333" customFormat="1"/>
    <row r="543" s="333" customFormat="1"/>
    <row r="544" s="333" customFormat="1"/>
    <row r="545" s="333" customFormat="1"/>
    <row r="546" s="333" customFormat="1"/>
    <row r="547" s="333" customFormat="1"/>
    <row r="548" s="333" customFormat="1"/>
    <row r="549" s="333" customFormat="1"/>
    <row r="550" s="333" customFormat="1"/>
    <row r="551" s="333" customFormat="1"/>
    <row r="552" s="333" customFormat="1"/>
    <row r="553" s="333" customFormat="1"/>
    <row r="554" s="333" customFormat="1"/>
    <row r="555" s="333" customFormat="1"/>
    <row r="556" s="333" customFormat="1"/>
    <row r="557" s="333" customFormat="1"/>
    <row r="558" s="333" customFormat="1"/>
    <row r="559" s="333" customFormat="1"/>
    <row r="560" s="333" customFormat="1"/>
    <row r="561" s="333" customFormat="1"/>
    <row r="562" s="333" customFormat="1"/>
    <row r="563" s="333" customFormat="1"/>
    <row r="564" s="333" customFormat="1"/>
    <row r="565" s="333" customFormat="1"/>
    <row r="566" s="333" customFormat="1"/>
    <row r="567" s="333" customFormat="1"/>
    <row r="568" s="333" customFormat="1"/>
    <row r="569" s="333" customFormat="1"/>
    <row r="570" s="333" customFormat="1"/>
    <row r="571" s="333" customFormat="1"/>
    <row r="572" s="333" customFormat="1"/>
    <row r="573" s="333" customFormat="1"/>
    <row r="574" s="333" customFormat="1"/>
    <row r="575" s="333" customFormat="1"/>
    <row r="576" s="333" customFormat="1"/>
    <row r="577" s="333" customFormat="1"/>
    <row r="578" s="333" customFormat="1"/>
    <row r="579" s="333" customFormat="1"/>
    <row r="580" s="333" customFormat="1"/>
    <row r="581" s="333" customFormat="1"/>
    <row r="582" s="333" customFormat="1"/>
    <row r="583" s="333" customFormat="1"/>
    <row r="584" s="333" customFormat="1"/>
    <row r="585" s="333" customFormat="1"/>
    <row r="586" s="333" customFormat="1"/>
    <row r="587" s="333" customFormat="1"/>
    <row r="588" s="333" customFormat="1"/>
    <row r="589" s="333" customFormat="1"/>
    <row r="590" s="333" customFormat="1"/>
    <row r="591" s="333" customFormat="1"/>
    <row r="592" s="333" customFormat="1"/>
    <row r="593" s="333" customFormat="1"/>
    <row r="594" s="333" customFormat="1"/>
    <row r="595" s="333" customFormat="1"/>
    <row r="596" s="333" customFormat="1"/>
    <row r="597" s="333" customFormat="1"/>
    <row r="598" s="333" customFormat="1"/>
    <row r="599" s="333" customFormat="1"/>
    <row r="600" s="333" customFormat="1"/>
    <row r="601" s="333" customFormat="1"/>
    <row r="602" s="333" customFormat="1"/>
    <row r="603" s="333" customFormat="1"/>
    <row r="604" s="333" customFormat="1"/>
    <row r="605" s="333" customFormat="1"/>
    <row r="606" s="333" customFormat="1"/>
    <row r="607" s="333" customFormat="1"/>
    <row r="608" s="333" customFormat="1"/>
    <row r="609" s="333" customFormat="1"/>
    <row r="610" s="333" customFormat="1"/>
    <row r="611" s="333" customFormat="1"/>
    <row r="612" s="333" customFormat="1"/>
    <row r="613" s="333" customFormat="1"/>
    <row r="614" s="333" customFormat="1"/>
    <row r="615" s="333" customFormat="1"/>
    <row r="616" s="333" customFormat="1"/>
    <row r="617" s="333" customFormat="1"/>
    <row r="618" s="333" customFormat="1"/>
    <row r="619" s="333" customFormat="1"/>
    <row r="620" s="333" customFormat="1"/>
    <row r="621" s="333" customFormat="1"/>
    <row r="622" s="333" customFormat="1"/>
    <row r="623" s="333" customFormat="1"/>
    <row r="624" s="333" customFormat="1"/>
    <row r="625" s="333" customFormat="1"/>
    <row r="626" s="333" customFormat="1"/>
    <row r="627" s="333" customFormat="1"/>
    <row r="628" s="333" customFormat="1"/>
    <row r="629" s="333" customFormat="1"/>
    <row r="630" s="333" customFormat="1"/>
    <row r="631" s="333" customFormat="1"/>
    <row r="632" s="333" customFormat="1"/>
    <row r="633" s="333" customFormat="1"/>
    <row r="634" s="333" customFormat="1"/>
    <row r="635" s="333" customFormat="1"/>
    <row r="636" s="333" customFormat="1"/>
    <row r="637" s="333" customFormat="1"/>
    <row r="638" s="333" customFormat="1"/>
    <row r="639" s="333" customFormat="1"/>
    <row r="640" s="333" customFormat="1"/>
    <row r="641" s="333" customFormat="1"/>
    <row r="642" s="333" customFormat="1"/>
    <row r="643" s="333" customFormat="1"/>
    <row r="644" s="333" customFormat="1"/>
    <row r="645" s="333" customFormat="1"/>
    <row r="646" s="333" customFormat="1"/>
    <row r="647" s="333" customFormat="1"/>
    <row r="648" s="333" customFormat="1"/>
    <row r="649" s="333" customFormat="1"/>
    <row r="650" s="333" customFormat="1"/>
    <row r="651" s="333" customFormat="1"/>
    <row r="652" s="333" customFormat="1"/>
    <row r="653" s="333" customFormat="1"/>
    <row r="654" s="333" customFormat="1"/>
    <row r="655" s="333" customFormat="1"/>
    <row r="656" s="333" customFormat="1"/>
    <row r="657" s="333" customFormat="1"/>
    <row r="658" s="333" customFormat="1"/>
    <row r="659" s="333" customFormat="1"/>
    <row r="660" s="333" customFormat="1"/>
    <row r="661" s="333" customFormat="1"/>
    <row r="662" s="333" customFormat="1"/>
    <row r="663" s="333" customFormat="1"/>
    <row r="664" s="333" customFormat="1"/>
    <row r="665" s="333" customFormat="1"/>
    <row r="666" s="333" customFormat="1"/>
    <row r="667" s="333" customFormat="1"/>
    <row r="668" s="333" customFormat="1"/>
    <row r="669" s="333" customFormat="1"/>
    <row r="670" s="333" customFormat="1"/>
    <row r="671" s="333" customFormat="1"/>
    <row r="672" s="333" customFormat="1"/>
    <row r="673" s="333" customFormat="1"/>
    <row r="674" s="333" customFormat="1"/>
    <row r="675" s="333" customFormat="1"/>
    <row r="676" s="333" customFormat="1"/>
    <row r="677" s="333" customFormat="1"/>
    <row r="678" s="333" customFormat="1"/>
    <row r="679" s="333" customFormat="1"/>
    <row r="680" s="333" customFormat="1"/>
    <row r="681" s="333" customFormat="1"/>
    <row r="682" s="333" customFormat="1"/>
    <row r="683" s="333" customFormat="1"/>
    <row r="684" s="333" customFormat="1"/>
    <row r="685" s="333" customFormat="1"/>
    <row r="686" s="333" customFormat="1"/>
    <row r="687" s="333" customFormat="1"/>
    <row r="688" s="333" customFormat="1"/>
    <row r="689" s="333" customFormat="1"/>
    <row r="690" s="333" customFormat="1"/>
    <row r="691" s="333" customFormat="1"/>
    <row r="692" s="333" customFormat="1"/>
    <row r="693" s="333" customFormat="1"/>
    <row r="694" s="333" customFormat="1"/>
    <row r="695" s="333" customFormat="1"/>
    <row r="696" s="333" customFormat="1"/>
    <row r="697" s="333" customFormat="1"/>
    <row r="698" s="333" customFormat="1"/>
    <row r="699" s="333" customFormat="1"/>
    <row r="700" s="333" customFormat="1"/>
    <row r="701" s="333" customFormat="1"/>
    <row r="702" s="333" customFormat="1"/>
    <row r="703" s="333" customFormat="1"/>
    <row r="704" s="333" customFormat="1"/>
    <row r="705" s="333" customFormat="1"/>
    <row r="706" s="333" customFormat="1"/>
    <row r="707" s="333" customFormat="1"/>
    <row r="708" s="333" customFormat="1"/>
    <row r="709" s="333" customFormat="1"/>
    <row r="710" s="333" customFormat="1"/>
    <row r="711" s="333" customFormat="1"/>
    <row r="712" s="333" customFormat="1"/>
    <row r="713" s="333" customFormat="1"/>
    <row r="714" s="333" customFormat="1"/>
    <row r="715" s="333" customFormat="1"/>
    <row r="716" s="333" customFormat="1"/>
    <row r="717" s="333" customFormat="1"/>
    <row r="718" s="333" customFormat="1"/>
    <row r="719" s="333" customFormat="1"/>
    <row r="720" s="333" customFormat="1"/>
    <row r="721" s="333" customFormat="1"/>
    <row r="722" s="333" customFormat="1"/>
    <row r="723" s="333" customFormat="1"/>
    <row r="724" s="333" customFormat="1"/>
    <row r="725" s="333" customFormat="1"/>
    <row r="726" s="333" customFormat="1"/>
    <row r="727" s="333" customFormat="1"/>
    <row r="728" s="333" customFormat="1"/>
    <row r="729" s="333" customFormat="1"/>
    <row r="730" s="333" customFormat="1"/>
    <row r="731" s="333" customFormat="1"/>
    <row r="732" s="333" customFormat="1"/>
    <row r="733" s="333" customFormat="1"/>
    <row r="734" s="333" customFormat="1"/>
    <row r="735" s="333" customFormat="1"/>
    <row r="736" s="333" customFormat="1"/>
    <row r="737" s="333" customFormat="1"/>
    <row r="738" s="333" customFormat="1"/>
    <row r="739" s="333" customFormat="1"/>
    <row r="740" s="333" customFormat="1"/>
    <row r="741" s="333" customFormat="1"/>
    <row r="742" s="333" customFormat="1"/>
    <row r="743" s="333" customFormat="1"/>
    <row r="744" s="333" customFormat="1"/>
    <row r="745" s="333" customFormat="1"/>
    <row r="746" s="333" customFormat="1"/>
    <row r="747" s="333" customFormat="1"/>
    <row r="748" s="333" customFormat="1"/>
    <row r="749" s="333" customFormat="1"/>
    <row r="750" s="333" customFormat="1"/>
    <row r="751" s="333" customFormat="1"/>
    <row r="752" s="333" customFormat="1"/>
    <row r="753" s="333" customFormat="1"/>
    <row r="754" s="333" customFormat="1"/>
    <row r="755" s="333" customFormat="1"/>
    <row r="756" s="333" customFormat="1"/>
    <row r="757" s="333" customFormat="1"/>
    <row r="758" s="333" customFormat="1"/>
    <row r="759" s="333" customFormat="1"/>
    <row r="760" s="333" customFormat="1"/>
    <row r="761" s="333" customFormat="1"/>
    <row r="762" s="333" customFormat="1"/>
    <row r="763" s="333" customFormat="1"/>
    <row r="764" s="333" customFormat="1"/>
    <row r="765" s="333" customFormat="1"/>
    <row r="766" s="333" customFormat="1"/>
    <row r="767" s="333" customFormat="1"/>
    <row r="768" s="333" customFormat="1"/>
    <row r="769" s="333" customFormat="1"/>
    <row r="770" s="333" customFormat="1"/>
    <row r="771" s="333" customFormat="1"/>
    <row r="772" s="333" customFormat="1"/>
    <row r="773" s="333" customFormat="1"/>
    <row r="774" s="333" customFormat="1"/>
    <row r="775" s="333" customFormat="1"/>
    <row r="776" s="333" customFormat="1"/>
    <row r="777" s="333" customFormat="1"/>
    <row r="778" s="333" customFormat="1"/>
    <row r="779" s="333" customFormat="1"/>
    <row r="780" s="333" customFormat="1"/>
    <row r="781" s="333" customFormat="1"/>
    <row r="782" s="333" customFormat="1"/>
    <row r="783" s="333" customFormat="1"/>
    <row r="784" s="333" customFormat="1"/>
    <row r="785" s="333" customFormat="1"/>
    <row r="786" s="333" customFormat="1"/>
    <row r="787" s="333" customFormat="1"/>
    <row r="788" s="333" customFormat="1"/>
    <row r="789" s="333" customFormat="1"/>
    <row r="790" s="333" customFormat="1"/>
    <row r="791" s="333" customFormat="1"/>
    <row r="792" s="333" customFormat="1"/>
    <row r="793" s="333" customFormat="1"/>
    <row r="794" s="333" customFormat="1"/>
    <row r="795" s="333" customFormat="1"/>
    <row r="796" s="333" customFormat="1"/>
    <row r="797" s="333" customFormat="1"/>
    <row r="798" s="333" customFormat="1"/>
    <row r="799" s="333" customFormat="1"/>
    <row r="800" s="333" customFormat="1"/>
    <row r="801" s="333" customFormat="1"/>
    <row r="802" s="333" customFormat="1"/>
    <row r="803" s="333" customFormat="1"/>
    <row r="804" s="333" customFormat="1"/>
    <row r="805" s="333" customFormat="1"/>
    <row r="806" s="333" customFormat="1"/>
    <row r="807" s="333" customFormat="1"/>
    <row r="808" s="333" customFormat="1"/>
    <row r="809" s="333" customFormat="1"/>
    <row r="810" s="333" customFormat="1"/>
    <row r="811" s="333" customFormat="1"/>
    <row r="812" s="333" customFormat="1"/>
    <row r="813" s="333" customFormat="1"/>
    <row r="814" s="333" customFormat="1"/>
    <row r="815" s="333" customFormat="1"/>
    <row r="816" s="333" customFormat="1"/>
    <row r="817" s="333" customFormat="1"/>
    <row r="818" s="333" customFormat="1"/>
    <row r="819" s="333" customFormat="1"/>
    <row r="820" s="333" customFormat="1"/>
    <row r="821" s="333" customFormat="1"/>
    <row r="822" s="333" customFormat="1"/>
    <row r="823" s="333" customFormat="1"/>
    <row r="824" s="333" customFormat="1"/>
    <row r="825" s="333" customFormat="1"/>
    <row r="826" s="333" customFormat="1"/>
    <row r="827" s="333" customFormat="1"/>
    <row r="828" s="333" customFormat="1"/>
    <row r="829" s="333" customFormat="1"/>
    <row r="830" s="333" customFormat="1"/>
    <row r="831" s="333" customFormat="1"/>
    <row r="832" s="333" customFormat="1"/>
    <row r="833" s="333" customFormat="1"/>
    <row r="834" s="333" customFormat="1"/>
    <row r="835" s="333" customFormat="1"/>
    <row r="836" s="333" customFormat="1"/>
    <row r="837" s="333" customFormat="1"/>
    <row r="838" s="333" customFormat="1"/>
    <row r="839" s="333" customFormat="1"/>
    <row r="840" s="333" customFormat="1"/>
    <row r="841" s="333" customFormat="1"/>
    <row r="842" s="333" customFormat="1"/>
    <row r="843" s="333" customFormat="1"/>
    <row r="844" s="333" customFormat="1"/>
    <row r="845" s="333" customFormat="1"/>
    <row r="846" s="333" customFormat="1"/>
    <row r="847" s="333" customFormat="1"/>
    <row r="848" s="333" customFormat="1"/>
    <row r="849" s="333" customFormat="1"/>
    <row r="850" s="333" customFormat="1"/>
    <row r="851" s="333" customFormat="1"/>
    <row r="852" s="333" customFormat="1"/>
    <row r="853" s="333" customFormat="1"/>
    <row r="854" s="333" customFormat="1"/>
    <row r="855" s="333" customFormat="1"/>
    <row r="856" s="333" customFormat="1"/>
    <row r="857" s="333" customFormat="1"/>
    <row r="858" s="333" customFormat="1"/>
    <row r="859" s="333" customFormat="1"/>
    <row r="860" s="333" customFormat="1"/>
    <row r="861" s="333" customFormat="1"/>
    <row r="862" s="333" customFormat="1"/>
    <row r="863" s="333" customFormat="1"/>
    <row r="864" s="333" customFormat="1"/>
    <row r="865" s="333" customFormat="1"/>
    <row r="866" s="333" customFormat="1"/>
    <row r="867" s="333" customFormat="1"/>
    <row r="868" s="333" customFormat="1"/>
    <row r="869" s="333" customFormat="1"/>
    <row r="870" s="333" customFormat="1"/>
    <row r="871" s="333" customFormat="1"/>
    <row r="872" s="333" customFormat="1"/>
    <row r="873" s="333" customFormat="1"/>
    <row r="874" s="333" customFormat="1"/>
    <row r="875" s="333" customFormat="1"/>
    <row r="876" s="333" customFormat="1"/>
    <row r="877" s="333" customFormat="1"/>
    <row r="878" s="333" customFormat="1"/>
    <row r="879" s="333" customFormat="1"/>
    <row r="880" s="333" customFormat="1"/>
    <row r="881" s="333" customFormat="1"/>
    <row r="882" s="333" customFormat="1"/>
    <row r="883" s="333" customFormat="1"/>
    <row r="884" s="333" customFormat="1"/>
    <row r="885" s="333" customFormat="1"/>
    <row r="886" s="333" customFormat="1"/>
    <row r="887" s="333" customFormat="1"/>
    <row r="888" s="333" customFormat="1"/>
    <row r="889" s="333" customFormat="1"/>
    <row r="890" s="333" customFormat="1"/>
    <row r="891" s="333" customFormat="1"/>
    <row r="892" s="333" customFormat="1"/>
    <row r="893" s="333" customFormat="1"/>
    <row r="894" s="333" customFormat="1"/>
    <row r="895" s="333" customFormat="1"/>
    <row r="896" s="333" customFormat="1"/>
    <row r="897" s="333" customFormat="1"/>
    <row r="898" s="333" customFormat="1"/>
    <row r="899" s="333" customFormat="1"/>
    <row r="900" s="333" customFormat="1"/>
    <row r="901" s="333" customFormat="1"/>
    <row r="902" s="333" customFormat="1"/>
    <row r="903" s="333" customFormat="1"/>
    <row r="904" s="333" customFormat="1"/>
    <row r="905" s="333" customFormat="1"/>
    <row r="906" s="333" customFormat="1"/>
    <row r="907" s="333" customFormat="1"/>
    <row r="908" s="333" customFormat="1"/>
    <row r="909" s="333" customFormat="1"/>
    <row r="910" s="333" customFormat="1"/>
    <row r="911" s="333" customFormat="1"/>
    <row r="912" s="333" customFormat="1"/>
    <row r="913" s="333" customFormat="1"/>
    <row r="914" s="333" customFormat="1"/>
    <row r="915" s="333" customFormat="1"/>
    <row r="916" s="333" customFormat="1"/>
    <row r="917" s="333" customFormat="1"/>
    <row r="918" s="333" customFormat="1"/>
    <row r="919" s="333" customFormat="1"/>
    <row r="920" s="333" customFormat="1"/>
    <row r="921" s="333" customFormat="1"/>
    <row r="922" s="333" customFormat="1"/>
    <row r="923" s="333" customFormat="1"/>
    <row r="924" s="333" customFormat="1"/>
    <row r="925" s="333" customFormat="1"/>
    <row r="926" s="333" customFormat="1"/>
    <row r="927" s="333" customFormat="1"/>
    <row r="928" s="333" customFormat="1"/>
    <row r="929" s="333" customFormat="1"/>
    <row r="930" s="333" customFormat="1"/>
    <row r="931" s="333" customFormat="1"/>
    <row r="932" s="333" customFormat="1"/>
    <row r="933" s="333" customFormat="1"/>
    <row r="934" s="333" customFormat="1"/>
    <row r="935" s="333" customFormat="1"/>
    <row r="936" s="333" customFormat="1"/>
    <row r="937" s="333" customFormat="1"/>
    <row r="938" s="333" customFormat="1"/>
    <row r="939" s="333" customFormat="1"/>
    <row r="940" s="333" customFormat="1"/>
    <row r="941" s="333" customFormat="1"/>
    <row r="942" s="333" customFormat="1"/>
    <row r="943" s="333" customFormat="1"/>
    <row r="944" s="333" customFormat="1"/>
    <row r="945" s="333" customFormat="1"/>
    <row r="946" s="333" customFormat="1"/>
    <row r="947" s="333" customFormat="1"/>
    <row r="948" s="333" customFormat="1"/>
    <row r="949" s="333" customFormat="1"/>
    <row r="950" s="333" customFormat="1"/>
    <row r="951" s="333" customFormat="1"/>
    <row r="952" s="333" customFormat="1"/>
    <row r="953" s="333" customFormat="1"/>
    <row r="954" s="333" customFormat="1"/>
    <row r="955" s="333" customFormat="1"/>
    <row r="956" s="333" customFormat="1"/>
    <row r="957" s="333" customFormat="1"/>
    <row r="958" s="333" customFormat="1"/>
    <row r="959" s="333" customFormat="1"/>
    <row r="960" s="333" customFormat="1"/>
    <row r="961" s="333" customFormat="1"/>
    <row r="962" s="333" customFormat="1"/>
    <row r="963" s="333" customFormat="1"/>
    <row r="964" s="333" customFormat="1"/>
    <row r="965" s="333" customFormat="1"/>
    <row r="966" s="333" customFormat="1"/>
    <row r="967" s="333" customFormat="1"/>
    <row r="968" s="333" customFormat="1"/>
    <row r="969" s="333" customFormat="1"/>
    <row r="970" s="333" customFormat="1"/>
    <row r="971" s="333" customFormat="1"/>
    <row r="972" s="333" customFormat="1"/>
    <row r="973" s="333" customFormat="1"/>
    <row r="974" s="333" customFormat="1"/>
    <row r="975" s="333" customFormat="1"/>
    <row r="976" s="333" customFormat="1"/>
    <row r="977" s="333" customFormat="1"/>
    <row r="978" s="333" customFormat="1"/>
    <row r="979" s="333" customFormat="1"/>
    <row r="980" s="333" customFormat="1"/>
    <row r="981" s="333" customFormat="1"/>
    <row r="982" s="333" customFormat="1"/>
    <row r="983" s="333" customFormat="1"/>
    <row r="984" s="333" customFormat="1"/>
    <row r="985" s="333" customFormat="1"/>
    <row r="986" s="333" customFormat="1"/>
    <row r="987" s="333" customFormat="1"/>
    <row r="988" s="333" customFormat="1"/>
    <row r="989" s="333" customFormat="1"/>
    <row r="990" s="333" customFormat="1"/>
    <row r="991" s="333" customFormat="1"/>
    <row r="992" s="333" customFormat="1"/>
    <row r="993" s="333" customFormat="1"/>
    <row r="994" s="333" customFormat="1"/>
    <row r="995" s="333" customFormat="1"/>
    <row r="996" s="333" customFormat="1"/>
    <row r="997" s="333" customFormat="1"/>
    <row r="998" s="333" customFormat="1"/>
    <row r="999" s="333" customFormat="1"/>
    <row r="1000" s="333" customFormat="1"/>
    <row r="1001" s="333" customFormat="1"/>
    <row r="1002" s="333" customFormat="1"/>
    <row r="1003" s="333" customFormat="1"/>
    <row r="1004" s="333" customFormat="1"/>
    <row r="1005" s="333" customFormat="1"/>
    <row r="1006" s="333" customFormat="1"/>
    <row r="1007" s="333" customFormat="1"/>
    <row r="1008" s="333" customFormat="1"/>
    <row r="1009" s="333" customFormat="1"/>
    <row r="1010" s="333" customFormat="1"/>
    <row r="1011" s="333" customFormat="1"/>
    <row r="1012" s="333" customFormat="1"/>
    <row r="1013" s="333" customFormat="1"/>
    <row r="1014" s="333" customFormat="1"/>
    <row r="1015" s="333" customFormat="1"/>
    <row r="1016" s="333" customFormat="1"/>
    <row r="1017" s="333" customFormat="1"/>
    <row r="1018" s="333" customFormat="1"/>
    <row r="1019" s="333" customFormat="1"/>
    <row r="1020" s="333" customFormat="1"/>
    <row r="1021" s="333" customFormat="1"/>
    <row r="1022" s="333" customFormat="1"/>
    <row r="1023" s="333" customFormat="1"/>
    <row r="1024" s="333" customFormat="1"/>
    <row r="1025" s="333" customFormat="1"/>
    <row r="1026" s="333" customFormat="1"/>
    <row r="1027" s="333" customFormat="1"/>
    <row r="1028" s="333" customFormat="1"/>
    <row r="1029" s="333" customFormat="1"/>
    <row r="1030" s="333" customFormat="1"/>
    <row r="1031" s="333" customFormat="1"/>
    <row r="1032" s="333" customFormat="1"/>
    <row r="1033" s="333" customFormat="1"/>
    <row r="1034" s="333" customFormat="1"/>
    <row r="1035" s="333" customFormat="1"/>
    <row r="1036" s="333" customFormat="1"/>
    <row r="1037" s="333" customFormat="1"/>
    <row r="1038" s="333" customFormat="1"/>
    <row r="1039" s="333" customFormat="1"/>
    <row r="1040" s="333" customFormat="1"/>
    <row r="1041" s="333" customFormat="1"/>
    <row r="1042" s="333" customFormat="1"/>
    <row r="1043" s="333" customFormat="1"/>
    <row r="1044" s="333" customFormat="1"/>
    <row r="1045" s="333" customFormat="1"/>
    <row r="1046" s="333" customFormat="1"/>
    <row r="1047" s="333" customFormat="1"/>
    <row r="1048" s="333" customFormat="1"/>
    <row r="1049" s="333" customFormat="1"/>
    <row r="1050" s="333" customFormat="1"/>
    <row r="1051" s="333" customFormat="1"/>
    <row r="1052" s="333" customFormat="1"/>
    <row r="1053" s="333" customFormat="1"/>
    <row r="1054" s="333" customFormat="1"/>
    <row r="1055" s="333" customFormat="1"/>
    <row r="1056" s="333" customFormat="1"/>
    <row r="1057" s="333" customFormat="1"/>
    <row r="1058" s="333" customFormat="1"/>
    <row r="1059" s="333" customFormat="1"/>
    <row r="1060" s="333" customFormat="1"/>
    <row r="1061" s="333" customFormat="1"/>
    <row r="1062" s="333" customFormat="1"/>
    <row r="1063" s="333" customFormat="1"/>
    <row r="1064" s="333" customFormat="1"/>
    <row r="1065" s="333" customFormat="1"/>
    <row r="1066" s="333" customFormat="1"/>
    <row r="1067" s="333" customFormat="1"/>
    <row r="1068" s="333" customFormat="1"/>
    <row r="1069" s="333" customFormat="1"/>
    <row r="1070" s="333" customFormat="1"/>
    <row r="1071" s="333" customFormat="1"/>
    <row r="1072" s="333" customFormat="1"/>
    <row r="1073" s="333" customFormat="1"/>
    <row r="1074" s="333" customFormat="1"/>
    <row r="1075" s="333" customFormat="1"/>
    <row r="1076" s="333" customFormat="1"/>
    <row r="1077" s="333" customFormat="1"/>
    <row r="1078" s="333" customFormat="1"/>
    <row r="1079" s="333" customFormat="1"/>
    <row r="1080" s="333" customFormat="1"/>
    <row r="1081" s="333" customFormat="1"/>
    <row r="1082" s="333" customFormat="1"/>
    <row r="1083" s="333" customFormat="1"/>
    <row r="1084" s="333" customFormat="1"/>
    <row r="1085" s="333" customFormat="1"/>
    <row r="1086" s="333" customFormat="1"/>
    <row r="1087" s="333" customFormat="1"/>
    <row r="1088" s="333" customFormat="1"/>
    <row r="1089" s="333" customFormat="1"/>
    <row r="1090" s="333" customFormat="1"/>
    <row r="1091" s="333" customFormat="1"/>
    <row r="1092" s="333" customFormat="1"/>
    <row r="1093" s="333" customFormat="1"/>
    <row r="1094" s="333" customFormat="1"/>
    <row r="1095" s="333" customFormat="1"/>
    <row r="1096" s="333" customFormat="1"/>
    <row r="1097" s="333" customFormat="1"/>
    <row r="1098" s="333" customFormat="1"/>
    <row r="1099" s="333" customFormat="1"/>
    <row r="1100" s="333" customFormat="1"/>
    <row r="1101" s="333" customFormat="1"/>
    <row r="1102" s="333" customFormat="1"/>
    <row r="1103" s="333" customFormat="1"/>
    <row r="1104" s="333" customFormat="1"/>
    <row r="1105" s="333" customFormat="1"/>
    <row r="1106" s="333" customFormat="1"/>
    <row r="1107" s="333" customFormat="1"/>
    <row r="1108" s="333" customFormat="1"/>
    <row r="1109" s="333" customFormat="1"/>
    <row r="1110" s="333" customFormat="1"/>
    <row r="1111" s="333" customFormat="1"/>
    <row r="1112" s="333" customFormat="1"/>
    <row r="1113" s="333" customFormat="1"/>
    <row r="1114" s="333" customFormat="1"/>
    <row r="1115" s="333" customFormat="1"/>
    <row r="1116" s="333" customFormat="1"/>
    <row r="1117" s="333" customFormat="1"/>
    <row r="1118" s="333" customFormat="1"/>
    <row r="1119" s="333" customFormat="1"/>
    <row r="1120" s="333" customFormat="1"/>
    <row r="1121" s="333" customFormat="1"/>
    <row r="1122" s="333" customFormat="1"/>
    <row r="1123" s="333" customFormat="1"/>
    <row r="1124" s="333" customFormat="1"/>
    <row r="1125" s="333" customFormat="1"/>
    <row r="1126" s="333" customFormat="1"/>
    <row r="1127" s="333" customFormat="1"/>
    <row r="1128" s="333" customFormat="1"/>
    <row r="1129" s="333" customFormat="1"/>
    <row r="1130" s="333" customFormat="1"/>
    <row r="1131" s="333" customFormat="1"/>
    <row r="1132" s="333" customFormat="1"/>
    <row r="1133" s="333" customFormat="1"/>
    <row r="1134" s="333" customFormat="1"/>
    <row r="1135" s="333" customFormat="1"/>
    <row r="1136" s="333" customFormat="1"/>
    <row r="1137" s="333" customFormat="1"/>
    <row r="1138" s="333" customFormat="1"/>
    <row r="1139" s="333" customFormat="1"/>
    <row r="1140" s="333" customFormat="1"/>
    <row r="1141" s="333" customFormat="1"/>
    <row r="1142" s="333" customFormat="1"/>
    <row r="1143" s="333" customFormat="1"/>
    <row r="1144" s="333" customFormat="1"/>
    <row r="1145" s="333" customFormat="1"/>
    <row r="1146" s="333" customFormat="1"/>
    <row r="1147" s="333" customFormat="1"/>
    <row r="1148" s="333" customFormat="1"/>
    <row r="1149" s="333" customFormat="1"/>
    <row r="1150" s="333" customFormat="1"/>
    <row r="1151" s="333" customFormat="1"/>
    <row r="1152" s="333" customFormat="1"/>
    <row r="1153" s="333" customFormat="1"/>
    <row r="1154" s="333" customFormat="1"/>
    <row r="1155" s="333" customFormat="1"/>
    <row r="1156" s="333" customFormat="1"/>
    <row r="1157" s="333" customFormat="1"/>
    <row r="1158" s="333" customFormat="1"/>
    <row r="1159" s="333" customFormat="1"/>
    <row r="1160" s="333" customFormat="1"/>
    <row r="1161" s="333" customFormat="1"/>
    <row r="1162" s="333" customFormat="1"/>
    <row r="1163" s="333" customFormat="1"/>
    <row r="1164" s="333" customFormat="1"/>
    <row r="1165" s="333" customFormat="1"/>
    <row r="1166" s="333" customFormat="1"/>
    <row r="1167" s="333" customFormat="1"/>
    <row r="1168" s="333" customFormat="1"/>
    <row r="1169" s="333" customFormat="1"/>
    <row r="1170" s="333" customFormat="1"/>
    <row r="1171" s="333" customFormat="1"/>
    <row r="1172" s="333" customFormat="1"/>
    <row r="1173" s="333" customFormat="1"/>
    <row r="1174" s="333" customFormat="1"/>
    <row r="1175" s="333" customFormat="1"/>
    <row r="1176" s="333" customFormat="1"/>
    <row r="1177" s="333" customFormat="1"/>
    <row r="1178" s="333" customFormat="1"/>
    <row r="1179" s="333" customFormat="1"/>
    <row r="1180" s="333" customFormat="1"/>
    <row r="1181" s="333" customFormat="1"/>
    <row r="1182" s="333" customFormat="1"/>
    <row r="1183" s="333" customFormat="1"/>
    <row r="1184" s="333" customFormat="1"/>
    <row r="1185" s="333" customFormat="1"/>
    <row r="1186" s="333" customFormat="1"/>
    <row r="1187" s="333" customFormat="1"/>
    <row r="1188" s="333" customFormat="1"/>
    <row r="1189" s="333" customFormat="1"/>
    <row r="1190" s="333" customFormat="1"/>
    <row r="1191" s="333" customFormat="1"/>
    <row r="1192" s="333" customFormat="1"/>
    <row r="1193" s="333" customFormat="1"/>
    <row r="1194" s="333" customFormat="1"/>
    <row r="1195" s="333" customFormat="1"/>
    <row r="1196" s="333" customFormat="1"/>
    <row r="1197" s="333" customFormat="1"/>
    <row r="1198" s="333" customFormat="1"/>
    <row r="1199" s="333" customFormat="1"/>
    <row r="1200" s="333" customFormat="1"/>
    <row r="1201" s="333" customFormat="1"/>
    <row r="1202" s="333" customFormat="1"/>
    <row r="1203" s="333" customFormat="1"/>
    <row r="1204" s="333" customFormat="1"/>
    <row r="1205" s="333" customFormat="1"/>
    <row r="1206" s="333" customFormat="1"/>
    <row r="1207" s="333" customFormat="1"/>
    <row r="1208" s="333" customFormat="1"/>
    <row r="1209" s="333" customFormat="1"/>
    <row r="1210" s="333" customFormat="1"/>
    <row r="1211" s="333" customFormat="1"/>
    <row r="1212" s="333" customFormat="1"/>
    <row r="1213" s="333" customFormat="1"/>
    <row r="1214" s="333" customFormat="1"/>
    <row r="1215" s="333" customFormat="1"/>
    <row r="1216" s="333" customFormat="1"/>
    <row r="1217" s="333" customFormat="1"/>
    <row r="1218" s="333" customFormat="1"/>
    <row r="1219" s="333" customFormat="1"/>
    <row r="1220" s="333" customFormat="1"/>
    <row r="1221" s="333" customFormat="1"/>
    <row r="1222" s="333" customFormat="1"/>
    <row r="1223" s="333" customFormat="1"/>
    <row r="1224" s="333" customFormat="1"/>
    <row r="1225" s="333" customFormat="1"/>
    <row r="1226" s="333" customFormat="1"/>
    <row r="1227" s="333" customFormat="1"/>
    <row r="1228" s="333" customFormat="1"/>
    <row r="1229" s="333" customFormat="1"/>
    <row r="1230" s="333" customFormat="1"/>
    <row r="1231" s="333" customFormat="1"/>
    <row r="1232" s="333" customFormat="1"/>
    <row r="1233" s="333" customFormat="1"/>
    <row r="1234" s="333" customFormat="1"/>
    <row r="1235" s="333" customFormat="1"/>
    <row r="1236" s="333" customFormat="1"/>
    <row r="1237" s="333" customFormat="1"/>
    <row r="1238" s="333" customFormat="1"/>
    <row r="1239" s="333" customFormat="1"/>
    <row r="1240" s="333" customFormat="1"/>
    <row r="1241" s="333" customFormat="1"/>
    <row r="1242" s="333" customFormat="1"/>
    <row r="1243" s="333" customFormat="1"/>
    <row r="1244" s="333" customFormat="1"/>
    <row r="1245" s="333" customFormat="1"/>
    <row r="1246" s="333" customFormat="1"/>
    <row r="1247" s="333" customFormat="1"/>
    <row r="1248" s="333" customFormat="1"/>
    <row r="1249" s="333" customFormat="1"/>
    <row r="1250" s="333" customFormat="1"/>
    <row r="1251" s="333" customFormat="1"/>
    <row r="1252" s="333" customFormat="1"/>
    <row r="1253" s="333" customFormat="1"/>
    <row r="1254" s="333" customFormat="1"/>
    <row r="1255" s="333" customFormat="1"/>
    <row r="1256" s="333" customFormat="1"/>
    <row r="1257" s="333" customFormat="1"/>
    <row r="1258" s="333" customFormat="1"/>
    <row r="1259" s="333" customFormat="1"/>
    <row r="1260" s="333" customFormat="1"/>
    <row r="1261" s="333" customFormat="1"/>
    <row r="1262" s="333" customFormat="1"/>
    <row r="1263" s="333" customFormat="1"/>
    <row r="1264" s="333" customFormat="1"/>
    <row r="1265" s="333" customFormat="1"/>
    <row r="1266" s="333" customFormat="1"/>
    <row r="1267" s="333" customFormat="1"/>
    <row r="1268" s="333" customFormat="1"/>
    <row r="1269" s="333" customFormat="1"/>
    <row r="1270" s="333" customFormat="1"/>
    <row r="1271" s="333" customFormat="1"/>
    <row r="1272" s="333" customFormat="1"/>
    <row r="1273" s="333" customFormat="1"/>
    <row r="1274" s="333" customFormat="1"/>
    <row r="1275" s="333" customFormat="1"/>
    <row r="1276" s="333" customFormat="1"/>
    <row r="1277" s="333" customFormat="1"/>
    <row r="1278" s="333" customFormat="1"/>
    <row r="1279" s="333" customFormat="1"/>
    <row r="1280" s="333" customFormat="1"/>
    <row r="1281" s="333" customFormat="1"/>
    <row r="1282" s="333" customFormat="1"/>
    <row r="1283" s="333" customFormat="1"/>
    <row r="1284" s="333" customFormat="1"/>
    <row r="1285" s="333" customFormat="1"/>
    <row r="1286" s="333" customFormat="1"/>
    <row r="1287" s="333" customFormat="1"/>
    <row r="1288" s="333" customFormat="1"/>
    <row r="1289" s="333" customFormat="1"/>
    <row r="1290" s="333" customFormat="1"/>
    <row r="1291" s="333" customFormat="1"/>
    <row r="1292" s="333" customFormat="1"/>
    <row r="1293" s="333" customFormat="1"/>
    <row r="1294" s="333" customFormat="1"/>
    <row r="1295" s="333" customFormat="1"/>
    <row r="1296" s="333" customFormat="1"/>
    <row r="1297" s="333" customFormat="1"/>
    <row r="1298" s="333" customFormat="1"/>
    <row r="1299" s="333" customFormat="1"/>
    <row r="1300" s="333" customFormat="1"/>
    <row r="1301" s="333" customFormat="1"/>
    <row r="1302" s="333" customFormat="1"/>
    <row r="1303" s="333" customFormat="1"/>
    <row r="1304" s="333" customFormat="1"/>
    <row r="1305" s="333" customFormat="1"/>
    <row r="1306" s="333" customFormat="1"/>
    <row r="1307" s="333" customFormat="1"/>
    <row r="1308" s="333" customFormat="1"/>
    <row r="1309" s="333" customFormat="1"/>
    <row r="1310" s="333" customFormat="1"/>
    <row r="1311" s="333" customFormat="1"/>
    <row r="1312" s="333" customFormat="1"/>
    <row r="1313" s="333" customFormat="1"/>
    <row r="1314" s="333" customFormat="1"/>
    <row r="1315" s="333" customFormat="1"/>
    <row r="1316" s="333" customFormat="1"/>
    <row r="1317" s="333" customFormat="1"/>
    <row r="1318" s="333" customFormat="1"/>
    <row r="1319" s="333" customFormat="1"/>
    <row r="1320" s="333" customFormat="1"/>
    <row r="1321" s="333" customFormat="1"/>
    <row r="1322" s="333" customFormat="1"/>
    <row r="1323" s="333" customFormat="1"/>
    <row r="1324" s="333" customFormat="1"/>
    <row r="1325" s="333" customFormat="1"/>
    <row r="1326" s="333" customFormat="1"/>
    <row r="1327" s="333" customFormat="1"/>
    <row r="1328" s="333" customFormat="1"/>
    <row r="1329" s="333" customFormat="1"/>
    <row r="1330" s="333" customFormat="1"/>
    <row r="1331" s="333" customFormat="1"/>
    <row r="1332" s="333" customFormat="1"/>
    <row r="1333" s="333" customFormat="1"/>
    <row r="1334" s="333" customFormat="1"/>
    <row r="1335" s="333" customFormat="1"/>
    <row r="1336" s="333" customFormat="1"/>
    <row r="1337" s="333" customFormat="1"/>
    <row r="1338" s="333" customFormat="1"/>
    <row r="1339" s="333" customFormat="1"/>
    <row r="1340" s="333" customFormat="1"/>
    <row r="1341" s="333" customFormat="1"/>
    <row r="1342" s="333" customFormat="1"/>
    <row r="1343" s="333" customFormat="1"/>
    <row r="1344" s="333" customFormat="1"/>
    <row r="1345" s="333" customFormat="1"/>
    <row r="1346" s="333" customFormat="1"/>
    <row r="1347" s="333" customFormat="1"/>
    <row r="1348" s="333" customFormat="1"/>
    <row r="1349" s="333" customFormat="1"/>
    <row r="1350" s="333" customFormat="1"/>
    <row r="1351" s="333" customFormat="1"/>
    <row r="1352" s="333" customFormat="1"/>
    <row r="1353" s="333" customFormat="1"/>
    <row r="1354" s="333" customFormat="1"/>
    <row r="1355" s="333" customFormat="1"/>
    <row r="1356" s="333" customFormat="1"/>
    <row r="1357" s="333" customFormat="1"/>
    <row r="1358" s="333" customFormat="1"/>
    <row r="1359" s="333" customFormat="1"/>
    <row r="1360" s="333" customFormat="1"/>
    <row r="1361" s="333" customFormat="1"/>
    <row r="1362" s="333" customFormat="1"/>
    <row r="1363" s="333" customFormat="1"/>
    <row r="1364" s="333" customFormat="1"/>
    <row r="1365" s="333" customFormat="1"/>
    <row r="1366" s="333" customFormat="1"/>
    <row r="1367" s="333" customFormat="1"/>
    <row r="1368" s="333" customFormat="1"/>
    <row r="1369" s="333" customFormat="1"/>
    <row r="1370" s="333" customFormat="1"/>
    <row r="1371" s="333" customFormat="1"/>
    <row r="1372" s="333" customFormat="1"/>
    <row r="1373" s="333" customFormat="1"/>
    <row r="1374" s="333" customFormat="1"/>
    <row r="1375" s="333" customFormat="1"/>
    <row r="1376" s="333" customFormat="1"/>
    <row r="1377" s="333" customFormat="1"/>
    <row r="1378" s="333" customFormat="1"/>
    <row r="1379" s="333" customFormat="1"/>
    <row r="1380" s="333" customFormat="1"/>
    <row r="1381" s="333" customFormat="1"/>
    <row r="1382" s="333" customFormat="1"/>
    <row r="1383" s="333" customFormat="1"/>
    <row r="1384" s="333" customFormat="1"/>
    <row r="1385" s="333" customFormat="1"/>
    <row r="1386" s="333" customFormat="1"/>
    <row r="1387" s="333" customFormat="1"/>
    <row r="1388" s="333" customFormat="1"/>
    <row r="1389" s="333" customFormat="1"/>
    <row r="1390" s="333" customFormat="1"/>
    <row r="1391" s="333" customFormat="1"/>
    <row r="1392" s="333" customFormat="1"/>
    <row r="1393" s="333" customFormat="1"/>
    <row r="1394" s="333" customFormat="1"/>
    <row r="1395" s="333" customFormat="1"/>
    <row r="1396" s="333" customFormat="1"/>
    <row r="1397" s="333" customFormat="1"/>
    <row r="1398" s="333" customFormat="1"/>
    <row r="1399" s="333" customFormat="1"/>
    <row r="1400" s="333" customFormat="1"/>
    <row r="1401" s="333" customFormat="1"/>
    <row r="1402" s="333" customFormat="1"/>
    <row r="1403" s="333" customFormat="1"/>
    <row r="1404" s="333" customFormat="1"/>
    <row r="1405" s="333" customFormat="1"/>
    <row r="1406" s="333" customFormat="1"/>
    <row r="1407" s="333" customFormat="1"/>
    <row r="1408" s="333" customFormat="1"/>
    <row r="1409" s="333" customFormat="1"/>
    <row r="1410" s="333" customFormat="1"/>
    <row r="1411" s="333" customFormat="1"/>
    <row r="1412" s="333" customFormat="1"/>
    <row r="1413" s="333" customFormat="1"/>
    <row r="1414" s="333" customFormat="1"/>
    <row r="1415" s="333" customFormat="1"/>
    <row r="1416" s="333" customFormat="1"/>
    <row r="1417" s="333" customFormat="1"/>
    <row r="1418" s="333" customFormat="1"/>
    <row r="1419" s="333" customFormat="1"/>
    <row r="1420" s="333" customFormat="1"/>
    <row r="1421" s="333" customFormat="1"/>
    <row r="1422" s="333" customFormat="1"/>
    <row r="1423" s="333" customFormat="1"/>
    <row r="1424" s="333" customFormat="1"/>
    <row r="1425" s="333" customFormat="1"/>
    <row r="1426" s="333" customFormat="1"/>
    <row r="1427" s="333" customFormat="1"/>
    <row r="1428" s="333" customFormat="1"/>
    <row r="1429" s="333" customFormat="1"/>
    <row r="1430" s="333" customFormat="1"/>
    <row r="1431" s="333" customFormat="1"/>
    <row r="1432" s="333" customFormat="1"/>
    <row r="1433" s="333" customFormat="1"/>
    <row r="1434" s="333" customFormat="1"/>
    <row r="1435" s="333" customFormat="1"/>
    <row r="1436" s="333" customFormat="1"/>
    <row r="1437" s="333" customFormat="1"/>
    <row r="1438" s="333" customFormat="1"/>
    <row r="1439" s="333" customFormat="1"/>
    <row r="1440" s="333" customFormat="1"/>
    <row r="1441" s="333" customFormat="1"/>
    <row r="1442" s="333" customFormat="1"/>
    <row r="1443" s="333" customFormat="1"/>
    <row r="1444" s="333" customFormat="1"/>
    <row r="1445" s="333" customFormat="1"/>
    <row r="1446" s="333" customFormat="1"/>
    <row r="1447" s="333" customFormat="1"/>
    <row r="1448" s="333" customFormat="1"/>
    <row r="1449" s="333" customFormat="1"/>
    <row r="1450" s="333" customFormat="1"/>
    <row r="1451" s="333" customFormat="1"/>
    <row r="1452" s="333" customFormat="1"/>
    <row r="1453" s="333" customFormat="1"/>
    <row r="1454" s="333" customFormat="1"/>
    <row r="1455" s="333" customFormat="1"/>
    <row r="1456" s="333" customFormat="1"/>
    <row r="1457" s="333" customFormat="1"/>
    <row r="1458" s="333" customFormat="1"/>
    <row r="1459" s="333" customFormat="1"/>
    <row r="1460" s="333" customFormat="1"/>
    <row r="1461" s="333" customFormat="1"/>
    <row r="1462" s="333" customFormat="1"/>
    <row r="1463" s="333" customFormat="1"/>
    <row r="1464" s="333" customFormat="1"/>
    <row r="1465" s="333" customFormat="1"/>
    <row r="1466" s="333" customFormat="1"/>
    <row r="1467" s="333" customFormat="1"/>
    <row r="1468" s="333" customFormat="1"/>
    <row r="1469" s="333" customFormat="1"/>
    <row r="1470" s="333" customFormat="1"/>
    <row r="1471" s="333" customFormat="1"/>
    <row r="1472" s="333" customFormat="1"/>
    <row r="1473" s="333" customFormat="1"/>
    <row r="1474" s="333" customFormat="1"/>
    <row r="1475" s="333" customFormat="1"/>
    <row r="1476" s="333" customFormat="1"/>
    <row r="1477" s="333" customFormat="1"/>
    <row r="1478" s="333" customFormat="1"/>
    <row r="1479" s="333" customFormat="1"/>
    <row r="1480" s="333" customFormat="1"/>
    <row r="1481" s="333" customFormat="1"/>
    <row r="1482" s="333" customFormat="1"/>
    <row r="1483" s="333" customFormat="1"/>
    <row r="1484" s="333" customFormat="1"/>
    <row r="1485" s="333" customFormat="1"/>
    <row r="1486" s="333" customFormat="1"/>
    <row r="1487" s="333" customFormat="1"/>
    <row r="1488" s="333" customFormat="1"/>
    <row r="1489" s="333" customFormat="1"/>
    <row r="1490" s="333" customFormat="1"/>
    <row r="1491" s="333" customFormat="1"/>
    <row r="1492" s="333" customFormat="1"/>
    <row r="1493" s="333" customFormat="1"/>
    <row r="1494" s="333" customFormat="1"/>
    <row r="1495" s="333" customFormat="1"/>
    <row r="1496" s="333" customFormat="1"/>
    <row r="1497" s="333" customFormat="1"/>
    <row r="1498" s="333" customFormat="1"/>
    <row r="1499" s="333" customFormat="1"/>
    <row r="1500" s="333" customFormat="1"/>
    <row r="1501" s="333" customFormat="1"/>
    <row r="1502" s="333" customFormat="1"/>
    <row r="1503" s="333" customFormat="1"/>
    <row r="1504" s="333" customFormat="1"/>
    <row r="1505" s="333" customFormat="1"/>
    <row r="1506" s="333" customFormat="1"/>
    <row r="1507" s="333" customFormat="1"/>
    <row r="1508" s="333" customFormat="1"/>
    <row r="1509" s="333" customFormat="1"/>
    <row r="1510" s="333" customFormat="1"/>
    <row r="1511" s="333" customFormat="1"/>
    <row r="1512" s="333" customFormat="1"/>
    <row r="1513" s="333" customFormat="1"/>
    <row r="1514" s="333" customFormat="1"/>
    <row r="1515" s="333" customFormat="1"/>
    <row r="1516" s="333" customFormat="1"/>
    <row r="1517" s="333" customFormat="1"/>
    <row r="1518" s="333" customFormat="1"/>
    <row r="1519" s="333" customFormat="1"/>
    <row r="1520" s="333" customFormat="1"/>
    <row r="1521" s="333" customFormat="1"/>
    <row r="1522" s="333" customFormat="1"/>
    <row r="1523" s="333" customFormat="1"/>
    <row r="1524" s="333" customFormat="1"/>
    <row r="1525" s="333" customFormat="1"/>
    <row r="1526" s="333" customFormat="1"/>
    <row r="1527" s="333" customFormat="1"/>
    <row r="1528" s="333" customFormat="1"/>
    <row r="1529" s="333" customFormat="1"/>
    <row r="1530" s="333" customFormat="1"/>
    <row r="1531" s="333" customFormat="1"/>
    <row r="1532" s="333" customFormat="1"/>
    <row r="1533" s="333" customFormat="1"/>
    <row r="1534" s="333" customFormat="1"/>
    <row r="1535" s="333" customFormat="1"/>
    <row r="1536" s="333" customFormat="1"/>
    <row r="1537" s="333" customFormat="1"/>
    <row r="1538" s="333" customFormat="1"/>
    <row r="1539" s="333" customFormat="1"/>
    <row r="1540" s="333" customFormat="1"/>
    <row r="1541" s="333" customFormat="1"/>
    <row r="1542" s="333" customFormat="1"/>
    <row r="1543" s="333" customFormat="1"/>
    <row r="1544" s="333" customFormat="1"/>
    <row r="1545" s="333" customFormat="1"/>
    <row r="1546" s="333" customFormat="1"/>
    <row r="1547" s="333" customFormat="1"/>
    <row r="1548" s="333" customFormat="1"/>
    <row r="1549" s="333" customFormat="1"/>
    <row r="1550" s="333" customFormat="1"/>
    <row r="1551" s="333" customFormat="1"/>
    <row r="1552" s="333" customFormat="1"/>
    <row r="1553" s="333" customFormat="1"/>
    <row r="1554" s="333" customFormat="1"/>
    <row r="1555" s="333" customFormat="1"/>
    <row r="1556" s="333" customFormat="1"/>
    <row r="1557" s="333" customFormat="1"/>
    <row r="1558" s="333" customFormat="1"/>
    <row r="1559" s="333" customFormat="1"/>
    <row r="1560" s="333" customFormat="1"/>
    <row r="1561" s="333" customFormat="1"/>
    <row r="1562" s="333" customFormat="1"/>
    <row r="1563" s="333" customFormat="1"/>
    <row r="1564" s="333" customFormat="1"/>
    <row r="1565" s="333" customFormat="1"/>
    <row r="1566" s="333" customFormat="1"/>
    <row r="1567" s="333" customFormat="1"/>
    <row r="1568" s="333" customFormat="1"/>
    <row r="1569" s="333" customFormat="1"/>
    <row r="1570" s="333" customFormat="1"/>
    <row r="1571" s="333" customFormat="1"/>
    <row r="1572" s="333" customFormat="1"/>
    <row r="1573" s="333" customFormat="1"/>
    <row r="1574" s="333" customFormat="1"/>
    <row r="1575" s="333" customFormat="1"/>
    <row r="1576" s="333" customFormat="1"/>
    <row r="1577" s="333" customFormat="1"/>
    <row r="1578" s="333" customFormat="1"/>
    <row r="1579" s="333" customFormat="1"/>
    <row r="1580" s="333" customFormat="1"/>
    <row r="1581" s="333" customFormat="1"/>
    <row r="1582" s="333" customFormat="1"/>
    <row r="1583" s="333" customFormat="1"/>
    <row r="1584" s="333" customFormat="1"/>
    <row r="1585" s="333" customFormat="1"/>
    <row r="1586" s="333" customFormat="1"/>
    <row r="1587" s="333" customFormat="1"/>
    <row r="1588" s="333" customFormat="1"/>
    <row r="1589" s="333" customFormat="1"/>
    <row r="1590" s="333" customFormat="1"/>
    <row r="1591" s="333" customFormat="1"/>
    <row r="1592" s="333" customFormat="1"/>
    <row r="1593" s="333" customFormat="1"/>
    <row r="1594" s="333" customFormat="1"/>
    <row r="1595" s="333" customFormat="1"/>
    <row r="1596" s="333" customFormat="1"/>
    <row r="1597" s="333" customFormat="1"/>
    <row r="1598" s="333" customFormat="1"/>
    <row r="1599" s="333" customFormat="1"/>
    <row r="1600" s="333" customFormat="1"/>
    <row r="1601" s="333" customFormat="1"/>
    <row r="1602" s="333" customFormat="1"/>
    <row r="1603" s="333" customFormat="1"/>
    <row r="1604" s="333" customFormat="1"/>
    <row r="1605" s="333" customFormat="1"/>
    <row r="1606" s="333" customFormat="1"/>
    <row r="1607" s="333" customFormat="1"/>
    <row r="1608" s="333" customFormat="1"/>
    <row r="1609" s="333" customFormat="1"/>
    <row r="1610" s="333" customFormat="1"/>
    <row r="1611" s="333" customFormat="1"/>
    <row r="1612" s="333" customFormat="1"/>
    <row r="1613" s="333" customFormat="1"/>
    <row r="1614" s="333" customFormat="1"/>
    <row r="1615" s="333" customFormat="1"/>
    <row r="1616" s="333" customFormat="1"/>
    <row r="1617" s="333" customFormat="1"/>
    <row r="1618" s="333" customFormat="1"/>
    <row r="1619" s="333" customFormat="1"/>
    <row r="1620" s="333" customFormat="1"/>
    <row r="1621" s="333" customFormat="1"/>
    <row r="1622" s="333" customFormat="1"/>
    <row r="1623" s="333" customFormat="1"/>
    <row r="1624" s="333" customFormat="1"/>
    <row r="1625" s="333" customFormat="1"/>
    <row r="1626" s="333" customFormat="1"/>
    <row r="1627" s="333" customFormat="1"/>
    <row r="1628" s="333" customFormat="1"/>
    <row r="1629" s="333" customFormat="1"/>
    <row r="1630" s="333" customFormat="1"/>
    <row r="1631" s="333" customFormat="1"/>
    <row r="1632" s="333" customFormat="1"/>
    <row r="1633" s="333" customFormat="1"/>
    <row r="1634" s="333" customFormat="1"/>
    <row r="1635" s="333" customFormat="1"/>
    <row r="1636" s="333" customFormat="1"/>
    <row r="1637" s="333" customFormat="1"/>
    <row r="1638" s="333" customFormat="1"/>
    <row r="1639" s="333" customFormat="1"/>
    <row r="1640" s="333" customFormat="1"/>
    <row r="1641" s="333" customFormat="1"/>
    <row r="1642" s="333" customFormat="1"/>
    <row r="1643" s="333" customFormat="1"/>
    <row r="1644" s="333" customFormat="1"/>
    <row r="1645" s="333" customFormat="1"/>
    <row r="1646" s="333" customFormat="1"/>
    <row r="1647" s="333" customFormat="1"/>
    <row r="1648" s="333" customFormat="1"/>
    <row r="1649" s="333" customFormat="1"/>
    <row r="1650" s="333" customFormat="1"/>
    <row r="1651" s="333" customFormat="1"/>
    <row r="1652" s="333" customFormat="1"/>
    <row r="1653" s="333" customFormat="1"/>
    <row r="1654" s="333" customFormat="1"/>
    <row r="1655" s="333" customFormat="1"/>
    <row r="1656" s="333" customFormat="1"/>
    <row r="1657" s="333" customFormat="1"/>
    <row r="1658" s="333" customFormat="1"/>
    <row r="1659" s="333" customFormat="1"/>
    <row r="1660" s="333" customFormat="1"/>
    <row r="1661" s="333" customFormat="1"/>
    <row r="1662" s="333" customFormat="1"/>
    <row r="1663" s="333" customFormat="1"/>
    <row r="1664" s="333" customFormat="1"/>
    <row r="1665" s="333" customFormat="1"/>
    <row r="1666" s="333" customFormat="1"/>
    <row r="1667" s="333" customFormat="1"/>
    <row r="1668" s="333" customFormat="1"/>
    <row r="1669" s="333" customFormat="1"/>
    <row r="1670" s="333" customFormat="1"/>
    <row r="1671" s="333" customFormat="1"/>
    <row r="1672" s="333" customFormat="1"/>
    <row r="1673" s="333" customFormat="1"/>
    <row r="1674" s="333" customFormat="1"/>
    <row r="1675" s="333" customFormat="1"/>
    <row r="1676" s="333" customFormat="1"/>
    <row r="1677" s="333" customFormat="1"/>
    <row r="1678" s="333" customFormat="1"/>
    <row r="1679" s="333" customFormat="1"/>
    <row r="1680" s="333" customFormat="1"/>
    <row r="1681" s="333" customFormat="1"/>
    <row r="1682" s="333" customFormat="1"/>
    <row r="1683" s="333" customFormat="1"/>
    <row r="1684" s="333" customFormat="1"/>
    <row r="1685" s="333" customFormat="1"/>
    <row r="1686" s="333" customFormat="1"/>
    <row r="1687" s="333" customFormat="1"/>
    <row r="1688" s="333" customFormat="1"/>
    <row r="1689" s="333" customFormat="1"/>
    <row r="1690" s="333" customFormat="1"/>
    <row r="1691" s="333" customFormat="1"/>
    <row r="1692" s="333" customFormat="1"/>
    <row r="1693" s="333" customFormat="1"/>
    <row r="1694" s="333" customFormat="1"/>
    <row r="1695" s="333" customFormat="1"/>
    <row r="1696" s="333" customFormat="1"/>
    <row r="1697" s="333" customFormat="1"/>
    <row r="1698" s="333" customFormat="1"/>
    <row r="1699" s="333" customFormat="1"/>
    <row r="1700" s="333" customFormat="1"/>
    <row r="1701" s="333" customFormat="1"/>
    <row r="1702" s="333" customFormat="1"/>
    <row r="1703" s="333" customFormat="1"/>
    <row r="1704" s="333" customFormat="1"/>
    <row r="1705" s="333" customFormat="1"/>
    <row r="1706" s="333" customFormat="1"/>
    <row r="1707" s="333" customFormat="1"/>
    <row r="1708" s="333" customFormat="1"/>
    <row r="1709" s="333" customFormat="1"/>
    <row r="1710" s="333" customFormat="1"/>
    <row r="1711" s="333" customFormat="1"/>
    <row r="1712" s="333" customFormat="1"/>
    <row r="1713" s="333" customFormat="1"/>
    <row r="1714" s="333" customFormat="1"/>
    <row r="1715" s="333" customFormat="1"/>
    <row r="1716" s="333" customFormat="1"/>
    <row r="1717" s="333" customFormat="1"/>
    <row r="1718" s="333" customFormat="1"/>
    <row r="1719" s="333" customFormat="1"/>
    <row r="1720" s="333" customFormat="1"/>
    <row r="1721" s="333" customFormat="1"/>
    <row r="1722" s="333" customFormat="1"/>
    <row r="1723" s="333" customFormat="1"/>
    <row r="1724" s="333" customFormat="1"/>
    <row r="1725" s="333" customFormat="1"/>
    <row r="1726" s="333" customFormat="1"/>
    <row r="1727" s="333" customFormat="1"/>
    <row r="1728" s="333" customFormat="1"/>
    <row r="1729" s="333" customFormat="1"/>
    <row r="1730" s="333" customFormat="1"/>
    <row r="1731" s="333" customFormat="1"/>
    <row r="1732" s="333" customFormat="1"/>
    <row r="1733" s="333" customFormat="1"/>
    <row r="1734" s="333" customFormat="1"/>
    <row r="1735" s="333" customFormat="1"/>
    <row r="1736" s="333" customFormat="1"/>
    <row r="1737" s="333" customFormat="1"/>
    <row r="1738" s="333" customFormat="1"/>
    <row r="1739" s="333" customFormat="1"/>
    <row r="1740" s="333" customFormat="1"/>
    <row r="1741" s="333" customFormat="1"/>
    <row r="1742" s="333" customFormat="1"/>
    <row r="1743" s="333" customFormat="1"/>
    <row r="1744" s="333" customFormat="1"/>
    <row r="1745" s="333" customFormat="1"/>
    <row r="1746" s="333" customFormat="1"/>
    <row r="1747" s="333" customFormat="1"/>
    <row r="1748" s="333" customFormat="1"/>
    <row r="1749" s="333" customFormat="1"/>
    <row r="1750" s="333" customFormat="1"/>
    <row r="1751" s="333" customFormat="1"/>
    <row r="1752" s="333" customFormat="1"/>
    <row r="1753" s="333" customFormat="1"/>
    <row r="1754" s="333" customFormat="1"/>
    <row r="1755" s="333" customFormat="1"/>
    <row r="1756" s="333" customFormat="1"/>
    <row r="1757" s="333" customFormat="1"/>
    <row r="1758" s="333" customFormat="1"/>
    <row r="1759" s="333" customFormat="1"/>
    <row r="1760" s="333" customFormat="1"/>
    <row r="1761" s="333" customFormat="1"/>
    <row r="1762" s="333" customFormat="1"/>
    <row r="1763" s="333" customFormat="1"/>
    <row r="1764" s="333" customFormat="1"/>
    <row r="1765" s="333" customFormat="1"/>
    <row r="1766" s="333" customFormat="1"/>
    <row r="1767" s="333" customFormat="1"/>
    <row r="1768" s="333" customFormat="1"/>
    <row r="1769" s="333" customFormat="1"/>
    <row r="1770" s="333" customFormat="1"/>
    <row r="1771" s="333" customFormat="1"/>
    <row r="1772" s="333" customFormat="1"/>
    <row r="1773" s="333" customFormat="1"/>
    <row r="1774" s="333" customFormat="1"/>
    <row r="1775" s="333" customFormat="1"/>
    <row r="1776" s="333" customFormat="1"/>
    <row r="1777" s="333" customFormat="1"/>
    <row r="1778" s="333" customFormat="1"/>
    <row r="1779" s="333" customFormat="1"/>
    <row r="1780" s="333" customFormat="1"/>
    <row r="1781" s="333" customFormat="1"/>
    <row r="1782" s="333" customFormat="1"/>
    <row r="1783" s="333" customFormat="1"/>
    <row r="1784" s="333" customFormat="1"/>
    <row r="1785" s="333" customFormat="1"/>
    <row r="1786" s="333" customFormat="1"/>
    <row r="1787" s="333" customFormat="1"/>
    <row r="1788" s="333" customFormat="1"/>
    <row r="1789" s="333" customFormat="1"/>
    <row r="1790" s="333" customFormat="1"/>
    <row r="1791" s="333" customFormat="1"/>
    <row r="1792" s="333" customFormat="1"/>
    <row r="1793" s="333" customFormat="1"/>
    <row r="1794" s="333" customFormat="1"/>
    <row r="1795" s="333" customFormat="1"/>
    <row r="1796" s="333" customFormat="1"/>
    <row r="1797" s="333" customFormat="1"/>
    <row r="1798" s="333" customFormat="1"/>
    <row r="1799" s="333" customFormat="1"/>
    <row r="1800" s="333" customFormat="1"/>
    <row r="1801" s="333" customFormat="1"/>
    <row r="1802" s="333" customFormat="1"/>
    <row r="1803" s="333" customFormat="1"/>
    <row r="1804" s="333" customFormat="1"/>
    <row r="1805" s="333" customFormat="1"/>
    <row r="1806" s="333" customFormat="1"/>
    <row r="1807" s="333" customFormat="1"/>
    <row r="1808" s="333" customFormat="1"/>
    <row r="1809" s="333" customFormat="1"/>
    <row r="1810" s="333" customFormat="1"/>
    <row r="1811" s="333" customFormat="1"/>
    <row r="1812" s="333" customFormat="1"/>
    <row r="1813" s="333" customFormat="1"/>
    <row r="1814" s="333" customFormat="1"/>
    <row r="1815" s="333" customFormat="1"/>
    <row r="1816" s="333" customFormat="1"/>
    <row r="1817" s="333" customFormat="1"/>
    <row r="1818" s="333" customFormat="1"/>
    <row r="1819" s="333" customFormat="1"/>
    <row r="1820" s="333" customFormat="1"/>
    <row r="1821" s="333" customFormat="1"/>
    <row r="1822" s="333" customFormat="1"/>
    <row r="1823" s="333" customFormat="1"/>
    <row r="1824" s="333" customFormat="1"/>
    <row r="1825" s="333" customFormat="1"/>
    <row r="1826" s="333" customFormat="1"/>
    <row r="1827" s="333" customFormat="1"/>
    <row r="1828" s="333" customFormat="1"/>
    <row r="1829" s="333" customFormat="1"/>
    <row r="1830" s="333" customFormat="1"/>
    <row r="1831" s="333" customFormat="1"/>
    <row r="1832" s="333" customFormat="1"/>
    <row r="1833" s="333" customFormat="1"/>
    <row r="1834" s="333" customFormat="1"/>
    <row r="1835" s="333" customFormat="1"/>
    <row r="1836" s="333" customFormat="1"/>
    <row r="1837" s="333" customFormat="1"/>
    <row r="1838" s="333" customFormat="1"/>
    <row r="1839" s="333" customFormat="1"/>
    <row r="1840" s="333" customFormat="1"/>
    <row r="1841" s="333" customFormat="1"/>
    <row r="1842" s="333" customFormat="1"/>
    <row r="1843" s="333" customFormat="1"/>
    <row r="1844" s="333" customFormat="1"/>
    <row r="1845" s="333" customFormat="1"/>
    <row r="1846" s="333" customFormat="1"/>
    <row r="1847" s="333" customFormat="1"/>
    <row r="1848" s="333" customFormat="1"/>
    <row r="1849" s="333" customFormat="1"/>
    <row r="1850" s="333" customFormat="1"/>
    <row r="1851" s="333" customFormat="1"/>
    <row r="1852" s="333" customFormat="1"/>
    <row r="1853" s="333" customFormat="1"/>
    <row r="1854" s="333" customFormat="1"/>
    <row r="1855" s="333" customFormat="1"/>
    <row r="1856" s="333" customFormat="1"/>
    <row r="1857" s="333" customFormat="1"/>
    <row r="1858" s="333" customFormat="1"/>
    <row r="1859" s="333" customFormat="1"/>
    <row r="1860" s="333" customFormat="1"/>
    <row r="1861" s="333" customFormat="1"/>
    <row r="1862" s="333" customFormat="1"/>
    <row r="1863" s="333" customFormat="1"/>
    <row r="1864" s="333" customFormat="1"/>
    <row r="1865" s="333" customFormat="1"/>
    <row r="1866" s="333" customFormat="1"/>
    <row r="1867" s="333" customFormat="1"/>
    <row r="1868" s="333" customFormat="1"/>
    <row r="1869" s="333" customFormat="1"/>
    <row r="1870" s="333" customFormat="1"/>
    <row r="1871" s="333" customFormat="1"/>
    <row r="1872" s="333" customFormat="1"/>
    <row r="1873" s="333" customFormat="1"/>
    <row r="1874" s="333" customFormat="1"/>
    <row r="1875" s="333" customFormat="1"/>
    <row r="1876" s="333" customFormat="1"/>
    <row r="1877" s="333" customFormat="1"/>
    <row r="1878" s="333" customFormat="1"/>
    <row r="1879" s="333" customFormat="1"/>
    <row r="1880" s="333" customFormat="1"/>
    <row r="1881" s="333" customFormat="1"/>
    <row r="1882" s="333" customFormat="1"/>
    <row r="1883" s="333" customFormat="1"/>
    <row r="1884" s="333" customFormat="1"/>
    <row r="1885" s="333" customFormat="1"/>
    <row r="1886" s="333" customFormat="1"/>
    <row r="1887" s="333" customFormat="1"/>
    <row r="1888" s="333" customFormat="1"/>
    <row r="1889" s="333" customFormat="1"/>
    <row r="1890" s="333" customFormat="1"/>
    <row r="1891" s="333" customFormat="1"/>
    <row r="1892" s="333" customFormat="1"/>
    <row r="1893" s="333" customFormat="1"/>
    <row r="1894" s="333" customFormat="1"/>
    <row r="1895" s="333" customFormat="1"/>
    <row r="1896" s="333" customFormat="1"/>
    <row r="1897" s="333" customFormat="1"/>
    <row r="1898" s="333" customFormat="1"/>
    <row r="1899" s="333" customFormat="1"/>
    <row r="1900" s="333" customFormat="1"/>
    <row r="1901" s="333" customFormat="1"/>
    <row r="1902" s="333" customFormat="1"/>
    <row r="1903" s="333" customFormat="1"/>
    <row r="1904" s="333" customFormat="1"/>
    <row r="1905" s="333" customFormat="1"/>
    <row r="1906" s="333" customFormat="1"/>
    <row r="1907" s="333" customFormat="1"/>
    <row r="1908" s="333" customFormat="1"/>
    <row r="1909" s="333" customFormat="1"/>
    <row r="1910" s="333" customFormat="1"/>
    <row r="1911" s="333" customFormat="1"/>
    <row r="1912" s="333" customFormat="1"/>
    <row r="1913" s="333" customFormat="1"/>
    <row r="1914" s="333" customFormat="1"/>
    <row r="1915" s="333" customFormat="1"/>
    <row r="1916" s="333" customFormat="1"/>
    <row r="1917" s="333" customFormat="1"/>
    <row r="1918" s="333" customFormat="1"/>
    <row r="1919" s="333" customFormat="1"/>
    <row r="1920" s="333" customFormat="1"/>
    <row r="1921" s="333" customFormat="1"/>
    <row r="1922" s="333" customFormat="1"/>
    <row r="1923" s="333" customFormat="1"/>
    <row r="1924" s="333" customFormat="1"/>
    <row r="1925" s="333" customFormat="1"/>
    <row r="1926" s="333" customFormat="1"/>
    <row r="1927" s="333" customFormat="1"/>
    <row r="1928" s="333" customFormat="1"/>
    <row r="1929" s="333" customFormat="1"/>
    <row r="1930" s="333" customFormat="1"/>
    <row r="1931" s="333" customFormat="1"/>
    <row r="1932" s="333" customFormat="1"/>
    <row r="1933" s="333" customFormat="1"/>
    <row r="1934" s="333" customFormat="1"/>
    <row r="1935" s="333" customFormat="1"/>
    <row r="1936" s="333" customFormat="1"/>
    <row r="1937" s="333" customFormat="1"/>
    <row r="1938" s="333" customFormat="1"/>
    <row r="1939" s="333" customFormat="1"/>
    <row r="1940" s="333" customFormat="1"/>
    <row r="1941" s="333" customFormat="1"/>
    <row r="1942" s="333" customFormat="1"/>
    <row r="1943" s="333" customFormat="1"/>
    <row r="1944" s="333" customFormat="1"/>
    <row r="1945" s="333" customFormat="1"/>
    <row r="1946" s="333" customFormat="1"/>
    <row r="1947" s="333" customFormat="1"/>
    <row r="1948" s="333" customFormat="1"/>
    <row r="1949" s="333" customFormat="1"/>
    <row r="1950" s="333" customFormat="1"/>
    <row r="1951" s="333" customFormat="1"/>
    <row r="1952" s="333" customFormat="1"/>
    <row r="1953" s="333" customFormat="1"/>
    <row r="1954" s="333" customFormat="1"/>
    <row r="1955" s="333" customFormat="1"/>
    <row r="1956" s="333" customFormat="1"/>
    <row r="1957" s="333" customFormat="1"/>
    <row r="1958" s="333" customFormat="1"/>
    <row r="1959" s="333" customFormat="1"/>
    <row r="1960" s="333" customFormat="1"/>
    <row r="1961" s="333" customFormat="1"/>
    <row r="1962" s="333" customFormat="1"/>
    <row r="1963" s="333" customFormat="1"/>
    <row r="1964" s="333" customFormat="1"/>
    <row r="1965" s="333" customFormat="1"/>
    <row r="1966" s="333" customFormat="1"/>
    <row r="1967" s="333" customFormat="1"/>
    <row r="1968" s="333" customFormat="1"/>
    <row r="1969" s="333" customFormat="1"/>
    <row r="1970" s="333" customFormat="1"/>
    <row r="1971" s="333" customFormat="1"/>
    <row r="1972" s="333" customFormat="1"/>
    <row r="1973" s="333" customFormat="1"/>
    <row r="1974" s="333" customFormat="1"/>
    <row r="1975" s="333" customFormat="1"/>
    <row r="1976" s="333" customFormat="1"/>
    <row r="1977" s="333" customFormat="1"/>
    <row r="1978" s="333" customFormat="1"/>
    <row r="1979" s="333" customFormat="1"/>
    <row r="1980" s="333" customFormat="1"/>
    <row r="1981" s="333" customFormat="1"/>
    <row r="1982" s="333" customFormat="1"/>
    <row r="1983" s="333" customFormat="1"/>
    <row r="1984" s="333" customFormat="1"/>
    <row r="1985" s="333" customFormat="1"/>
    <row r="1986" s="333" customFormat="1"/>
    <row r="1987" s="333" customFormat="1"/>
    <row r="1988" s="333" customFormat="1"/>
    <row r="1989" s="333" customFormat="1"/>
    <row r="1990" s="333" customFormat="1"/>
    <row r="1991" s="333" customFormat="1"/>
    <row r="1992" s="333" customFormat="1"/>
    <row r="1993" s="333" customFormat="1"/>
    <row r="1994" s="333" customFormat="1"/>
    <row r="1995" s="333" customFormat="1"/>
    <row r="1996" s="333" customFormat="1"/>
    <row r="1997" s="333" customFormat="1"/>
    <row r="1998" s="333" customFormat="1"/>
    <row r="1999" s="333" customFormat="1"/>
    <row r="2000" s="333" customFormat="1"/>
    <row r="2001" s="333" customFormat="1"/>
    <row r="2002" s="333" customFormat="1"/>
    <row r="2003" s="333" customFormat="1"/>
    <row r="2004" s="333" customFormat="1"/>
    <row r="2005" s="333" customFormat="1"/>
    <row r="2006" s="333" customFormat="1"/>
    <row r="2007" s="333" customFormat="1"/>
    <row r="2008" s="333" customFormat="1"/>
    <row r="2009" s="333" customFormat="1"/>
    <row r="2010" s="333" customFormat="1"/>
    <row r="2011" s="333" customFormat="1"/>
    <row r="2012" s="333" customFormat="1"/>
    <row r="2013" s="333" customFormat="1"/>
    <row r="2014" s="333" customFormat="1"/>
    <row r="2015" s="333" customFormat="1"/>
    <row r="2016" s="333" customFormat="1"/>
    <row r="2017" s="333" customFormat="1"/>
    <row r="2018" s="333" customFormat="1"/>
    <row r="2019" s="333" customFormat="1"/>
    <row r="2020" s="333" customFormat="1"/>
    <row r="2021" s="333" customFormat="1"/>
    <row r="2022" s="333" customFormat="1"/>
    <row r="2023" s="333" customFormat="1"/>
    <row r="2024" s="333" customFormat="1"/>
    <row r="2025" s="333" customFormat="1"/>
    <row r="2026" s="333" customFormat="1"/>
    <row r="2027" s="333" customFormat="1"/>
    <row r="2028" s="333" customFormat="1"/>
    <row r="2029" s="333" customFormat="1"/>
    <row r="2030" s="333" customFormat="1"/>
    <row r="2031" s="333" customFormat="1"/>
    <row r="2032" s="333" customFormat="1"/>
    <row r="2033" s="333" customFormat="1"/>
    <row r="2034" s="333" customFormat="1"/>
    <row r="2035" s="333" customFormat="1"/>
    <row r="2036" s="333" customFormat="1"/>
    <row r="2037" s="333" customFormat="1"/>
    <row r="2038" s="333" customFormat="1"/>
    <row r="2039" s="333" customFormat="1"/>
    <row r="2040" s="333" customFormat="1"/>
    <row r="2041" s="333" customFormat="1"/>
    <row r="2042" s="333" customFormat="1"/>
    <row r="2043" s="333" customFormat="1"/>
    <row r="2044" s="333" customFormat="1"/>
    <row r="2045" s="333" customFormat="1"/>
    <row r="2046" s="333" customFormat="1"/>
    <row r="2047" s="333" customFormat="1"/>
    <row r="2048" s="333" customFormat="1"/>
    <row r="2049" s="333" customFormat="1"/>
    <row r="2050" s="333" customFormat="1"/>
    <row r="2051" s="333" customFormat="1"/>
    <row r="2052" s="333" customFormat="1"/>
    <row r="2053" s="333" customFormat="1"/>
    <row r="2054" s="333" customFormat="1"/>
    <row r="2055" s="333" customFormat="1"/>
    <row r="2056" s="333" customFormat="1"/>
    <row r="2057" s="333" customFormat="1"/>
    <row r="2058" s="333" customFormat="1"/>
    <row r="2059" s="333" customFormat="1"/>
    <row r="2060" s="333" customFormat="1"/>
    <row r="2061" s="333" customFormat="1"/>
    <row r="2062" s="333" customFormat="1"/>
    <row r="2063" s="333" customFormat="1"/>
    <row r="2064" s="333" customFormat="1"/>
    <row r="2065" s="333" customFormat="1"/>
    <row r="2066" s="333" customFormat="1"/>
    <row r="2067" s="333" customFormat="1"/>
    <row r="2068" s="333" customFormat="1"/>
    <row r="2069" s="333" customFormat="1"/>
    <row r="2070" s="333" customFormat="1"/>
    <row r="2071" s="333" customFormat="1"/>
    <row r="2072" s="333" customFormat="1"/>
    <row r="2073" s="333" customFormat="1"/>
    <row r="2074" s="333" customFormat="1"/>
    <row r="2075" s="333" customFormat="1"/>
    <row r="2076" s="333" customFormat="1"/>
    <row r="2077" s="333" customFormat="1"/>
    <row r="2078" s="333" customFormat="1"/>
    <row r="2079" s="333" customFormat="1"/>
    <row r="2080" s="333" customFormat="1"/>
    <row r="2081" s="333" customFormat="1"/>
    <row r="2082" s="333" customFormat="1"/>
    <row r="2083" s="333" customFormat="1"/>
    <row r="2084" s="333" customFormat="1"/>
    <row r="2085" s="333" customFormat="1"/>
    <row r="2086" s="333" customFormat="1"/>
    <row r="2087" s="333" customFormat="1"/>
    <row r="2088" s="333" customFormat="1"/>
    <row r="2089" s="333" customFormat="1"/>
    <row r="2090" s="333" customFormat="1"/>
    <row r="2091" s="333" customFormat="1"/>
    <row r="2092" s="333" customFormat="1"/>
    <row r="2093" s="333" customFormat="1"/>
    <row r="2094" s="333" customFormat="1"/>
    <row r="2095" s="333" customFormat="1"/>
    <row r="2096" s="333" customFormat="1"/>
    <row r="2097" s="333" customFormat="1"/>
    <row r="2098" s="333" customFormat="1"/>
    <row r="2099" s="333" customFormat="1"/>
    <row r="2100" s="333" customFormat="1"/>
    <row r="2101" s="333" customFormat="1"/>
    <row r="2102" s="333" customFormat="1"/>
    <row r="2103" s="333" customFormat="1"/>
    <row r="2104" s="333" customFormat="1"/>
    <row r="2105" s="333" customFormat="1"/>
    <row r="2106" s="333" customFormat="1"/>
    <row r="2107" s="333" customFormat="1"/>
    <row r="2108" s="333" customFormat="1"/>
    <row r="2109" s="333" customFormat="1"/>
    <row r="2110" s="333" customFormat="1"/>
    <row r="2111" s="333" customFormat="1"/>
    <row r="2112" s="333" customFormat="1"/>
    <row r="2113" s="333" customFormat="1"/>
    <row r="2114" s="333" customFormat="1"/>
    <row r="2115" s="333" customFormat="1"/>
    <row r="2116" s="333" customFormat="1"/>
    <row r="2117" s="333" customFormat="1"/>
    <row r="2118" s="333" customFormat="1"/>
    <row r="2119" s="333" customFormat="1"/>
    <row r="2120" s="333" customFormat="1"/>
    <row r="2121" s="333" customFormat="1"/>
    <row r="2122" s="333" customFormat="1"/>
    <row r="2123" s="333" customFormat="1"/>
    <row r="2124" s="333" customFormat="1"/>
    <row r="2125" s="333" customFormat="1"/>
    <row r="2126" s="333" customFormat="1"/>
    <row r="2127" s="333" customFormat="1"/>
    <row r="2128" s="333" customFormat="1"/>
    <row r="2129" s="333" customFormat="1"/>
    <row r="2130" s="333" customFormat="1"/>
    <row r="2131" s="333" customFormat="1"/>
    <row r="2132" s="333" customFormat="1"/>
    <row r="2133" s="333" customFormat="1"/>
    <row r="2134" s="333" customFormat="1"/>
    <row r="2135" s="333" customFormat="1"/>
    <row r="2136" s="333" customFormat="1"/>
    <row r="2137" s="333" customFormat="1"/>
    <row r="2138" s="333" customFormat="1"/>
    <row r="2139" s="333" customFormat="1"/>
    <row r="2140" s="333" customFormat="1"/>
    <row r="2141" s="333" customFormat="1"/>
    <row r="2142" s="333" customFormat="1"/>
    <row r="2143" s="333" customFormat="1"/>
    <row r="2144" s="333" customFormat="1"/>
    <row r="2145" s="333" customFormat="1"/>
    <row r="2146" s="333" customFormat="1"/>
    <row r="2147" s="333" customFormat="1"/>
    <row r="2148" s="333" customFormat="1"/>
    <row r="2149" s="333" customFormat="1"/>
    <row r="2150" s="333" customFormat="1"/>
    <row r="2151" s="333" customFormat="1"/>
    <row r="2152" s="333" customFormat="1"/>
    <row r="2153" s="333" customFormat="1"/>
    <row r="2154" s="333" customFormat="1"/>
    <row r="2155" s="333" customFormat="1"/>
    <row r="2156" s="333" customFormat="1"/>
    <row r="2157" s="333" customFormat="1"/>
    <row r="2158" s="333" customFormat="1"/>
    <row r="2159" s="333" customFormat="1"/>
    <row r="2160" s="333" customFormat="1"/>
    <row r="2161" s="333" customFormat="1"/>
    <row r="2162" s="333" customFormat="1"/>
    <row r="2163" s="333" customFormat="1"/>
    <row r="2164" s="333" customFormat="1"/>
    <row r="2165" s="333" customFormat="1"/>
    <row r="2166" s="333" customFormat="1"/>
    <row r="2167" s="333" customFormat="1"/>
    <row r="2168" s="333" customFormat="1"/>
    <row r="2169" s="333" customFormat="1"/>
    <row r="2170" s="333" customFormat="1"/>
    <row r="2171" s="333" customFormat="1"/>
    <row r="2172" s="333" customFormat="1"/>
    <row r="2173" s="333" customFormat="1"/>
    <row r="2174" s="333" customFormat="1"/>
    <row r="2175" s="333" customFormat="1"/>
    <row r="2176" s="333" customFormat="1"/>
    <row r="2177" s="333" customFormat="1"/>
    <row r="2178" s="333" customFormat="1"/>
    <row r="2179" s="333" customFormat="1"/>
    <row r="2180" s="333" customFormat="1"/>
    <row r="2181" s="333" customFormat="1"/>
    <row r="2182" s="333" customFormat="1"/>
    <row r="2183" s="333" customFormat="1"/>
    <row r="2184" s="333" customFormat="1"/>
    <row r="2185" s="333" customFormat="1"/>
    <row r="2186" s="333" customFormat="1"/>
    <row r="2187" s="333" customFormat="1"/>
    <row r="2188" s="333" customFormat="1"/>
    <row r="2189" s="333" customFormat="1"/>
    <row r="2190" s="333" customFormat="1"/>
    <row r="2191" s="333" customFormat="1"/>
    <row r="2192" s="333" customFormat="1"/>
    <row r="2193" s="333" customFormat="1"/>
    <row r="2194" s="333" customFormat="1"/>
    <row r="2195" s="333" customFormat="1"/>
    <row r="2196" s="333" customFormat="1"/>
    <row r="2197" s="333" customFormat="1"/>
    <row r="2198" s="333" customFormat="1"/>
    <row r="2199" s="333" customFormat="1"/>
    <row r="2200" s="333" customFormat="1"/>
    <row r="2201" s="333" customFormat="1"/>
    <row r="2202" s="333" customFormat="1"/>
    <row r="2203" s="333" customFormat="1"/>
    <row r="2204" s="333" customFormat="1"/>
    <row r="2205" s="333" customFormat="1"/>
    <row r="2206" s="333" customFormat="1"/>
    <row r="2207" s="333" customFormat="1"/>
    <row r="2208" s="333" customFormat="1"/>
    <row r="2209" s="333" customFormat="1"/>
    <row r="2210" s="333" customFormat="1"/>
    <row r="2211" s="333" customFormat="1"/>
    <row r="2212" s="333" customFormat="1"/>
    <row r="2213" s="333" customFormat="1"/>
    <row r="2214" s="333" customFormat="1"/>
    <row r="2215" s="333" customFormat="1"/>
    <row r="2216" s="333" customFormat="1"/>
    <row r="2217" s="333" customFormat="1"/>
    <row r="2218" s="333" customFormat="1"/>
    <row r="2219" s="333" customFormat="1"/>
    <row r="2220" s="333" customFormat="1"/>
    <row r="2221" s="333" customFormat="1"/>
    <row r="2222" s="333" customFormat="1"/>
    <row r="2223" s="333" customFormat="1"/>
    <row r="2224" s="333" customFormat="1"/>
    <row r="2225" s="333" customFormat="1"/>
    <row r="2226" s="333" customFormat="1"/>
    <row r="2227" s="333" customFormat="1"/>
    <row r="2228" s="333" customFormat="1"/>
    <row r="2229" s="333" customFormat="1"/>
    <row r="2230" s="333" customFormat="1"/>
    <row r="2231" s="333" customFormat="1"/>
    <row r="2232" s="333" customFormat="1"/>
    <row r="2233" s="333" customFormat="1"/>
    <row r="2234" s="333" customFormat="1"/>
    <row r="2235" s="333" customFormat="1"/>
    <row r="2236" s="333" customFormat="1"/>
    <row r="2237" s="333" customFormat="1"/>
    <row r="2238" s="333" customFormat="1"/>
    <row r="2239" s="333" customFormat="1"/>
    <row r="2240" s="333" customFormat="1"/>
    <row r="2241" s="333" customFormat="1"/>
    <row r="2242" s="333" customFormat="1"/>
    <row r="2243" s="333" customFormat="1"/>
    <row r="2244" s="333" customFormat="1"/>
    <row r="2245" s="333" customFormat="1"/>
    <row r="2246" s="333" customFormat="1"/>
    <row r="2247" s="333" customFormat="1"/>
    <row r="2248" s="333" customFormat="1"/>
    <row r="2249" s="333" customFormat="1"/>
    <row r="2250" s="333" customFormat="1"/>
    <row r="2251" s="333" customFormat="1"/>
    <row r="2252" s="333" customFormat="1"/>
    <row r="2253" s="333" customFormat="1"/>
    <row r="2254" s="333" customFormat="1"/>
    <row r="2255" s="333" customFormat="1"/>
    <row r="2256" s="333" customFormat="1"/>
    <row r="2257" s="333" customFormat="1"/>
    <row r="2258" s="333" customFormat="1"/>
    <row r="2259" s="333" customFormat="1"/>
    <row r="2260" s="333" customFormat="1"/>
    <row r="2261" s="333" customFormat="1"/>
    <row r="2262" s="333" customFormat="1"/>
    <row r="2263" s="333" customFormat="1"/>
    <row r="2264" s="333" customFormat="1"/>
    <row r="2265" s="333" customFormat="1"/>
    <row r="2266" s="333" customFormat="1"/>
    <row r="2267" s="333" customFormat="1"/>
    <row r="2268" s="333" customFormat="1"/>
    <row r="2269" s="333" customFormat="1"/>
    <row r="2270" s="333" customFormat="1"/>
    <row r="2271" s="333" customFormat="1"/>
    <row r="2272" s="333" customFormat="1"/>
    <row r="2273" s="333" customFormat="1"/>
    <row r="2274" s="333" customFormat="1"/>
    <row r="2275" s="333" customFormat="1"/>
    <row r="2276" s="333" customFormat="1"/>
    <row r="2277" s="333" customFormat="1"/>
    <row r="2278" s="333" customFormat="1"/>
    <row r="2279" s="333" customFormat="1"/>
    <row r="2280" s="333" customFormat="1"/>
    <row r="2281" s="333" customFormat="1"/>
    <row r="2282" s="333" customFormat="1"/>
    <row r="2283" s="333" customFormat="1"/>
    <row r="2284" s="333" customFormat="1"/>
    <row r="2285" s="333" customFormat="1"/>
    <row r="2286" s="333" customFormat="1"/>
    <row r="2287" s="333" customFormat="1"/>
    <row r="2288" s="333" customFormat="1"/>
    <row r="2289" s="333" customFormat="1"/>
    <row r="2290" s="333" customFormat="1"/>
    <row r="2291" s="333" customFormat="1"/>
    <row r="2292" s="333" customFormat="1"/>
    <row r="2293" s="333" customFormat="1"/>
    <row r="2294" s="333" customFormat="1"/>
    <row r="2295" s="333" customFormat="1"/>
    <row r="2296" s="333" customFormat="1"/>
    <row r="2297" s="333" customFormat="1"/>
    <row r="2298" s="333" customFormat="1"/>
    <row r="2299" s="333" customFormat="1"/>
    <row r="2300" s="333" customFormat="1"/>
    <row r="2301" s="333" customFormat="1"/>
    <row r="2302" s="333" customFormat="1"/>
    <row r="2303" s="333" customFormat="1"/>
    <row r="2304" s="333" customFormat="1"/>
    <row r="2305" s="333" customFormat="1"/>
    <row r="2306" s="333" customFormat="1"/>
    <row r="2307" s="333" customFormat="1"/>
    <row r="2308" s="333" customFormat="1"/>
    <row r="2309" s="333" customFormat="1"/>
    <row r="2310" s="333" customFormat="1"/>
    <row r="2311" s="333" customFormat="1"/>
    <row r="2312" s="333" customFormat="1"/>
    <row r="2313" s="333" customFormat="1"/>
    <row r="2314" s="333" customFormat="1"/>
    <row r="2315" s="333" customFormat="1"/>
    <row r="2316" s="333" customFormat="1"/>
    <row r="2317" s="333" customFormat="1"/>
    <row r="2318" s="333" customFormat="1"/>
    <row r="2319" s="333" customFormat="1"/>
    <row r="2320" s="333" customFormat="1"/>
    <row r="2321" s="333" customFormat="1"/>
    <row r="2322" s="333" customFormat="1"/>
    <row r="2323" s="333" customFormat="1"/>
    <row r="2324" s="333" customFormat="1"/>
    <row r="2325" s="333" customFormat="1"/>
    <row r="2326" s="333" customFormat="1"/>
    <row r="2327" s="333" customFormat="1"/>
    <row r="2328" s="333" customFormat="1"/>
    <row r="2329" s="333" customFormat="1"/>
    <row r="2330" s="333" customFormat="1"/>
    <row r="2331" s="333" customFormat="1"/>
    <row r="2332" s="333" customFormat="1"/>
    <row r="2333" s="333" customFormat="1"/>
    <row r="2334" s="333" customFormat="1"/>
    <row r="2335" s="333" customFormat="1"/>
    <row r="2336" s="333" customFormat="1"/>
    <row r="2337" s="333" customFormat="1"/>
    <row r="2338" s="333" customFormat="1"/>
    <row r="2339" s="333" customFormat="1"/>
    <row r="2340" s="333" customFormat="1"/>
    <row r="2341" s="333" customFormat="1"/>
    <row r="2342" s="333" customFormat="1"/>
    <row r="2343" s="333" customFormat="1"/>
    <row r="2344" s="333" customFormat="1"/>
    <row r="2345" s="333" customFormat="1"/>
    <row r="2346" s="333" customFormat="1"/>
    <row r="2347" s="333" customFormat="1"/>
    <row r="2348" s="333" customFormat="1"/>
    <row r="2349" s="333" customFormat="1"/>
    <row r="2350" s="333" customFormat="1"/>
    <row r="2351" s="333" customFormat="1"/>
    <row r="2352" s="333" customFormat="1"/>
    <row r="2353" s="333" customFormat="1"/>
    <row r="2354" s="333" customFormat="1"/>
    <row r="2355" s="333" customFormat="1"/>
    <row r="2356" s="333" customFormat="1"/>
    <row r="2357" s="333" customFormat="1"/>
    <row r="2358" s="333" customFormat="1"/>
    <row r="2359" s="333" customFormat="1"/>
    <row r="2360" s="333" customFormat="1"/>
    <row r="2361" s="333" customFormat="1"/>
    <row r="2362" s="333" customFormat="1"/>
    <row r="2363" s="333" customFormat="1"/>
    <row r="2364" s="333" customFormat="1"/>
    <row r="2365" s="333" customFormat="1"/>
    <row r="2366" s="333" customFormat="1"/>
    <row r="2367" s="333" customFormat="1"/>
    <row r="2368" s="333" customFormat="1"/>
    <row r="2369" s="333" customFormat="1"/>
    <row r="2370" s="333" customFormat="1"/>
    <row r="2371" s="333" customFormat="1"/>
    <row r="2372" s="333" customFormat="1"/>
    <row r="2373" s="333" customFormat="1"/>
    <row r="2374" s="333" customFormat="1"/>
    <row r="2375" s="333" customFormat="1"/>
    <row r="2376" s="333" customFormat="1"/>
    <row r="2377" s="333" customFormat="1"/>
    <row r="2378" s="333" customFormat="1"/>
    <row r="2379" s="333" customFormat="1"/>
    <row r="2380" s="333" customFormat="1"/>
    <row r="2381" s="333" customFormat="1"/>
    <row r="2382" s="333" customFormat="1"/>
    <row r="2383" s="333" customFormat="1"/>
    <row r="2384" s="333" customFormat="1"/>
    <row r="2385" s="333" customFormat="1"/>
    <row r="2386" s="333" customFormat="1"/>
    <row r="2387" s="333" customFormat="1"/>
    <row r="2388" s="333" customFormat="1"/>
    <row r="2389" s="333" customFormat="1"/>
    <row r="2390" s="333" customFormat="1"/>
    <row r="2391" s="333" customFormat="1"/>
    <row r="2392" s="333" customFormat="1"/>
    <row r="2393" s="333" customFormat="1"/>
    <row r="2394" s="333" customFormat="1"/>
    <row r="2395" s="333" customFormat="1"/>
    <row r="2396" s="333" customFormat="1"/>
    <row r="2397" s="333" customFormat="1"/>
    <row r="2398" s="333" customFormat="1"/>
    <row r="2399" s="333" customFormat="1"/>
    <row r="2400" s="333" customFormat="1"/>
    <row r="2401" s="333" customFormat="1"/>
    <row r="2402" s="333" customFormat="1"/>
    <row r="2403" s="333" customFormat="1"/>
    <row r="2404" s="333" customFormat="1"/>
    <row r="2405" s="333" customFormat="1"/>
    <row r="2406" s="333" customFormat="1"/>
    <row r="2407" s="333" customFormat="1"/>
    <row r="2408" s="333" customFormat="1"/>
    <row r="2409" s="333" customFormat="1"/>
    <row r="2410" s="333" customFormat="1"/>
    <row r="2411" s="333" customFormat="1"/>
    <row r="2412" s="333" customFormat="1"/>
    <row r="2413" s="333" customFormat="1"/>
    <row r="2414" s="333" customFormat="1"/>
    <row r="2415" s="333" customFormat="1"/>
    <row r="2416" s="333" customFormat="1"/>
    <row r="2417" s="333" customFormat="1"/>
    <row r="2418" s="333" customFormat="1"/>
    <row r="2419" s="333" customFormat="1"/>
    <row r="2420" s="333" customFormat="1"/>
    <row r="2421" s="333" customFormat="1"/>
    <row r="2422" s="333" customFormat="1"/>
    <row r="2423" s="333" customFormat="1"/>
    <row r="2424" s="333" customFormat="1"/>
    <row r="2425" s="333" customFormat="1"/>
    <row r="2426" s="333" customFormat="1"/>
    <row r="2427" s="333" customFormat="1"/>
    <row r="2428" s="333" customFormat="1"/>
    <row r="2429" s="333" customFormat="1"/>
    <row r="2430" s="333" customFormat="1"/>
    <row r="2431" s="333" customFormat="1"/>
    <row r="2432" s="333" customFormat="1"/>
    <row r="2433" s="333" customFormat="1"/>
    <row r="2434" s="333" customFormat="1"/>
    <row r="2435" s="333" customFormat="1"/>
    <row r="2436" s="333" customFormat="1"/>
    <row r="2437" s="333" customFormat="1"/>
    <row r="2438" s="333" customFormat="1"/>
    <row r="2439" s="333" customFormat="1"/>
    <row r="2440" s="333" customFormat="1"/>
    <row r="2441" s="333" customFormat="1"/>
    <row r="2442" s="333" customFormat="1"/>
    <row r="2443" s="333" customFormat="1"/>
    <row r="2444" s="333" customFormat="1"/>
    <row r="2445" s="333" customFormat="1"/>
    <row r="2446" s="333" customFormat="1"/>
    <row r="2447" s="333" customFormat="1"/>
    <row r="2448" s="333" customFormat="1"/>
    <row r="2449" s="333" customFormat="1"/>
    <row r="2450" s="333" customFormat="1"/>
    <row r="2451" s="333" customFormat="1"/>
    <row r="2452" s="333" customFormat="1"/>
    <row r="2453" s="333" customFormat="1"/>
    <row r="2454" s="333" customFormat="1"/>
    <row r="2455" s="333" customFormat="1"/>
    <row r="2456" s="333" customFormat="1"/>
    <row r="2457" s="333" customFormat="1"/>
    <row r="2458" s="333" customFormat="1"/>
    <row r="2459" s="333" customFormat="1"/>
    <row r="2460" s="333" customFormat="1"/>
    <row r="2461" s="333" customFormat="1"/>
    <row r="2462" s="333" customFormat="1"/>
    <row r="2463" s="333" customFormat="1"/>
    <row r="2464" s="333" customFormat="1"/>
    <row r="2465" s="333" customFormat="1"/>
    <row r="2466" s="333" customFormat="1"/>
    <row r="2467" s="333" customFormat="1"/>
    <row r="2468" s="333" customFormat="1"/>
    <row r="2469" s="333" customFormat="1"/>
    <row r="2470" s="333" customFormat="1"/>
    <row r="2471" s="333" customFormat="1"/>
    <row r="2472" s="333" customFormat="1"/>
    <row r="2473" s="333" customFormat="1"/>
    <row r="2474" s="333" customFormat="1"/>
    <row r="2475" s="333" customFormat="1"/>
    <row r="2476" s="333" customFormat="1"/>
    <row r="2477" s="333" customFormat="1"/>
    <row r="2478" s="333" customFormat="1"/>
    <row r="2479" s="333" customFormat="1"/>
    <row r="2480" s="333" customFormat="1"/>
    <row r="2481" s="333" customFormat="1"/>
    <row r="2482" s="333" customFormat="1"/>
    <row r="2483" s="333" customFormat="1"/>
    <row r="2484" s="333" customFormat="1"/>
    <row r="2485" s="333" customFormat="1"/>
    <row r="2486" s="333" customFormat="1"/>
    <row r="2487" s="333" customFormat="1"/>
    <row r="2488" s="333" customFormat="1"/>
    <row r="2489" s="333" customFormat="1"/>
    <row r="2490" s="333" customFormat="1"/>
    <row r="2491" s="333" customFormat="1"/>
    <row r="2492" s="333" customFormat="1"/>
    <row r="2493" s="333" customFormat="1"/>
    <row r="2494" s="333" customFormat="1"/>
    <row r="2495" s="333" customFormat="1"/>
    <row r="2496" s="333" customFormat="1"/>
    <row r="2497" s="333" customFormat="1"/>
    <row r="2498" s="333" customFormat="1"/>
    <row r="2499" s="333" customFormat="1"/>
    <row r="2500" s="333" customFormat="1"/>
    <row r="2501" s="333" customFormat="1"/>
    <row r="2502" s="333" customFormat="1"/>
    <row r="2503" s="333" customFormat="1"/>
    <row r="2504" s="333" customFormat="1"/>
    <row r="2505" s="333" customFormat="1"/>
    <row r="2506" s="333" customFormat="1"/>
    <row r="2507" s="333" customFormat="1"/>
    <row r="2508" s="333" customFormat="1"/>
    <row r="2509" s="333" customFormat="1"/>
    <row r="2510" s="333" customFormat="1"/>
    <row r="2511" s="333" customFormat="1"/>
    <row r="2512" s="333" customFormat="1"/>
    <row r="2513" s="333" customFormat="1"/>
    <row r="2514" s="333" customFormat="1"/>
    <row r="2515" s="333" customFormat="1"/>
    <row r="2516" s="333" customFormat="1"/>
    <row r="2517" s="333" customFormat="1"/>
    <row r="2518" s="333" customFormat="1"/>
    <row r="2519" s="333" customFormat="1"/>
    <row r="2520" s="333" customFormat="1"/>
    <row r="2521" s="333" customFormat="1"/>
    <row r="2522" s="333" customFormat="1"/>
    <row r="2523" s="333" customFormat="1"/>
    <row r="2524" s="333" customFormat="1"/>
    <row r="2525" s="333" customFormat="1"/>
    <row r="2526" s="333" customFormat="1"/>
    <row r="2527" s="333" customFormat="1"/>
    <row r="2528" s="333" customFormat="1"/>
    <row r="2529" s="333" customFormat="1"/>
    <row r="2530" s="333" customFormat="1"/>
    <row r="2531" s="333" customFormat="1"/>
    <row r="2532" s="333" customFormat="1"/>
    <row r="2533" s="333" customFormat="1"/>
    <row r="2534" s="333" customFormat="1"/>
    <row r="2535" s="333" customFormat="1"/>
    <row r="2536" s="333" customFormat="1"/>
    <row r="2537" s="333" customFormat="1"/>
    <row r="2538" s="333" customFormat="1"/>
    <row r="2539" s="333" customFormat="1"/>
    <row r="2540" s="333" customFormat="1"/>
    <row r="2541" s="333" customFormat="1"/>
    <row r="2542" s="333" customFormat="1"/>
    <row r="2543" s="333" customFormat="1"/>
    <row r="2544" s="333" customFormat="1"/>
    <row r="2545" s="333" customFormat="1"/>
    <row r="2546" s="333" customFormat="1"/>
    <row r="2547" s="333" customFormat="1"/>
    <row r="2548" s="333" customFormat="1"/>
    <row r="2549" s="333" customFormat="1"/>
    <row r="2550" s="333" customFormat="1"/>
    <row r="2551" s="333" customFormat="1"/>
    <row r="2552" s="333" customFormat="1"/>
    <row r="2553" s="333" customFormat="1"/>
    <row r="2554" s="333" customFormat="1"/>
    <row r="2555" s="333" customFormat="1"/>
    <row r="2556" s="333" customFormat="1"/>
    <row r="2557" s="333" customFormat="1"/>
    <row r="2558" s="333" customFormat="1"/>
    <row r="2559" s="333" customFormat="1"/>
    <row r="2560" s="333" customFormat="1"/>
    <row r="2561" s="333" customFormat="1"/>
    <row r="2562" s="333" customFormat="1"/>
    <row r="2563" s="333" customFormat="1"/>
    <row r="2564" s="333" customFormat="1"/>
    <row r="2565" s="333" customFormat="1"/>
    <row r="2566" s="333" customFormat="1"/>
    <row r="2567" s="333" customFormat="1"/>
    <row r="2568" s="333" customFormat="1"/>
    <row r="2569" s="333" customFormat="1"/>
    <row r="2570" s="333" customFormat="1"/>
    <row r="2571" s="333" customFormat="1"/>
    <row r="2572" s="333" customFormat="1"/>
    <row r="2573" s="333" customFormat="1"/>
    <row r="2574" s="333" customFormat="1"/>
    <row r="2575" s="333" customFormat="1"/>
    <row r="2576" s="333" customFormat="1"/>
    <row r="2577" s="333" customFormat="1"/>
    <row r="2578" s="333" customFormat="1"/>
    <row r="2579" s="333" customFormat="1"/>
    <row r="2580" s="333" customFormat="1"/>
    <row r="2581" s="333" customFormat="1"/>
    <row r="2582" s="333" customFormat="1"/>
    <row r="2583" s="333" customFormat="1"/>
    <row r="2584" s="333" customFormat="1"/>
    <row r="2585" s="333" customFormat="1"/>
    <row r="2586" s="333" customFormat="1"/>
    <row r="2587" s="333" customFormat="1"/>
    <row r="2588" s="333" customFormat="1"/>
    <row r="2589" s="333" customFormat="1"/>
    <row r="2590" s="333" customFormat="1"/>
    <row r="2591" s="333" customFormat="1"/>
    <row r="2592" s="333" customFormat="1"/>
    <row r="2593" s="333" customFormat="1"/>
    <row r="2594" s="333" customFormat="1"/>
    <row r="2595" s="333" customFormat="1"/>
    <row r="2596" s="333" customFormat="1"/>
    <row r="2597" s="333" customFormat="1"/>
    <row r="2598" s="333" customFormat="1"/>
    <row r="2599" s="333" customFormat="1"/>
    <row r="2600" s="333" customFormat="1"/>
    <row r="2601" s="333" customFormat="1"/>
    <row r="2602" s="333" customFormat="1"/>
    <row r="2603" s="333" customFormat="1"/>
    <row r="2604" s="333" customFormat="1"/>
    <row r="2605" s="333" customFormat="1"/>
    <row r="2606" s="333" customFormat="1"/>
    <row r="2607" s="333" customFormat="1"/>
    <row r="2608" s="333" customFormat="1"/>
    <row r="2609" s="333" customFormat="1"/>
    <row r="2610" s="333" customFormat="1"/>
    <row r="2611" s="333" customFormat="1"/>
    <row r="2612" s="333" customFormat="1"/>
    <row r="2613" s="333" customFormat="1"/>
    <row r="2614" s="333" customFormat="1"/>
    <row r="2615" s="333" customFormat="1"/>
    <row r="2616" s="333" customFormat="1"/>
    <row r="2617" s="333" customFormat="1"/>
    <row r="2618" s="333" customFormat="1"/>
    <row r="2619" s="333" customFormat="1"/>
    <row r="2620" s="333" customFormat="1"/>
    <row r="2621" s="333" customFormat="1"/>
    <row r="2622" s="333" customFormat="1"/>
    <row r="2623" s="333" customFormat="1"/>
    <row r="2624" s="333" customFormat="1"/>
    <row r="2625" s="333" customFormat="1"/>
    <row r="2626" s="333" customFormat="1"/>
    <row r="2627" s="333" customFormat="1"/>
    <row r="2628" s="333" customFormat="1"/>
    <row r="2629" s="333" customFormat="1"/>
    <row r="2630" s="333" customFormat="1"/>
    <row r="2631" s="333" customFormat="1"/>
    <row r="2632" s="333" customFormat="1"/>
    <row r="2633" s="333" customFormat="1"/>
    <row r="2634" s="333" customFormat="1"/>
    <row r="2635" s="333" customFormat="1"/>
    <row r="2636" s="333" customFormat="1"/>
    <row r="2637" s="333" customFormat="1"/>
    <row r="2638" s="333" customFormat="1"/>
    <row r="2639" s="333" customFormat="1"/>
    <row r="2640" s="333" customFormat="1"/>
    <row r="2641" s="333" customFormat="1"/>
    <row r="2642" s="333" customFormat="1"/>
    <row r="2643" s="333" customFormat="1"/>
    <row r="2644" s="333" customFormat="1"/>
    <row r="2645" s="333" customFormat="1"/>
    <row r="2646" s="333" customFormat="1"/>
    <row r="2647" s="333" customFormat="1"/>
    <row r="2648" s="333" customFormat="1"/>
    <row r="2649" s="333" customFormat="1"/>
    <row r="2650" s="333" customFormat="1"/>
    <row r="2651" s="333" customFormat="1"/>
    <row r="2652" s="333" customFormat="1"/>
    <row r="2653" s="333" customFormat="1"/>
    <row r="2654" s="333" customFormat="1"/>
    <row r="2655" s="333" customFormat="1"/>
    <row r="2656" s="333" customFormat="1"/>
    <row r="2657" s="333" customFormat="1"/>
    <row r="2658" s="333" customFormat="1"/>
    <row r="2659" s="333" customFormat="1"/>
    <row r="2660" s="333" customFormat="1"/>
    <row r="2661" s="333" customFormat="1"/>
    <row r="2662" s="333" customFormat="1"/>
    <row r="2663" s="333" customFormat="1"/>
    <row r="2664" s="333" customFormat="1"/>
    <row r="2665" s="333" customFormat="1"/>
    <row r="2666" s="333" customFormat="1"/>
    <row r="2667" s="333" customFormat="1"/>
    <row r="2668" s="333" customFormat="1"/>
    <row r="2669" s="333" customFormat="1"/>
    <row r="2670" s="333" customFormat="1"/>
    <row r="2671" s="333" customFormat="1"/>
    <row r="2672" s="333" customFormat="1"/>
    <row r="2673" s="333" customFormat="1"/>
    <row r="2674" s="333" customFormat="1"/>
    <row r="2675" s="333" customFormat="1"/>
    <row r="2676" s="333" customFormat="1"/>
    <row r="2677" s="333" customFormat="1"/>
    <row r="2678" s="333" customFormat="1"/>
    <row r="2679" s="333" customFormat="1"/>
    <row r="2680" s="333" customFormat="1"/>
    <row r="2681" s="333" customFormat="1"/>
    <row r="2682" s="333" customFormat="1"/>
    <row r="2683" s="333" customFormat="1"/>
    <row r="2684" s="333" customFormat="1"/>
    <row r="2685" s="333" customFormat="1"/>
    <row r="2686" s="333" customFormat="1"/>
    <row r="2687" s="333" customFormat="1"/>
    <row r="2688" s="333" customFormat="1"/>
    <row r="2689" s="333" customFormat="1"/>
    <row r="2690" s="333" customFormat="1"/>
    <row r="2691" s="333" customFormat="1"/>
    <row r="2692" s="333" customFormat="1"/>
    <row r="2693" s="333" customFormat="1"/>
    <row r="2694" s="333" customFormat="1"/>
    <row r="2695" s="333" customFormat="1"/>
    <row r="2696" s="333" customFormat="1"/>
    <row r="2697" s="333" customFormat="1"/>
    <row r="2698" s="333" customFormat="1"/>
    <row r="2699" s="333" customFormat="1"/>
    <row r="2700" s="333" customFormat="1"/>
    <row r="2701" s="333" customFormat="1"/>
    <row r="2702" s="333" customFormat="1"/>
    <row r="2703" s="333" customFormat="1"/>
    <row r="2704" s="333" customFormat="1"/>
    <row r="2705" s="333" customFormat="1"/>
    <row r="2706" s="333" customFormat="1"/>
    <row r="2707" s="333" customFormat="1"/>
    <row r="2708" s="333" customFormat="1"/>
    <row r="2709" s="333" customFormat="1"/>
    <row r="2710" s="333" customFormat="1"/>
    <row r="2711" s="333" customFormat="1"/>
    <row r="2712" s="333" customFormat="1"/>
    <row r="2713" s="333" customFormat="1"/>
    <row r="2714" s="333" customFormat="1"/>
    <row r="2715" s="333" customFormat="1"/>
    <row r="2716" s="333" customFormat="1"/>
    <row r="2717" s="333" customFormat="1"/>
    <row r="2718" s="333" customFormat="1"/>
    <row r="2719" s="333" customFormat="1"/>
    <row r="2720" s="333" customFormat="1"/>
    <row r="2721" s="333" customFormat="1"/>
    <row r="2722" s="333" customFormat="1"/>
    <row r="2723" s="333" customFormat="1"/>
    <row r="2724" s="333" customFormat="1"/>
    <row r="2725" s="333" customFormat="1"/>
    <row r="2726" s="333" customFormat="1"/>
    <row r="2727" s="333" customFormat="1"/>
    <row r="2728" s="333" customFormat="1"/>
    <row r="2729" s="333" customFormat="1"/>
    <row r="2730" s="333" customFormat="1"/>
    <row r="2731" s="333" customFormat="1"/>
    <row r="2732" s="333" customFormat="1"/>
    <row r="2733" s="333" customFormat="1"/>
    <row r="2734" s="333" customFormat="1"/>
    <row r="2735" s="333" customFormat="1"/>
    <row r="2736" s="333" customFormat="1"/>
    <row r="2737" s="333" customFormat="1"/>
    <row r="2738" s="333" customFormat="1"/>
    <row r="2739" s="333" customFormat="1"/>
    <row r="2740" s="333" customFormat="1"/>
    <row r="2741" s="333" customFormat="1"/>
    <row r="2742" s="333" customFormat="1"/>
    <row r="2743" s="333" customFormat="1"/>
    <row r="2744" s="333" customFormat="1"/>
    <row r="2745" s="333" customFormat="1"/>
    <row r="2746" s="333" customFormat="1"/>
    <row r="2747" s="333" customFormat="1"/>
    <row r="2748" s="333" customFormat="1"/>
    <row r="2749" s="333" customFormat="1"/>
    <row r="2750" s="333" customFormat="1"/>
    <row r="2751" s="333" customFormat="1"/>
    <row r="2752" s="333" customFormat="1"/>
    <row r="2753" s="333" customFormat="1"/>
    <row r="2754" s="333" customFormat="1"/>
    <row r="2755" s="333" customFormat="1"/>
    <row r="2756" s="333" customFormat="1"/>
    <row r="2757" s="333" customFormat="1"/>
    <row r="2758" s="333" customFormat="1"/>
    <row r="2759" s="333" customFormat="1"/>
    <row r="2760" s="333" customFormat="1"/>
    <row r="2761" s="333" customFormat="1"/>
    <row r="2762" s="333" customFormat="1"/>
    <row r="2763" s="333" customFormat="1"/>
    <row r="2764" s="333" customFormat="1"/>
    <row r="2765" s="333" customFormat="1"/>
    <row r="2766" s="333" customFormat="1"/>
    <row r="2767" s="333" customFormat="1"/>
    <row r="2768" s="333" customFormat="1"/>
    <row r="2769" s="333" customFormat="1"/>
    <row r="2770" s="333" customFormat="1"/>
    <row r="2771" s="333" customFormat="1"/>
    <row r="2772" s="333" customFormat="1"/>
    <row r="2773" s="333" customFormat="1"/>
    <row r="2774" s="333" customFormat="1"/>
    <row r="2775" s="333" customFormat="1"/>
    <row r="2776" s="333" customFormat="1"/>
    <row r="2777" s="333" customFormat="1"/>
    <row r="2778" s="333" customFormat="1"/>
    <row r="2779" s="333" customFormat="1"/>
    <row r="2780" s="333" customFormat="1"/>
    <row r="2781" s="333" customFormat="1"/>
    <row r="2782" s="333" customFormat="1"/>
    <row r="2783" s="333" customFormat="1"/>
    <row r="2784" s="333" customFormat="1"/>
    <row r="2785" s="333" customFormat="1"/>
    <row r="2786" s="333" customFormat="1"/>
    <row r="2787" s="333" customFormat="1"/>
    <row r="2788" s="333" customFormat="1"/>
    <row r="2789" s="333" customFormat="1"/>
    <row r="2790" s="333" customFormat="1"/>
    <row r="2791" s="333" customFormat="1"/>
    <row r="2792" s="333" customFormat="1"/>
    <row r="2793" s="333" customFormat="1"/>
    <row r="2794" s="333" customFormat="1"/>
    <row r="2795" s="333" customFormat="1"/>
    <row r="2796" s="333" customFormat="1"/>
    <row r="2797" s="333" customFormat="1"/>
    <row r="2798" s="333" customFormat="1"/>
    <row r="2799" s="333" customFormat="1"/>
    <row r="2800" s="333" customFormat="1"/>
    <row r="2801" s="333" customFormat="1"/>
    <row r="2802" s="333" customFormat="1"/>
    <row r="2803" s="333" customFormat="1"/>
    <row r="2804" s="333" customFormat="1"/>
    <row r="2805" s="333" customFormat="1"/>
    <row r="2806" s="333" customFormat="1"/>
    <row r="2807" s="333" customFormat="1"/>
    <row r="2808" s="333" customFormat="1"/>
    <row r="2809" s="333" customFormat="1"/>
    <row r="2810" s="333" customFormat="1"/>
    <row r="2811" s="333" customFormat="1"/>
    <row r="2812" s="333" customFormat="1"/>
    <row r="2813" s="333" customFormat="1"/>
    <row r="2814" s="333" customFormat="1"/>
    <row r="2815" s="333" customFormat="1"/>
    <row r="2816" s="333" customFormat="1"/>
    <row r="2817" s="333" customFormat="1"/>
    <row r="2818" s="333" customFormat="1"/>
    <row r="2819" s="333" customFormat="1"/>
    <row r="2820" s="333" customFormat="1"/>
    <row r="2821" s="333" customFormat="1"/>
    <row r="2822" s="333" customFormat="1"/>
    <row r="2823" s="333" customFormat="1"/>
    <row r="2824" s="333" customFormat="1"/>
    <row r="2825" s="333" customFormat="1"/>
    <row r="2826" s="333" customFormat="1"/>
    <row r="2827" s="333" customFormat="1"/>
    <row r="2828" s="333" customFormat="1"/>
    <row r="2829" s="333" customFormat="1"/>
    <row r="2830" s="333" customFormat="1"/>
    <row r="2831" s="333" customFormat="1"/>
    <row r="2832" s="333" customFormat="1"/>
    <row r="2833" s="333" customFormat="1"/>
    <row r="2834" s="333" customFormat="1"/>
    <row r="2835" s="333" customFormat="1"/>
    <row r="2836" s="333" customFormat="1"/>
    <row r="2837" s="333" customFormat="1"/>
    <row r="2838" s="333" customFormat="1"/>
    <row r="2839" s="333" customFormat="1"/>
    <row r="2840" s="333" customFormat="1"/>
    <row r="2841" s="333" customFormat="1"/>
    <row r="2842" s="333" customFormat="1"/>
    <row r="2843" s="333" customFormat="1"/>
    <row r="2844" s="333" customFormat="1"/>
    <row r="2845" s="333" customFormat="1"/>
    <row r="2846" s="333" customFormat="1"/>
    <row r="2847" s="333" customFormat="1"/>
    <row r="2848" s="333" customFormat="1"/>
    <row r="2849" s="333" customFormat="1"/>
    <row r="2850" s="333" customFormat="1"/>
    <row r="2851" s="333" customFormat="1"/>
    <row r="2852" s="333" customFormat="1"/>
    <row r="2853" s="333" customFormat="1"/>
    <row r="2854" s="333" customFormat="1"/>
    <row r="2855" s="333" customFormat="1"/>
    <row r="2856" s="333" customFormat="1"/>
    <row r="2857" s="333" customFormat="1"/>
    <row r="2858" s="333" customFormat="1"/>
    <row r="2859" s="333" customFormat="1"/>
    <row r="2860" s="333" customFormat="1"/>
    <row r="2861" s="333" customFormat="1"/>
    <row r="2862" s="333" customFormat="1"/>
    <row r="2863" s="333" customFormat="1"/>
    <row r="2864" s="333" customFormat="1"/>
    <row r="2865" s="333" customFormat="1"/>
    <row r="2866" s="333" customFormat="1"/>
    <row r="2867" s="333" customFormat="1"/>
    <row r="2868" s="333" customFormat="1"/>
    <row r="2869" s="333" customFormat="1"/>
    <row r="2870" s="333" customFormat="1"/>
    <row r="2871" s="333" customFormat="1"/>
    <row r="2872" s="333" customFormat="1"/>
    <row r="2873" s="333" customFormat="1"/>
    <row r="2874" s="333" customFormat="1"/>
    <row r="2875" s="333" customFormat="1"/>
    <row r="2876" s="333" customFormat="1"/>
    <row r="2877" s="333" customFormat="1"/>
    <row r="2878" s="333" customFormat="1"/>
    <row r="2879" s="333" customFormat="1"/>
    <row r="2880" s="333" customFormat="1"/>
    <row r="2881" s="333" customFormat="1"/>
    <row r="2882" s="333" customFormat="1"/>
    <row r="2883" s="333" customFormat="1"/>
    <row r="2884" s="333" customFormat="1"/>
    <row r="2885" s="333" customFormat="1"/>
    <row r="2886" s="333" customFormat="1"/>
    <row r="2887" s="333" customFormat="1"/>
    <row r="2888" s="333" customFormat="1"/>
    <row r="2889" s="333" customFormat="1"/>
    <row r="2890" s="333" customFormat="1"/>
    <row r="2891" s="333" customFormat="1"/>
    <row r="2892" s="333" customFormat="1"/>
    <row r="2893" s="333" customFormat="1"/>
    <row r="2894" s="333" customFormat="1"/>
    <row r="2895" s="333" customFormat="1"/>
    <row r="2896" s="333" customFormat="1"/>
    <row r="2897" s="333" customFormat="1"/>
    <row r="2898" s="333" customFormat="1"/>
    <row r="2899" s="333" customFormat="1"/>
    <row r="2900" s="333" customFormat="1"/>
    <row r="2901" s="333" customFormat="1"/>
    <row r="2902" s="333" customFormat="1"/>
    <row r="2903" s="333" customFormat="1"/>
    <row r="2904" s="333" customFormat="1"/>
    <row r="2905" s="333" customFormat="1"/>
    <row r="2906" s="333" customFormat="1"/>
    <row r="2907" s="333" customFormat="1"/>
    <row r="2908" s="333" customFormat="1"/>
    <row r="2909" s="333" customFormat="1"/>
    <row r="2910" s="333" customFormat="1"/>
    <row r="2911" s="333" customFormat="1"/>
    <row r="2912" s="333" customFormat="1"/>
    <row r="2913" s="333" customFormat="1"/>
    <row r="2914" s="333" customFormat="1"/>
    <row r="2915" s="333" customFormat="1"/>
    <row r="2916" s="333" customFormat="1"/>
    <row r="2917" s="333" customFormat="1"/>
    <row r="2918" s="333" customFormat="1"/>
    <row r="2919" s="333" customFormat="1"/>
    <row r="2920" s="333" customFormat="1"/>
    <row r="2921" s="333" customFormat="1"/>
    <row r="2922" s="333" customFormat="1"/>
    <row r="2923" s="333" customFormat="1"/>
    <row r="2924" s="333" customFormat="1"/>
    <row r="2925" s="333" customFormat="1"/>
    <row r="2926" s="333" customFormat="1"/>
    <row r="2927" s="333" customFormat="1"/>
    <row r="2928" s="333" customFormat="1"/>
    <row r="2929" s="333" customFormat="1"/>
    <row r="2930" s="333" customFormat="1"/>
    <row r="2931" s="333" customFormat="1"/>
    <row r="2932" s="333" customFormat="1"/>
    <row r="2933" s="333" customFormat="1"/>
    <row r="2934" s="333" customFormat="1"/>
    <row r="2935" s="333" customFormat="1"/>
    <row r="2936" s="333" customFormat="1"/>
    <row r="2937" s="333" customFormat="1"/>
    <row r="2938" s="333" customFormat="1"/>
    <row r="2939" s="333" customFormat="1"/>
    <row r="2940" s="333" customFormat="1"/>
    <row r="2941" s="333" customFormat="1"/>
    <row r="2942" s="333" customFormat="1"/>
    <row r="2943" s="333" customFormat="1"/>
    <row r="2944" s="333" customFormat="1"/>
    <row r="2945" s="333" customFormat="1"/>
    <row r="2946" s="333" customFormat="1"/>
    <row r="2947" s="333" customFormat="1"/>
    <row r="2948" s="333" customFormat="1"/>
    <row r="2949" s="333" customFormat="1"/>
    <row r="2950" s="333" customFormat="1"/>
    <row r="2951" s="333" customFormat="1"/>
    <row r="2952" s="333" customFormat="1"/>
    <row r="2953" s="333" customFormat="1"/>
    <row r="2954" s="333" customFormat="1"/>
    <row r="2955" s="333" customFormat="1"/>
    <row r="2956" s="333" customFormat="1"/>
    <row r="2957" s="333" customFormat="1"/>
    <row r="2958" s="333" customFormat="1"/>
    <row r="2959" s="333" customFormat="1"/>
    <row r="2960" s="333" customFormat="1"/>
    <row r="2961" s="333" customFormat="1"/>
    <row r="2962" s="333" customFormat="1"/>
    <row r="2963" s="333" customFormat="1"/>
    <row r="2964" s="333" customFormat="1"/>
    <row r="2965" s="333" customFormat="1"/>
    <row r="2966" s="333" customFormat="1"/>
    <row r="2967" s="333" customFormat="1"/>
    <row r="2968" s="333" customFormat="1"/>
    <row r="2969" s="333" customFormat="1"/>
    <row r="2970" s="333" customFormat="1"/>
    <row r="2971" s="333" customFormat="1"/>
    <row r="2972" s="333" customFormat="1"/>
    <row r="2973" s="333" customFormat="1"/>
    <row r="2974" s="333" customFormat="1"/>
    <row r="2975" s="333" customFormat="1"/>
    <row r="2976" s="333" customFormat="1"/>
    <row r="2977" s="333" customFormat="1"/>
    <row r="2978" s="333" customFormat="1"/>
    <row r="2979" s="333" customFormat="1"/>
    <row r="2980" s="333" customFormat="1"/>
    <row r="2981" s="333" customFormat="1"/>
    <row r="2982" s="333" customFormat="1"/>
    <row r="2983" s="333" customFormat="1"/>
    <row r="2984" s="333" customFormat="1"/>
    <row r="2985" s="333" customFormat="1"/>
    <row r="2986" s="333" customFormat="1"/>
    <row r="2987" s="333" customFormat="1"/>
    <row r="2988" s="333" customFormat="1"/>
    <row r="2989" s="333" customFormat="1"/>
    <row r="2990" s="333" customFormat="1"/>
    <row r="2991" s="333" customFormat="1"/>
    <row r="2992" s="333" customFormat="1"/>
    <row r="2993" s="333" customFormat="1"/>
    <row r="2994" s="333" customFormat="1"/>
    <row r="2995" s="333" customFormat="1"/>
    <row r="2996" s="333" customFormat="1"/>
    <row r="2997" s="333" customFormat="1"/>
    <row r="2998" s="333" customFormat="1"/>
    <row r="2999" s="333" customFormat="1"/>
    <row r="3000" s="333" customFormat="1"/>
    <row r="3001" s="333" customFormat="1"/>
    <row r="3002" s="333" customFormat="1"/>
    <row r="3003" s="333" customFormat="1"/>
    <row r="3004" s="333" customFormat="1"/>
    <row r="3005" s="333" customFormat="1"/>
    <row r="3006" s="333" customFormat="1"/>
    <row r="3007" s="333" customFormat="1"/>
    <row r="3008" s="333" customFormat="1"/>
    <row r="3009" s="333" customFormat="1"/>
    <row r="3010" s="333" customFormat="1"/>
    <row r="3011" s="333" customFormat="1"/>
    <row r="3012" s="333" customFormat="1"/>
    <row r="3013" s="333" customFormat="1"/>
    <row r="3014" s="333" customFormat="1"/>
    <row r="3015" s="333" customFormat="1"/>
    <row r="3016" s="333" customFormat="1"/>
    <row r="3017" s="333" customFormat="1"/>
    <row r="3018" s="333" customFormat="1"/>
    <row r="3019" s="333" customFormat="1"/>
    <row r="3020" s="333" customFormat="1"/>
    <row r="3021" s="333" customFormat="1"/>
    <row r="3022" s="333" customFormat="1"/>
    <row r="3023" s="333" customFormat="1"/>
    <row r="3024" s="333" customFormat="1"/>
    <row r="3025" s="333" customFormat="1"/>
    <row r="3026" s="333" customFormat="1"/>
    <row r="3027" s="333" customFormat="1"/>
    <row r="3028" s="333" customFormat="1"/>
    <row r="3029" s="333" customFormat="1"/>
    <row r="3030" s="333" customFormat="1"/>
    <row r="3031" s="333" customFormat="1"/>
    <row r="3032" s="333" customFormat="1"/>
    <row r="3033" s="333" customFormat="1"/>
    <row r="3034" s="333" customFormat="1"/>
    <row r="3035" s="333" customFormat="1"/>
    <row r="3036" s="333" customFormat="1"/>
    <row r="3037" s="333" customFormat="1"/>
    <row r="3038" s="333" customFormat="1"/>
    <row r="3039" s="333" customFormat="1"/>
    <row r="3040" s="333" customFormat="1"/>
    <row r="3041" s="333" customFormat="1"/>
    <row r="3042" s="333" customFormat="1"/>
    <row r="3043" s="333" customFormat="1"/>
    <row r="3044" s="333" customFormat="1"/>
    <row r="3045" s="333" customFormat="1"/>
    <row r="3046" s="333" customFormat="1"/>
    <row r="3047" s="333" customFormat="1"/>
    <row r="3048" s="333" customFormat="1"/>
    <row r="3049" s="333" customFormat="1"/>
    <row r="3050" s="333" customFormat="1"/>
    <row r="3051" s="333" customFormat="1"/>
    <row r="3052" s="333" customFormat="1"/>
    <row r="3053" s="333" customFormat="1"/>
    <row r="3054" s="333" customFormat="1"/>
    <row r="3055" s="333" customFormat="1"/>
    <row r="3056" s="333" customFormat="1"/>
    <row r="3057" s="333" customFormat="1"/>
    <row r="3058" s="333" customFormat="1"/>
    <row r="3059" s="333" customFormat="1"/>
    <row r="3060" s="333" customFormat="1"/>
    <row r="3061" s="333" customFormat="1"/>
    <row r="3062" s="333" customFormat="1"/>
    <row r="3063" s="333" customFormat="1"/>
    <row r="3064" s="333" customFormat="1"/>
    <row r="3065" s="333" customFormat="1"/>
    <row r="3066" s="333" customFormat="1"/>
    <row r="3067" s="333" customFormat="1"/>
    <row r="3068" s="333" customFormat="1"/>
    <row r="3069" s="333" customFormat="1"/>
    <row r="3070" s="333" customFormat="1"/>
    <row r="3071" s="333" customFormat="1"/>
    <row r="3072" s="333" customFormat="1"/>
    <row r="3073" s="333" customFormat="1"/>
    <row r="3074" s="333" customFormat="1"/>
    <row r="3075" s="333" customFormat="1"/>
    <row r="3076" s="333" customFormat="1"/>
    <row r="3077" s="333" customFormat="1"/>
    <row r="3078" s="333" customFormat="1"/>
    <row r="3079" s="333" customFormat="1"/>
    <row r="3080" s="333" customFormat="1"/>
    <row r="3081" s="333" customFormat="1"/>
    <row r="3082" s="333" customFormat="1"/>
    <row r="3083" s="333" customFormat="1"/>
    <row r="3084" s="333" customFormat="1"/>
    <row r="3085" s="333" customFormat="1"/>
    <row r="3086" s="333" customFormat="1"/>
    <row r="3087" s="333" customFormat="1"/>
    <row r="3088" s="333" customFormat="1"/>
    <row r="3089" s="333" customFormat="1"/>
    <row r="3090" s="333" customFormat="1"/>
    <row r="3091" s="333" customFormat="1"/>
    <row r="3092" s="333" customFormat="1"/>
    <row r="3093" s="333" customFormat="1"/>
    <row r="3094" s="333" customFormat="1"/>
    <row r="3095" s="333" customFormat="1"/>
    <row r="3096" s="333" customFormat="1"/>
    <row r="3097" s="333" customFormat="1"/>
    <row r="3098" s="333" customFormat="1"/>
    <row r="3099" s="333" customFormat="1"/>
    <row r="3100" s="333" customFormat="1"/>
    <row r="3101" s="333" customFormat="1"/>
    <row r="3102" s="333" customFormat="1"/>
    <row r="3103" s="333" customFormat="1"/>
    <row r="3104" s="333" customFormat="1"/>
    <row r="3105" s="333" customFormat="1"/>
    <row r="3106" s="333" customFormat="1"/>
    <row r="3107" s="333" customFormat="1"/>
    <row r="3108" s="333" customFormat="1"/>
    <row r="3109" s="333" customFormat="1"/>
    <row r="3110" s="333" customFormat="1"/>
    <row r="3111" s="333" customFormat="1"/>
    <row r="3112" s="333" customFormat="1"/>
    <row r="3113" s="333" customFormat="1"/>
    <row r="3114" s="333" customFormat="1"/>
    <row r="3115" s="333" customFormat="1"/>
    <row r="3116" s="333" customFormat="1"/>
    <row r="3117" s="333" customFormat="1"/>
    <row r="3118" s="333" customFormat="1"/>
    <row r="3119" s="333" customFormat="1"/>
    <row r="3120" s="333" customFormat="1"/>
    <row r="3121" s="333" customFormat="1"/>
    <row r="3122" s="333" customFormat="1"/>
    <row r="3123" s="333" customFormat="1"/>
    <row r="3124" s="333" customFormat="1"/>
    <row r="3125" s="333" customFormat="1"/>
    <row r="3126" s="333" customFormat="1"/>
    <row r="3127" s="333" customFormat="1"/>
    <row r="3128" s="333" customFormat="1"/>
    <row r="3129" s="333" customFormat="1"/>
    <row r="3130" s="333" customFormat="1"/>
    <row r="3131" s="333" customFormat="1"/>
    <row r="3132" s="333" customFormat="1"/>
    <row r="3133" s="333" customFormat="1"/>
    <row r="3134" s="333" customFormat="1"/>
    <row r="3135" s="333" customFormat="1"/>
    <row r="3136" s="333" customFormat="1"/>
    <row r="3137" s="333" customFormat="1"/>
    <row r="3138" s="333" customFormat="1"/>
    <row r="3139" s="333" customFormat="1"/>
    <row r="3140" s="333" customFormat="1"/>
    <row r="3141" s="333" customFormat="1"/>
    <row r="3142" s="333" customFormat="1"/>
    <row r="3143" s="333" customFormat="1"/>
    <row r="3144" s="333" customFormat="1"/>
    <row r="3145" s="333" customFormat="1"/>
    <row r="3146" s="333" customFormat="1"/>
    <row r="3147" s="333" customFormat="1"/>
    <row r="3148" s="333" customFormat="1"/>
    <row r="3149" s="333" customFormat="1"/>
    <row r="3150" s="333" customFormat="1"/>
    <row r="3151" s="333" customFormat="1"/>
    <row r="3152" s="333" customFormat="1"/>
    <row r="3153" s="333" customFormat="1"/>
    <row r="3154" s="333" customFormat="1"/>
    <row r="3155" s="333" customFormat="1"/>
    <row r="3156" s="333" customFormat="1"/>
    <row r="3157" s="333" customFormat="1"/>
    <row r="3158" s="333" customFormat="1"/>
    <row r="3159" s="333" customFormat="1"/>
    <row r="3160" s="333" customFormat="1"/>
    <row r="3161" s="333" customFormat="1"/>
    <row r="3162" s="333" customFormat="1"/>
    <row r="3163" s="333" customFormat="1"/>
    <row r="3164" s="333" customFormat="1"/>
    <row r="3165" s="333" customFormat="1"/>
    <row r="3166" s="333" customFormat="1"/>
    <row r="3167" s="333" customFormat="1"/>
    <row r="3168" s="333" customFormat="1"/>
    <row r="3169" s="333" customFormat="1"/>
    <row r="3170" s="333" customFormat="1"/>
    <row r="3171" s="333" customFormat="1"/>
    <row r="3172" s="333" customFormat="1"/>
    <row r="3173" s="333" customFormat="1"/>
    <row r="3174" s="333" customFormat="1"/>
    <row r="3175" s="333" customFormat="1"/>
    <row r="3176" s="333" customFormat="1"/>
    <row r="3177" s="333" customFormat="1"/>
    <row r="3178" s="333" customFormat="1"/>
    <row r="3179" s="333" customFormat="1"/>
    <row r="3180" s="333" customFormat="1"/>
    <row r="3181" s="333" customFormat="1"/>
    <row r="3182" s="333" customFormat="1"/>
    <row r="3183" s="333" customFormat="1"/>
    <row r="3184" s="333" customFormat="1"/>
    <row r="3185" s="333" customFormat="1"/>
    <row r="3186" s="333" customFormat="1"/>
    <row r="3187" s="333" customFormat="1"/>
    <row r="3188" s="333" customFormat="1"/>
    <row r="3189" s="333" customFormat="1"/>
    <row r="3190" s="333" customFormat="1"/>
    <row r="3191" s="333" customFormat="1"/>
    <row r="3192" s="333" customFormat="1"/>
    <row r="3193" s="333" customFormat="1"/>
    <row r="3194" s="333" customFormat="1"/>
    <row r="3195" s="333" customFormat="1"/>
    <row r="3196" s="333" customFormat="1"/>
    <row r="3197" s="333" customFormat="1"/>
    <row r="3198" s="333" customFormat="1"/>
    <row r="3199" s="333" customFormat="1"/>
    <row r="3200" s="333" customFormat="1"/>
    <row r="3201" s="333" customFormat="1"/>
    <row r="3202" s="333" customFormat="1"/>
    <row r="3203" s="333" customFormat="1"/>
    <row r="3204" s="333" customFormat="1"/>
    <row r="3205" s="333" customFormat="1"/>
    <row r="3206" s="333" customFormat="1"/>
    <row r="3207" s="333" customFormat="1"/>
    <row r="3208" s="333" customFormat="1"/>
    <row r="3209" s="333" customFormat="1"/>
    <row r="3210" s="333" customFormat="1"/>
    <row r="3211" s="333" customFormat="1"/>
    <row r="3212" s="333" customFormat="1"/>
    <row r="3213" s="333" customFormat="1"/>
    <row r="3214" s="333" customFormat="1"/>
    <row r="3215" s="333" customFormat="1"/>
    <row r="3216" s="333" customFormat="1"/>
    <row r="3217" s="333" customFormat="1"/>
    <row r="3218" s="333" customFormat="1"/>
    <row r="3219" s="333" customFormat="1"/>
    <row r="3220" s="333" customFormat="1"/>
    <row r="3221" s="333" customFormat="1"/>
    <row r="3222" s="333" customFormat="1"/>
    <row r="3223" s="333" customFormat="1"/>
    <row r="3224" s="333" customFormat="1"/>
    <row r="3225" s="333" customFormat="1"/>
    <row r="3226" s="333" customFormat="1"/>
    <row r="3227" s="333" customFormat="1"/>
    <row r="3228" s="333" customFormat="1"/>
    <row r="3229" s="333" customFormat="1"/>
    <row r="3230" s="333" customFormat="1"/>
    <row r="3231" s="333" customFormat="1"/>
    <row r="3232" s="333" customFormat="1"/>
    <row r="3233" s="333" customFormat="1"/>
    <row r="3234" s="333" customFormat="1"/>
    <row r="3235" s="333" customFormat="1"/>
    <row r="3236" s="333" customFormat="1"/>
    <row r="3237" s="333" customFormat="1"/>
    <row r="3238" s="333" customFormat="1"/>
    <row r="3239" s="333" customFormat="1"/>
    <row r="3240" s="333" customFormat="1"/>
    <row r="3241" s="333" customFormat="1"/>
    <row r="3242" s="333" customFormat="1"/>
    <row r="3243" s="333" customFormat="1"/>
    <row r="3244" s="333" customFormat="1"/>
    <row r="3245" s="333" customFormat="1"/>
    <row r="3246" s="333" customFormat="1"/>
    <row r="3247" s="333" customFormat="1"/>
    <row r="3248" s="333" customFormat="1"/>
    <row r="3249" s="333" customFormat="1"/>
    <row r="3250" s="333" customFormat="1"/>
    <row r="3251" s="333" customFormat="1"/>
    <row r="3252" s="333" customFormat="1"/>
    <row r="3253" s="333" customFormat="1"/>
    <row r="3254" s="333" customFormat="1"/>
    <row r="3255" s="333" customFormat="1"/>
    <row r="3256" s="333" customFormat="1"/>
    <row r="3257" s="333" customFormat="1"/>
    <row r="3258" s="333" customFormat="1"/>
    <row r="3259" s="333" customFormat="1"/>
    <row r="3260" s="333" customFormat="1"/>
    <row r="3261" s="333" customFormat="1"/>
    <row r="3262" s="333" customFormat="1"/>
    <row r="3263" s="333" customFormat="1"/>
    <row r="3264" s="333" customFormat="1"/>
    <row r="3265" s="333" customFormat="1"/>
    <row r="3266" s="333" customFormat="1"/>
    <row r="3267" s="333" customFormat="1"/>
    <row r="3268" s="333" customFormat="1"/>
    <row r="3269" s="333" customFormat="1"/>
    <row r="3270" s="333" customFormat="1"/>
    <row r="3271" s="333" customFormat="1"/>
    <row r="3272" s="333" customFormat="1"/>
    <row r="3273" s="333" customFormat="1"/>
    <row r="3274" s="333" customFormat="1"/>
    <row r="3275" s="333" customFormat="1"/>
    <row r="3276" s="333" customFormat="1"/>
    <row r="3277" s="333" customFormat="1"/>
    <row r="3278" s="333" customFormat="1"/>
    <row r="3279" s="333" customFormat="1"/>
    <row r="3280" s="333" customFormat="1"/>
    <row r="3281" s="333" customFormat="1"/>
    <row r="3282" s="333" customFormat="1"/>
    <row r="3283" s="333" customFormat="1"/>
    <row r="3284" s="333" customFormat="1"/>
    <row r="3285" s="333" customFormat="1"/>
    <row r="3286" s="333" customFormat="1"/>
    <row r="3287" s="333" customFormat="1"/>
    <row r="3288" s="333" customFormat="1"/>
    <row r="3289" s="333" customFormat="1"/>
    <row r="3290" s="333" customFormat="1"/>
    <row r="3291" s="333" customFormat="1"/>
    <row r="3292" s="333" customFormat="1"/>
    <row r="3293" s="333" customFormat="1"/>
    <row r="3294" s="333" customFormat="1"/>
    <row r="3295" s="333" customFormat="1"/>
    <row r="3296" s="333" customFormat="1"/>
    <row r="3297" s="333" customFormat="1"/>
    <row r="3298" s="333" customFormat="1"/>
    <row r="3299" s="333" customFormat="1"/>
    <row r="3300" s="333" customFormat="1"/>
    <row r="3301" s="333" customFormat="1"/>
    <row r="3302" s="333" customFormat="1"/>
    <row r="3303" s="333" customFormat="1"/>
    <row r="3304" s="333" customFormat="1"/>
    <row r="3305" s="333" customFormat="1"/>
    <row r="3306" s="333" customFormat="1"/>
    <row r="3307" s="333" customFormat="1"/>
    <row r="3308" s="333" customFormat="1"/>
    <row r="3309" s="333" customFormat="1"/>
    <row r="3310" s="333" customFormat="1"/>
    <row r="3311" s="333" customFormat="1"/>
    <row r="3312" s="333" customFormat="1"/>
    <row r="3313" s="333" customFormat="1"/>
    <row r="3314" s="333" customFormat="1"/>
    <row r="3315" s="333" customFormat="1"/>
    <row r="3316" s="333" customFormat="1"/>
    <row r="3317" s="333" customFormat="1"/>
    <row r="3318" s="333" customFormat="1"/>
    <row r="3319" s="333" customFormat="1"/>
    <row r="3320" s="333" customFormat="1"/>
    <row r="3321" s="333" customFormat="1"/>
    <row r="3322" s="333" customFormat="1"/>
    <row r="3323" s="333" customFormat="1"/>
    <row r="3324" s="333" customFormat="1"/>
    <row r="3325" s="333" customFormat="1"/>
    <row r="3326" s="333" customFormat="1"/>
    <row r="3327" s="333" customFormat="1"/>
    <row r="3328" s="333" customFormat="1"/>
    <row r="3329" s="333" customFormat="1"/>
    <row r="3330" s="333" customFormat="1"/>
    <row r="3331" s="333" customFormat="1"/>
    <row r="3332" s="333" customFormat="1"/>
    <row r="3333" s="333" customFormat="1"/>
    <row r="3334" s="333" customFormat="1"/>
    <row r="3335" s="333" customFormat="1"/>
    <row r="3336" s="333" customFormat="1"/>
    <row r="3337" s="333" customFormat="1"/>
    <row r="3338" s="333" customFormat="1"/>
    <row r="3339" s="333" customFormat="1"/>
    <row r="3340" s="333" customFormat="1"/>
    <row r="3341" s="333" customFormat="1"/>
    <row r="3342" s="333" customFormat="1"/>
    <row r="3343" s="333" customFormat="1"/>
    <row r="3344" s="333" customFormat="1"/>
    <row r="3345" s="333" customFormat="1"/>
    <row r="3346" s="333" customFormat="1"/>
    <row r="3347" s="333" customFormat="1"/>
    <row r="3348" s="333" customFormat="1"/>
    <row r="3349" s="333" customFormat="1"/>
    <row r="3350" s="333" customFormat="1"/>
    <row r="3351" s="333" customFormat="1"/>
    <row r="3352" s="333" customFormat="1"/>
    <row r="3353" s="333" customFormat="1"/>
    <row r="3354" s="333" customFormat="1"/>
    <row r="3355" s="333" customFormat="1"/>
    <row r="3356" s="333" customFormat="1"/>
    <row r="3357" s="333" customFormat="1"/>
    <row r="3358" s="333" customFormat="1"/>
    <row r="3359" s="333" customFormat="1"/>
    <row r="3360" s="333" customFormat="1"/>
    <row r="3361" s="333" customFormat="1"/>
    <row r="3362" s="333" customFormat="1"/>
    <row r="3363" s="333" customFormat="1"/>
    <row r="3364" s="333" customFormat="1"/>
    <row r="3365" s="333" customFormat="1"/>
    <row r="3366" s="333" customFormat="1"/>
    <row r="3367" s="333" customFormat="1"/>
    <row r="3368" s="333" customFormat="1"/>
    <row r="3369" s="333" customFormat="1"/>
    <row r="3370" s="333" customFormat="1"/>
    <row r="3371" s="333" customFormat="1"/>
    <row r="3372" s="333" customFormat="1"/>
    <row r="3373" s="333" customFormat="1"/>
    <row r="3374" s="333" customFormat="1"/>
    <row r="3375" s="333" customFormat="1"/>
    <row r="3376" s="333" customFormat="1"/>
    <row r="3377" s="333" customFormat="1"/>
    <row r="3378" s="333" customFormat="1"/>
    <row r="3379" s="333" customFormat="1"/>
    <row r="3380" s="333" customFormat="1"/>
    <row r="3381" s="333" customFormat="1"/>
    <row r="3382" s="333" customFormat="1"/>
    <row r="3383" s="333" customFormat="1"/>
    <row r="3384" s="333" customFormat="1"/>
    <row r="3385" s="333" customFormat="1"/>
    <row r="3386" s="333" customFormat="1"/>
    <row r="3387" s="333" customFormat="1"/>
    <row r="3388" s="333" customFormat="1"/>
    <row r="3389" s="333" customFormat="1"/>
    <row r="3390" s="333" customFormat="1"/>
    <row r="3391" s="333" customFormat="1"/>
    <row r="3392" s="333" customFormat="1"/>
    <row r="3393" s="333" customFormat="1"/>
    <row r="3394" s="333" customFormat="1"/>
    <row r="3395" s="333" customFormat="1"/>
    <row r="3396" s="333" customFormat="1"/>
    <row r="3397" s="333" customFormat="1"/>
    <row r="3398" s="333" customFormat="1"/>
    <row r="3399" s="333" customFormat="1"/>
    <row r="3400" s="333" customFormat="1"/>
    <row r="3401" s="333" customFormat="1"/>
    <row r="3402" s="333" customFormat="1"/>
    <row r="3403" s="333" customFormat="1"/>
    <row r="3404" s="333" customFormat="1"/>
    <row r="3405" s="333" customFormat="1"/>
    <row r="3406" s="333" customFormat="1"/>
    <row r="3407" s="333" customFormat="1"/>
    <row r="3408" s="333" customFormat="1"/>
    <row r="3409" s="333" customFormat="1"/>
    <row r="3410" s="333" customFormat="1"/>
    <row r="3411" s="333" customFormat="1"/>
    <row r="3412" s="333" customFormat="1"/>
    <row r="3413" s="333" customFormat="1"/>
    <row r="3414" s="333" customFormat="1"/>
    <row r="3415" s="333" customFormat="1"/>
    <row r="3416" s="333" customFormat="1"/>
    <row r="3417" s="333" customFormat="1"/>
    <row r="3418" s="333" customFormat="1"/>
    <row r="3419" s="333" customFormat="1"/>
    <row r="3420" s="333" customFormat="1"/>
    <row r="3421" s="333" customFormat="1"/>
    <row r="3422" s="333" customFormat="1"/>
    <row r="3423" s="333" customFormat="1"/>
    <row r="3424" s="333" customFormat="1"/>
    <row r="3425" s="333" customFormat="1"/>
    <row r="3426" s="333" customFormat="1"/>
    <row r="3427" s="333" customFormat="1"/>
    <row r="3428" s="333" customFormat="1"/>
    <row r="3429" s="333" customFormat="1"/>
    <row r="3430" s="333" customFormat="1"/>
    <row r="3431" s="333" customFormat="1"/>
    <row r="3432" s="333" customFormat="1"/>
    <row r="3433" s="333" customFormat="1"/>
    <row r="3434" s="333" customFormat="1"/>
    <row r="3435" s="333" customFormat="1"/>
    <row r="3436" s="333" customFormat="1"/>
    <row r="3437" s="333" customFormat="1"/>
    <row r="3438" s="333" customFormat="1"/>
    <row r="3439" s="333" customFormat="1"/>
    <row r="3440" s="333" customFormat="1"/>
    <row r="3441" s="333" customFormat="1"/>
    <row r="3442" s="333" customFormat="1"/>
    <row r="3443" s="333" customFormat="1"/>
    <row r="3444" s="333" customFormat="1"/>
    <row r="3445" s="333" customFormat="1"/>
    <row r="3446" s="333" customFormat="1"/>
    <row r="3447" s="333" customFormat="1"/>
    <row r="3448" s="333" customFormat="1"/>
    <row r="3449" s="333" customFormat="1"/>
    <row r="3450" s="333" customFormat="1"/>
    <row r="3451" s="333" customFormat="1"/>
    <row r="3452" s="333" customFormat="1"/>
    <row r="3453" s="333" customFormat="1"/>
    <row r="3454" s="333" customFormat="1"/>
    <row r="3455" s="333" customFormat="1"/>
    <row r="3456" s="333" customFormat="1"/>
    <row r="3457" s="333" customFormat="1"/>
    <row r="3458" s="333" customFormat="1"/>
    <row r="3459" s="333" customFormat="1"/>
    <row r="3460" s="333" customFormat="1"/>
    <row r="3461" s="333" customFormat="1"/>
    <row r="3462" s="333" customFormat="1"/>
    <row r="3463" s="333" customFormat="1"/>
    <row r="3464" s="333" customFormat="1"/>
    <row r="3465" s="333" customFormat="1"/>
    <row r="3466" s="333" customFormat="1"/>
    <row r="3467" s="333" customFormat="1"/>
    <row r="3468" s="333" customFormat="1"/>
    <row r="3469" s="333" customFormat="1"/>
    <row r="3470" s="333" customFormat="1"/>
    <row r="3471" s="333" customFormat="1"/>
    <row r="3472" s="333" customFormat="1"/>
    <row r="3473" s="333" customFormat="1"/>
    <row r="3474" s="333" customFormat="1"/>
    <row r="3475" s="333" customFormat="1"/>
    <row r="3476" s="333" customFormat="1"/>
    <row r="3477" s="333" customFormat="1"/>
    <row r="3478" s="333" customFormat="1"/>
    <row r="3479" s="333" customFormat="1"/>
    <row r="3480" s="333" customFormat="1"/>
    <row r="3481" s="333" customFormat="1"/>
    <row r="3482" s="333" customFormat="1"/>
    <row r="3483" s="333" customFormat="1"/>
    <row r="3484" s="333" customFormat="1"/>
    <row r="3485" s="333" customFormat="1"/>
    <row r="3486" s="333" customFormat="1"/>
    <row r="3487" s="333" customFormat="1"/>
    <row r="3488" s="333" customFormat="1"/>
    <row r="3489" s="333" customFormat="1"/>
    <row r="3490" s="333" customFormat="1"/>
    <row r="3491" s="333" customFormat="1"/>
    <row r="3492" s="333" customFormat="1"/>
    <row r="3493" s="333" customFormat="1"/>
    <row r="3494" s="333" customFormat="1"/>
    <row r="3495" s="333" customFormat="1"/>
    <row r="3496" s="333" customFormat="1"/>
    <row r="3497" s="333" customFormat="1"/>
    <row r="3498" s="333" customFormat="1"/>
    <row r="3499" s="333" customFormat="1"/>
    <row r="3500" s="333" customFormat="1"/>
    <row r="3501" s="333" customFormat="1"/>
    <row r="3502" s="333" customFormat="1"/>
    <row r="3503" s="333" customFormat="1"/>
    <row r="3504" s="333" customFormat="1"/>
    <row r="3505" s="333" customFormat="1"/>
    <row r="3506" s="333" customFormat="1"/>
    <row r="3507" s="333" customFormat="1"/>
    <row r="3508" s="333" customFormat="1"/>
    <row r="3509" s="333" customFormat="1"/>
    <row r="3510" s="333" customFormat="1"/>
    <row r="3511" s="333" customFormat="1"/>
    <row r="3512" s="333" customFormat="1"/>
    <row r="3513" s="333" customFormat="1"/>
    <row r="3514" s="333" customFormat="1"/>
    <row r="3515" s="333" customFormat="1"/>
    <row r="3516" s="333" customFormat="1"/>
    <row r="3517" s="333" customFormat="1"/>
    <row r="3518" s="333" customFormat="1"/>
    <row r="3519" s="333" customFormat="1"/>
    <row r="3520" s="333" customFormat="1"/>
    <row r="3521" s="333" customFormat="1"/>
    <row r="3522" s="333" customFormat="1"/>
    <row r="3523" s="333" customFormat="1"/>
    <row r="3524" s="333" customFormat="1"/>
    <row r="3525" s="333" customFormat="1"/>
    <row r="3526" s="333" customFormat="1"/>
    <row r="3527" s="333" customFormat="1"/>
    <row r="3528" s="333" customFormat="1"/>
    <row r="3529" s="333" customFormat="1"/>
    <row r="3530" s="333" customFormat="1"/>
    <row r="3531" s="333" customFormat="1"/>
    <row r="3532" s="333" customFormat="1"/>
    <row r="3533" s="333" customFormat="1"/>
    <row r="3534" s="333" customFormat="1"/>
    <row r="3535" s="333" customFormat="1"/>
    <row r="3536" s="333" customFormat="1"/>
    <row r="3537" s="333" customFormat="1"/>
    <row r="3538" s="333" customFormat="1"/>
    <row r="3539" s="333" customFormat="1"/>
    <row r="3540" s="333" customFormat="1"/>
    <row r="3541" s="333" customFormat="1"/>
    <row r="3542" s="333" customFormat="1"/>
    <row r="3543" s="333" customFormat="1"/>
    <row r="3544" s="333" customFormat="1"/>
    <row r="3545" s="333" customFormat="1"/>
    <row r="3546" s="333" customFormat="1"/>
    <row r="3547" s="333" customFormat="1"/>
    <row r="3548" s="333" customFormat="1"/>
    <row r="3549" s="333" customFormat="1"/>
    <row r="3550" s="333" customFormat="1"/>
    <row r="3551" s="333" customFormat="1"/>
    <row r="3552" s="333" customFormat="1"/>
    <row r="3553" s="333" customFormat="1"/>
    <row r="3554" s="333" customFormat="1"/>
    <row r="3555" s="333" customFormat="1"/>
    <row r="3556" s="333" customFormat="1"/>
    <row r="3557" s="333" customFormat="1"/>
    <row r="3558" s="333" customFormat="1"/>
    <row r="3559" s="333" customFormat="1"/>
    <row r="3560" s="333" customFormat="1"/>
    <row r="3561" s="333" customFormat="1"/>
    <row r="3562" s="333" customFormat="1"/>
    <row r="3563" s="333" customFormat="1"/>
    <row r="3564" s="333" customFormat="1"/>
    <row r="3565" s="333" customFormat="1"/>
    <row r="3566" s="333" customFormat="1"/>
    <row r="3567" s="333" customFormat="1"/>
    <row r="3568" s="333" customFormat="1"/>
    <row r="3569" s="333" customFormat="1"/>
    <row r="3570" s="333" customFormat="1"/>
    <row r="3571" s="333" customFormat="1"/>
    <row r="3572" s="333" customFormat="1"/>
    <row r="3573" s="333" customFormat="1"/>
    <row r="3574" s="333" customFormat="1"/>
    <row r="3575" s="333" customFormat="1"/>
    <row r="3576" s="333" customFormat="1"/>
    <row r="3577" s="333" customFormat="1"/>
    <row r="3578" s="333" customFormat="1"/>
    <row r="3579" s="333" customFormat="1"/>
    <row r="3580" s="333" customFormat="1"/>
    <row r="3581" s="333" customFormat="1"/>
    <row r="3582" s="333" customFormat="1"/>
    <row r="3583" s="333" customFormat="1"/>
    <row r="3584" s="333" customFormat="1"/>
    <row r="3585" s="333" customFormat="1"/>
    <row r="3586" s="333" customFormat="1"/>
    <row r="3587" s="333" customFormat="1"/>
    <row r="3588" s="333" customFormat="1"/>
    <row r="3589" s="333" customFormat="1"/>
    <row r="3590" s="333" customFormat="1"/>
    <row r="3591" s="333" customFormat="1"/>
    <row r="3592" s="333" customFormat="1"/>
    <row r="3593" s="333" customFormat="1"/>
    <row r="3594" s="333" customFormat="1"/>
    <row r="3595" s="333" customFormat="1"/>
    <row r="3596" s="333" customFormat="1"/>
    <row r="3597" s="333" customFormat="1"/>
    <row r="3598" s="333" customFormat="1"/>
    <row r="3599" s="333" customFormat="1"/>
    <row r="3600" s="333" customFormat="1"/>
    <row r="3601" s="333" customFormat="1"/>
    <row r="3602" s="333" customFormat="1"/>
    <row r="3603" s="333" customFormat="1"/>
    <row r="3604" s="333" customFormat="1"/>
    <row r="3605" s="333" customFormat="1"/>
    <row r="3606" s="333" customFormat="1"/>
    <row r="3607" s="333" customFormat="1"/>
    <row r="3608" s="333" customFormat="1"/>
    <row r="3609" s="333" customFormat="1"/>
    <row r="3610" s="333" customFormat="1"/>
    <row r="3611" s="333" customFormat="1"/>
    <row r="3612" s="333" customFormat="1"/>
    <row r="3613" s="333" customFormat="1"/>
    <row r="3614" s="333" customFormat="1"/>
    <row r="3615" s="333" customFormat="1"/>
    <row r="3616" s="333" customFormat="1"/>
    <row r="3617" s="333" customFormat="1"/>
    <row r="3618" s="333" customFormat="1"/>
    <row r="3619" s="333" customFormat="1"/>
    <row r="3620" s="333" customFormat="1"/>
    <row r="3621" s="333" customFormat="1"/>
    <row r="3622" s="333" customFormat="1"/>
    <row r="3623" s="333" customFormat="1"/>
    <row r="3624" s="333" customFormat="1"/>
    <row r="3625" s="333" customFormat="1"/>
    <row r="3626" s="333" customFormat="1"/>
    <row r="3627" s="333" customFormat="1"/>
    <row r="3628" s="333" customFormat="1"/>
    <row r="3629" s="333" customFormat="1"/>
    <row r="3630" s="333" customFormat="1"/>
    <row r="3631" s="333" customFormat="1"/>
    <row r="3632" s="333" customFormat="1"/>
    <row r="3633" s="333" customFormat="1"/>
    <row r="3634" s="333" customFormat="1"/>
    <row r="3635" s="333" customFormat="1"/>
    <row r="3636" s="333" customFormat="1"/>
    <row r="3637" s="333" customFormat="1"/>
    <row r="3638" s="333" customFormat="1"/>
    <row r="3639" s="333" customFormat="1"/>
    <row r="3640" s="333" customFormat="1"/>
    <row r="3641" s="333" customFormat="1"/>
    <row r="3642" s="333" customFormat="1"/>
    <row r="3643" s="333" customFormat="1"/>
    <row r="3644" s="333" customFormat="1"/>
    <row r="3645" s="333" customFormat="1"/>
    <row r="3646" s="333" customFormat="1"/>
    <row r="3647" s="333" customFormat="1"/>
    <row r="3648" s="333" customFormat="1"/>
    <row r="3649" s="333" customFormat="1"/>
    <row r="3650" s="333" customFormat="1"/>
    <row r="3651" s="333" customFormat="1"/>
    <row r="3652" s="333" customFormat="1"/>
    <row r="3653" s="333" customFormat="1"/>
    <row r="3654" s="333" customFormat="1"/>
    <row r="3655" s="333" customFormat="1"/>
    <row r="3656" s="333" customFormat="1"/>
    <row r="3657" s="333" customFormat="1"/>
    <row r="3658" s="333" customFormat="1"/>
    <row r="3659" s="333" customFormat="1"/>
    <row r="3660" s="333" customFormat="1"/>
    <row r="3661" s="333" customFormat="1"/>
    <row r="3662" s="333" customFormat="1"/>
    <row r="3663" s="333" customFormat="1"/>
    <row r="3664" s="333" customFormat="1"/>
    <row r="3665" s="333" customFormat="1"/>
    <row r="3666" s="333" customFormat="1"/>
    <row r="3667" s="333" customFormat="1"/>
    <row r="3668" s="333" customFormat="1"/>
    <row r="3669" s="333" customFormat="1"/>
    <row r="3670" s="333" customFormat="1"/>
    <row r="3671" s="333" customFormat="1"/>
    <row r="3672" s="333" customFormat="1"/>
    <row r="3673" s="333" customFormat="1"/>
    <row r="3674" s="333" customFormat="1"/>
    <row r="3675" s="333" customFormat="1"/>
    <row r="3676" s="333" customFormat="1"/>
    <row r="3677" s="333" customFormat="1"/>
    <row r="3678" s="333" customFormat="1"/>
    <row r="3679" s="333" customFormat="1"/>
    <row r="3680" s="333" customFormat="1"/>
    <row r="3681" s="333" customFormat="1"/>
    <row r="3682" s="333" customFormat="1"/>
    <row r="3683" s="333" customFormat="1"/>
    <row r="3684" s="333" customFormat="1"/>
    <row r="3685" s="333" customFormat="1"/>
    <row r="3686" s="333" customFormat="1"/>
    <row r="3687" s="333" customFormat="1"/>
    <row r="3688" s="333" customFormat="1"/>
    <row r="3689" s="333" customFormat="1"/>
    <row r="3690" s="333" customFormat="1"/>
    <row r="3691" s="333" customFormat="1"/>
    <row r="3692" s="333" customFormat="1"/>
    <row r="3693" s="333" customFormat="1"/>
    <row r="3694" s="333" customFormat="1"/>
    <row r="3695" s="333" customFormat="1"/>
    <row r="3696" s="333" customFormat="1"/>
    <row r="3697" s="333" customFormat="1"/>
    <row r="3698" s="333" customFormat="1"/>
    <row r="3699" s="333" customFormat="1"/>
    <row r="3700" s="333" customFormat="1"/>
    <row r="3701" s="333" customFormat="1"/>
    <row r="3702" s="333" customFormat="1"/>
    <row r="3703" s="333" customFormat="1"/>
    <row r="3704" s="333" customFormat="1"/>
    <row r="3705" s="333" customFormat="1"/>
    <row r="3706" s="333" customFormat="1"/>
    <row r="3707" s="333" customFormat="1"/>
    <row r="3708" s="333" customFormat="1"/>
    <row r="3709" s="333" customFormat="1"/>
    <row r="3710" s="333" customFormat="1"/>
    <row r="3711" s="333" customFormat="1"/>
    <row r="3712" s="333" customFormat="1"/>
    <row r="3713" s="333" customFormat="1"/>
    <row r="3714" s="333" customFormat="1"/>
    <row r="3715" s="333" customFormat="1"/>
    <row r="3716" s="333" customFormat="1"/>
    <row r="3717" s="333" customFormat="1"/>
    <row r="3718" s="333" customFormat="1"/>
    <row r="3719" s="333" customFormat="1"/>
    <row r="3720" s="333" customFormat="1"/>
    <row r="3721" s="333" customFormat="1"/>
    <row r="3722" s="333" customFormat="1"/>
    <row r="3723" s="333" customFormat="1"/>
    <row r="3724" s="333" customFormat="1"/>
    <row r="3725" s="333" customFormat="1"/>
    <row r="3726" s="333" customFormat="1"/>
    <row r="3727" s="333" customFormat="1"/>
    <row r="3728" s="333" customFormat="1"/>
    <row r="3729" s="333" customFormat="1"/>
    <row r="3730" s="333" customFormat="1"/>
    <row r="3731" s="333" customFormat="1"/>
    <row r="3732" s="333" customFormat="1"/>
    <row r="3733" s="333" customFormat="1"/>
    <row r="3734" s="333" customFormat="1"/>
    <row r="3735" s="333" customFormat="1"/>
    <row r="3736" s="333" customFormat="1"/>
    <row r="3737" s="333" customFormat="1"/>
    <row r="3738" s="333" customFormat="1"/>
    <row r="3739" s="333" customFormat="1"/>
    <row r="3740" s="333" customFormat="1"/>
    <row r="3741" s="333" customFormat="1"/>
    <row r="3742" s="333" customFormat="1"/>
    <row r="3743" s="333" customFormat="1"/>
    <row r="3744" s="333" customFormat="1"/>
    <row r="3745" s="333" customFormat="1"/>
    <row r="3746" s="333" customFormat="1"/>
    <row r="3747" s="333" customFormat="1"/>
    <row r="3748" s="333" customFormat="1"/>
    <row r="3749" s="333" customFormat="1"/>
    <row r="3750" s="333" customFormat="1"/>
    <row r="3751" s="333" customFormat="1"/>
    <row r="3752" s="333" customFormat="1"/>
    <row r="3753" s="333" customFormat="1"/>
    <row r="3754" s="333" customFormat="1"/>
    <row r="3755" s="333" customFormat="1"/>
    <row r="3756" s="333" customFormat="1"/>
    <row r="3757" s="333" customFormat="1"/>
    <row r="3758" s="333" customFormat="1"/>
    <row r="3759" s="333" customFormat="1"/>
    <row r="3760" s="333" customFormat="1"/>
    <row r="3761" s="333" customFormat="1"/>
    <row r="3762" s="333" customFormat="1"/>
    <row r="3763" s="333" customFormat="1"/>
    <row r="3764" s="333" customFormat="1"/>
    <row r="3765" s="333" customFormat="1"/>
    <row r="3766" s="333" customFormat="1"/>
    <row r="3767" s="333" customFormat="1"/>
    <row r="3768" s="333" customFormat="1"/>
    <row r="3769" s="333" customFormat="1"/>
    <row r="3770" s="333" customFormat="1"/>
    <row r="3771" s="333" customFormat="1"/>
    <row r="3772" s="333" customFormat="1"/>
    <row r="3773" s="333" customFormat="1"/>
    <row r="3774" s="333" customFormat="1"/>
    <row r="3775" s="333" customFormat="1"/>
    <row r="3776" s="333" customFormat="1"/>
    <row r="3777" s="333" customFormat="1"/>
    <row r="3778" s="333" customFormat="1"/>
    <row r="3779" s="333" customFormat="1"/>
    <row r="3780" s="333" customFormat="1"/>
    <row r="3781" s="333" customFormat="1"/>
    <row r="3782" s="333" customFormat="1"/>
    <row r="3783" s="333" customFormat="1"/>
    <row r="3784" s="333" customFormat="1"/>
    <row r="3785" s="333" customFormat="1"/>
    <row r="3786" s="333" customFormat="1"/>
    <row r="3787" s="333" customFormat="1"/>
    <row r="3788" s="333" customFormat="1"/>
    <row r="3789" s="333" customFormat="1"/>
    <row r="3790" s="333" customFormat="1"/>
    <row r="3791" s="333" customFormat="1"/>
    <row r="3792" s="333" customFormat="1"/>
    <row r="3793" s="333" customFormat="1"/>
    <row r="3794" s="333" customFormat="1"/>
    <row r="3795" s="333" customFormat="1"/>
    <row r="3796" s="333" customFormat="1"/>
    <row r="3797" s="333" customFormat="1"/>
    <row r="3798" s="333" customFormat="1"/>
    <row r="3799" s="333" customFormat="1"/>
    <row r="3800" s="333" customFormat="1"/>
    <row r="3801" s="333" customFormat="1"/>
    <row r="3802" s="333" customFormat="1"/>
    <row r="3803" s="333" customFormat="1"/>
    <row r="3804" s="333" customFormat="1"/>
    <row r="3805" s="333" customFormat="1"/>
    <row r="3806" s="333" customFormat="1"/>
    <row r="3807" s="333" customFormat="1"/>
    <row r="3808" s="333" customFormat="1"/>
    <row r="3809" s="333" customFormat="1"/>
    <row r="3810" s="333" customFormat="1"/>
    <row r="3811" s="333" customFormat="1"/>
    <row r="3812" s="333" customFormat="1"/>
    <row r="3813" s="333" customFormat="1"/>
    <row r="3814" s="333" customFormat="1"/>
    <row r="3815" s="333" customFormat="1"/>
    <row r="3816" s="333" customFormat="1"/>
    <row r="3817" s="333" customFormat="1"/>
    <row r="3818" s="333" customFormat="1"/>
    <row r="3819" s="333" customFormat="1"/>
    <row r="3820" s="333" customFormat="1"/>
    <row r="3821" s="333" customFormat="1"/>
    <row r="3822" s="333" customFormat="1"/>
    <row r="3823" s="333" customFormat="1"/>
    <row r="3824" s="333" customFormat="1"/>
    <row r="3825" s="333" customFormat="1"/>
    <row r="3826" s="333" customFormat="1"/>
    <row r="3827" s="333" customFormat="1"/>
    <row r="3828" s="333" customFormat="1"/>
    <row r="3829" s="333" customFormat="1"/>
    <row r="3830" s="333" customFormat="1"/>
    <row r="3831" s="333" customFormat="1"/>
    <row r="3832" s="333" customFormat="1"/>
    <row r="3833" s="333" customFormat="1"/>
    <row r="3834" s="333" customFormat="1"/>
    <row r="3835" s="333" customFormat="1"/>
    <row r="3836" s="333" customFormat="1"/>
    <row r="3837" s="333" customFormat="1"/>
    <row r="3838" s="333" customFormat="1"/>
    <row r="3839" s="333" customFormat="1"/>
    <row r="3840" s="333" customFormat="1"/>
    <row r="3841" s="333" customFormat="1"/>
    <row r="3842" s="333" customFormat="1"/>
    <row r="3843" s="333" customFormat="1"/>
    <row r="3844" s="333" customFormat="1"/>
    <row r="3845" s="333" customFormat="1"/>
    <row r="3846" s="333" customFormat="1"/>
    <row r="3847" s="333" customFormat="1"/>
    <row r="3848" s="333" customFormat="1"/>
    <row r="3849" s="333" customFormat="1"/>
    <row r="3850" s="333" customFormat="1"/>
    <row r="3851" s="333" customFormat="1"/>
    <row r="3852" s="333" customFormat="1"/>
    <row r="3853" s="333" customFormat="1"/>
    <row r="3854" s="333" customFormat="1"/>
    <row r="3855" s="333" customFormat="1"/>
    <row r="3856" s="333" customFormat="1"/>
    <row r="3857" s="333" customFormat="1"/>
    <row r="3858" s="333" customFormat="1"/>
    <row r="3859" s="333" customFormat="1"/>
    <row r="3860" s="333" customFormat="1"/>
    <row r="3861" s="333" customFormat="1"/>
    <row r="3862" s="333" customFormat="1"/>
    <row r="3863" s="333" customFormat="1"/>
    <row r="3864" s="333" customFormat="1"/>
    <row r="3865" s="333" customFormat="1"/>
    <row r="3866" s="333" customFormat="1"/>
    <row r="3867" s="333" customFormat="1"/>
    <row r="3868" s="333" customFormat="1"/>
    <row r="3869" s="333" customFormat="1"/>
    <row r="3870" s="333" customFormat="1"/>
    <row r="3871" s="333" customFormat="1"/>
    <row r="3872" s="333" customFormat="1"/>
    <row r="3873" s="333" customFormat="1"/>
    <row r="3874" s="333" customFormat="1"/>
    <row r="3875" s="333" customFormat="1"/>
    <row r="3876" s="333" customFormat="1"/>
    <row r="3877" s="333" customFormat="1"/>
    <row r="3878" s="333" customFormat="1"/>
    <row r="3879" s="333" customFormat="1"/>
    <row r="3880" s="333" customFormat="1"/>
    <row r="3881" s="333" customFormat="1"/>
    <row r="3882" s="333" customFormat="1"/>
    <row r="3883" s="333" customFormat="1"/>
    <row r="3884" s="333" customFormat="1"/>
    <row r="3885" s="333" customFormat="1"/>
    <row r="3886" s="333" customFormat="1"/>
    <row r="3887" s="333" customFormat="1"/>
    <row r="3888" s="333" customFormat="1"/>
    <row r="3889" s="333" customFormat="1"/>
    <row r="3890" s="333" customFormat="1"/>
    <row r="3891" s="333" customFormat="1"/>
    <row r="3892" s="333" customFormat="1"/>
    <row r="3893" s="333" customFormat="1"/>
    <row r="3894" s="333" customFormat="1"/>
    <row r="3895" s="333" customFormat="1"/>
    <row r="3896" s="333" customFormat="1"/>
    <row r="3897" s="333" customFormat="1"/>
    <row r="3898" s="333" customFormat="1"/>
    <row r="3899" s="333" customFormat="1"/>
    <row r="3900" s="333" customFormat="1"/>
    <row r="3901" s="333" customFormat="1"/>
    <row r="3902" s="333" customFormat="1"/>
    <row r="3903" s="333" customFormat="1"/>
    <row r="3904" s="333" customFormat="1"/>
    <row r="3905" s="333" customFormat="1"/>
    <row r="3906" s="333" customFormat="1"/>
    <row r="3907" s="333" customFormat="1"/>
    <row r="3908" s="333" customFormat="1"/>
    <row r="3909" s="333" customFormat="1"/>
    <row r="3910" s="333" customFormat="1"/>
    <row r="3911" s="333" customFormat="1"/>
    <row r="3912" s="333" customFormat="1"/>
    <row r="3913" s="333" customFormat="1"/>
    <row r="3914" s="333" customFormat="1"/>
    <row r="3915" s="333" customFormat="1"/>
    <row r="3916" s="333" customFormat="1"/>
    <row r="3917" s="333" customFormat="1"/>
    <row r="3918" s="333" customFormat="1"/>
    <row r="3919" s="333" customFormat="1"/>
    <row r="3920" s="333" customFormat="1"/>
    <row r="3921" s="333" customFormat="1"/>
    <row r="3922" s="333" customFormat="1"/>
    <row r="3923" s="333" customFormat="1"/>
    <row r="3924" s="333" customFormat="1"/>
    <row r="3925" s="333" customFormat="1"/>
    <row r="3926" s="333" customFormat="1"/>
    <row r="3927" s="333" customFormat="1"/>
    <row r="3928" s="333" customFormat="1"/>
    <row r="3929" s="333" customFormat="1"/>
    <row r="3930" s="333" customFormat="1"/>
    <row r="3931" s="333" customFormat="1"/>
    <row r="3932" s="333" customFormat="1"/>
    <row r="3933" s="333" customFormat="1"/>
    <row r="3934" s="333" customFormat="1"/>
    <row r="3935" s="333" customFormat="1"/>
    <row r="3936" s="333" customFormat="1"/>
    <row r="3937" s="333" customFormat="1"/>
    <row r="3938" s="333" customFormat="1"/>
    <row r="3939" s="333" customFormat="1"/>
    <row r="3940" s="333" customFormat="1"/>
    <row r="3941" s="333" customFormat="1"/>
    <row r="3942" s="333" customFormat="1"/>
    <row r="3943" s="333" customFormat="1"/>
    <row r="3944" s="333" customFormat="1"/>
    <row r="3945" s="333" customFormat="1"/>
    <row r="3946" s="333" customFormat="1"/>
    <row r="3947" s="333" customFormat="1"/>
    <row r="3948" s="333" customFormat="1"/>
    <row r="3949" s="333" customFormat="1"/>
    <row r="3950" s="333" customFormat="1"/>
    <row r="3951" s="333" customFormat="1"/>
    <row r="3952" s="333" customFormat="1"/>
    <row r="3953" s="333" customFormat="1"/>
    <row r="3954" s="333" customFormat="1"/>
    <row r="3955" s="333" customFormat="1"/>
    <row r="3956" s="333" customFormat="1"/>
    <row r="3957" s="333" customFormat="1"/>
    <row r="3958" s="333" customFormat="1"/>
    <row r="3959" s="333" customFormat="1"/>
    <row r="3960" s="333" customFormat="1"/>
    <row r="3961" s="333" customFormat="1"/>
    <row r="3962" s="333" customFormat="1"/>
    <row r="3963" s="333" customFormat="1"/>
    <row r="3964" s="333" customFormat="1"/>
    <row r="3965" s="333" customFormat="1"/>
    <row r="3966" s="333" customFormat="1"/>
    <row r="3967" s="333" customFormat="1"/>
    <row r="3968" s="333" customFormat="1"/>
    <row r="3969" s="333" customFormat="1"/>
    <row r="3970" s="333" customFormat="1"/>
    <row r="3971" s="333" customFormat="1"/>
    <row r="3972" s="333" customFormat="1"/>
    <row r="3973" s="333" customFormat="1"/>
    <row r="3974" s="333" customFormat="1"/>
    <row r="3975" s="333" customFormat="1"/>
    <row r="3976" s="333" customFormat="1"/>
    <row r="3977" s="333" customFormat="1"/>
    <row r="3978" s="333" customFormat="1"/>
    <row r="3979" s="333" customFormat="1"/>
    <row r="3980" s="333" customFormat="1"/>
    <row r="3981" s="333" customFormat="1"/>
    <row r="3982" s="333" customFormat="1"/>
    <row r="3983" s="333" customFormat="1"/>
    <row r="3984" s="333" customFormat="1"/>
    <row r="3985" s="333" customFormat="1"/>
    <row r="3986" s="333" customFormat="1"/>
    <row r="3987" s="333" customFormat="1"/>
    <row r="3988" s="333" customFormat="1"/>
    <row r="3989" s="333" customFormat="1"/>
    <row r="3990" s="333" customFormat="1"/>
    <row r="3991" s="333" customFormat="1"/>
    <row r="3992" s="333" customFormat="1"/>
    <row r="3993" s="333" customFormat="1"/>
    <row r="3994" s="333" customFormat="1"/>
    <row r="3995" s="333" customFormat="1"/>
    <row r="3996" s="333" customFormat="1"/>
    <row r="3997" s="333" customFormat="1"/>
    <row r="3998" s="333" customFormat="1"/>
    <row r="3999" s="333" customFormat="1"/>
    <row r="4000" s="333" customFormat="1"/>
    <row r="4001" s="333" customFormat="1"/>
    <row r="4002" s="333" customFormat="1"/>
    <row r="4003" s="333" customFormat="1"/>
    <row r="4004" s="333" customFormat="1"/>
    <row r="4005" s="333" customFormat="1"/>
    <row r="4006" s="333" customFormat="1"/>
    <row r="4007" s="333" customFormat="1"/>
    <row r="4008" s="333" customFormat="1"/>
    <row r="4009" s="333" customFormat="1"/>
    <row r="4010" s="333" customFormat="1"/>
    <row r="4011" s="333" customFormat="1"/>
    <row r="4012" s="333" customFormat="1"/>
    <row r="4013" s="333" customFormat="1"/>
    <row r="4014" s="333" customFormat="1"/>
    <row r="4015" s="333" customFormat="1"/>
    <row r="4016" s="333" customFormat="1"/>
    <row r="4017" s="333" customFormat="1"/>
    <row r="4018" s="333" customFormat="1"/>
    <row r="4019" s="333" customFormat="1"/>
    <row r="4020" s="333" customFormat="1"/>
    <row r="4021" s="333" customFormat="1"/>
    <row r="4022" s="333" customFormat="1"/>
    <row r="4023" s="333" customFormat="1"/>
    <row r="4024" s="333" customFormat="1"/>
    <row r="4025" s="333" customFormat="1"/>
    <row r="4026" s="333" customFormat="1"/>
    <row r="4027" s="333" customFormat="1"/>
    <row r="4028" s="333" customFormat="1"/>
    <row r="4029" s="333" customFormat="1"/>
    <row r="4030" s="333" customFormat="1"/>
    <row r="4031" s="333" customFormat="1"/>
    <row r="4032" s="333" customFormat="1"/>
    <row r="4033" s="333" customFormat="1"/>
    <row r="4034" s="333" customFormat="1"/>
    <row r="4035" s="333" customFormat="1"/>
    <row r="4036" s="333" customFormat="1"/>
    <row r="4037" s="333" customFormat="1"/>
    <row r="4038" s="333" customFormat="1"/>
    <row r="4039" s="333" customFormat="1"/>
    <row r="4040" s="333" customFormat="1"/>
    <row r="4041" s="333" customFormat="1"/>
    <row r="4042" s="333" customFormat="1"/>
    <row r="4043" s="333" customFormat="1"/>
    <row r="4044" s="333" customFormat="1"/>
    <row r="4045" s="333" customFormat="1"/>
    <row r="4046" s="333" customFormat="1"/>
    <row r="4047" s="333" customFormat="1"/>
    <row r="4048" s="333" customFormat="1"/>
    <row r="4049" s="333" customFormat="1"/>
    <row r="4050" s="333" customFormat="1"/>
    <row r="4051" s="333" customFormat="1"/>
    <row r="4052" s="333" customFormat="1"/>
    <row r="4053" s="333" customFormat="1"/>
    <row r="4054" s="333" customFormat="1"/>
    <row r="4055" s="333" customFormat="1"/>
    <row r="4056" s="333" customFormat="1"/>
    <row r="4057" s="333" customFormat="1"/>
    <row r="4058" s="333" customFormat="1"/>
    <row r="4059" s="333" customFormat="1"/>
    <row r="4060" s="333" customFormat="1"/>
    <row r="4061" s="333" customFormat="1"/>
    <row r="4062" s="333" customFormat="1"/>
    <row r="4063" s="333" customFormat="1"/>
    <row r="4064" s="333" customFormat="1"/>
    <row r="4065" s="333" customFormat="1"/>
    <row r="4066" s="333" customFormat="1"/>
    <row r="4067" s="333" customFormat="1"/>
    <row r="4068" s="333" customFormat="1"/>
    <row r="4069" s="333" customFormat="1"/>
    <row r="4070" s="333" customFormat="1"/>
    <row r="4071" s="333" customFormat="1"/>
    <row r="4072" s="333" customFormat="1"/>
    <row r="4073" s="333" customFormat="1"/>
    <row r="4074" s="333" customFormat="1"/>
    <row r="4075" s="333" customFormat="1"/>
    <row r="4076" s="333" customFormat="1"/>
    <row r="4077" s="333" customFormat="1"/>
    <row r="4078" s="333" customFormat="1"/>
    <row r="4079" s="333" customFormat="1"/>
    <row r="4080" s="333" customFormat="1"/>
    <row r="4081" s="333" customFormat="1"/>
    <row r="4082" s="333" customFormat="1"/>
    <row r="4083" s="333" customFormat="1"/>
    <row r="4084" s="333" customFormat="1"/>
    <row r="4085" s="333" customFormat="1"/>
    <row r="4086" s="333" customFormat="1"/>
    <row r="4087" s="333" customFormat="1"/>
    <row r="4088" s="333" customFormat="1"/>
    <row r="4089" s="333" customFormat="1"/>
    <row r="4090" s="333" customFormat="1"/>
    <row r="4091" s="333" customFormat="1"/>
    <row r="4092" s="333" customFormat="1"/>
    <row r="4093" s="333" customFormat="1"/>
    <row r="4094" s="333" customFormat="1"/>
    <row r="4095" s="333" customFormat="1"/>
    <row r="4096" s="333" customFormat="1"/>
    <row r="4097" s="333" customFormat="1"/>
    <row r="4098" s="333" customFormat="1"/>
    <row r="4099" s="333" customFormat="1"/>
    <row r="4100" s="333" customFormat="1"/>
    <row r="4101" s="333" customFormat="1"/>
    <row r="4102" s="333" customFormat="1"/>
    <row r="4103" s="333" customFormat="1"/>
    <row r="4104" s="333" customFormat="1"/>
    <row r="4105" s="333" customFormat="1"/>
    <row r="4106" s="333" customFormat="1"/>
    <row r="4107" s="333" customFormat="1"/>
    <row r="4108" s="333" customFormat="1"/>
    <row r="4109" s="333" customFormat="1"/>
    <row r="4110" s="333" customFormat="1"/>
    <row r="4111" s="333" customFormat="1"/>
    <row r="4112" s="333" customFormat="1"/>
    <row r="4113" s="333" customFormat="1"/>
    <row r="4114" s="333" customFormat="1"/>
    <row r="4115" s="333" customFormat="1"/>
    <row r="4116" s="333" customFormat="1"/>
    <row r="4117" s="333" customFormat="1"/>
    <row r="4118" s="333" customFormat="1"/>
    <row r="4119" s="333" customFormat="1"/>
    <row r="4120" s="333" customFormat="1"/>
    <row r="4121" s="333" customFormat="1"/>
    <row r="4122" s="333" customFormat="1"/>
    <row r="4123" s="333" customFormat="1"/>
    <row r="4124" s="333" customFormat="1"/>
    <row r="4125" s="333" customFormat="1"/>
    <row r="4126" s="333" customFormat="1"/>
    <row r="4127" s="333" customFormat="1"/>
    <row r="4128" s="333" customFormat="1"/>
    <row r="4129" s="333" customFormat="1"/>
    <row r="4130" s="333" customFormat="1"/>
    <row r="4131" s="333" customFormat="1"/>
    <row r="4132" s="333" customFormat="1"/>
    <row r="4133" s="333" customFormat="1"/>
    <row r="4134" s="333" customFormat="1"/>
    <row r="4135" s="333" customFormat="1"/>
    <row r="4136" s="333" customFormat="1"/>
    <row r="4137" s="333" customFormat="1"/>
    <row r="4138" s="333" customFormat="1"/>
    <row r="4139" s="333" customFormat="1"/>
    <row r="4140" s="333" customFormat="1"/>
    <row r="4141" s="333" customFormat="1"/>
    <row r="4142" s="333" customFormat="1"/>
    <row r="4143" s="333" customFormat="1"/>
    <row r="4144" s="333" customFormat="1"/>
    <row r="4145" s="333" customFormat="1"/>
    <row r="4146" s="333" customFormat="1"/>
    <row r="4147" s="333" customFormat="1"/>
    <row r="4148" s="333" customFormat="1"/>
    <row r="4149" s="333" customFormat="1"/>
    <row r="4150" s="333" customFormat="1"/>
    <row r="4151" s="333" customFormat="1"/>
    <row r="4152" s="333" customFormat="1"/>
    <row r="4153" s="333" customFormat="1"/>
    <row r="4154" s="333" customFormat="1"/>
    <row r="4155" s="333" customFormat="1"/>
    <row r="4156" s="333" customFormat="1"/>
    <row r="4157" s="333" customFormat="1"/>
    <row r="4158" s="333" customFormat="1"/>
    <row r="4159" s="333" customFormat="1"/>
    <row r="4160" s="333" customFormat="1"/>
    <row r="4161" s="333" customFormat="1"/>
    <row r="4162" s="333" customFormat="1"/>
    <row r="4163" s="333" customFormat="1"/>
    <row r="4164" s="333" customFormat="1"/>
    <row r="4165" s="333" customFormat="1"/>
    <row r="4166" s="333" customFormat="1"/>
    <row r="4167" s="333" customFormat="1"/>
    <row r="4168" s="333" customFormat="1"/>
    <row r="4169" s="333" customFormat="1"/>
    <row r="4170" s="333" customFormat="1"/>
    <row r="4171" s="333" customFormat="1"/>
    <row r="4172" s="333" customFormat="1"/>
    <row r="4173" s="333" customFormat="1"/>
    <row r="4174" s="333" customFormat="1"/>
    <row r="4175" s="333" customFormat="1"/>
    <row r="4176" s="333" customFormat="1"/>
    <row r="4177" s="333" customFormat="1"/>
    <row r="4178" s="333" customFormat="1"/>
    <row r="4179" s="333" customFormat="1"/>
    <row r="4180" s="333" customFormat="1"/>
    <row r="4181" s="333" customFormat="1"/>
    <row r="4182" s="333" customFormat="1"/>
    <row r="4183" s="333" customFormat="1"/>
    <row r="4184" s="333" customFormat="1"/>
    <row r="4185" s="333" customFormat="1"/>
    <row r="4186" s="333" customFormat="1"/>
    <row r="4187" s="333" customFormat="1"/>
    <row r="4188" s="333" customFormat="1"/>
    <row r="4189" s="333" customFormat="1"/>
    <row r="4190" s="333" customFormat="1"/>
    <row r="4191" s="333" customFormat="1"/>
    <row r="4192" s="333" customFormat="1"/>
    <row r="4193" s="333" customFormat="1"/>
    <row r="4194" s="333" customFormat="1"/>
    <row r="4195" s="333" customFormat="1"/>
    <row r="4196" s="333" customFormat="1"/>
    <row r="4197" s="333" customFormat="1"/>
    <row r="4198" s="333" customFormat="1"/>
    <row r="4199" s="333" customFormat="1"/>
    <row r="4200" s="333" customFormat="1"/>
    <row r="4201" s="333" customFormat="1"/>
    <row r="4202" s="333" customFormat="1"/>
    <row r="4203" s="333" customFormat="1"/>
    <row r="4204" s="333" customFormat="1"/>
    <row r="4205" s="333" customFormat="1"/>
    <row r="4206" s="333" customFormat="1"/>
    <row r="4207" s="333" customFormat="1"/>
    <row r="4208" s="333" customFormat="1"/>
    <row r="4209" s="333" customFormat="1"/>
    <row r="4210" s="333" customFormat="1"/>
    <row r="4211" s="333" customFormat="1"/>
    <row r="4212" s="333" customFormat="1"/>
    <row r="4213" s="333" customFormat="1"/>
    <row r="4214" s="333" customFormat="1"/>
    <row r="4215" s="333" customFormat="1"/>
    <row r="4216" s="333" customFormat="1"/>
    <row r="4217" s="333" customFormat="1"/>
    <row r="4218" s="333" customFormat="1"/>
    <row r="4219" s="333" customFormat="1"/>
    <row r="4220" s="333" customFormat="1"/>
    <row r="4221" s="333" customFormat="1"/>
    <row r="4222" s="333" customFormat="1"/>
    <row r="4223" s="333" customFormat="1"/>
    <row r="4224" s="333" customFormat="1"/>
    <row r="4225" s="333" customFormat="1"/>
    <row r="4226" s="333" customFormat="1"/>
    <row r="4227" s="333" customFormat="1"/>
    <row r="4228" s="333" customFormat="1"/>
    <row r="4229" s="333" customFormat="1"/>
    <row r="4230" s="333" customFormat="1"/>
    <row r="4231" s="333" customFormat="1"/>
    <row r="4232" s="333" customFormat="1"/>
    <row r="4233" s="333" customFormat="1"/>
    <row r="4234" s="333" customFormat="1"/>
    <row r="4235" s="333" customFormat="1"/>
    <row r="4236" s="333" customFormat="1"/>
    <row r="4237" s="333" customFormat="1"/>
    <row r="4238" s="333" customFormat="1"/>
    <row r="4239" s="333" customFormat="1"/>
    <row r="4240" s="333" customFormat="1"/>
    <row r="4241" s="333" customFormat="1"/>
    <row r="4242" s="333" customFormat="1"/>
    <row r="4243" s="333" customFormat="1"/>
    <row r="4244" s="333" customFormat="1"/>
    <row r="4245" s="333" customFormat="1"/>
    <row r="4246" s="333" customFormat="1"/>
    <row r="4247" s="333" customFormat="1"/>
    <row r="4248" s="333" customFormat="1"/>
    <row r="4249" s="333" customFormat="1"/>
    <row r="4250" s="333" customFormat="1"/>
    <row r="4251" s="333" customFormat="1"/>
    <row r="4252" s="333" customFormat="1"/>
    <row r="4253" s="333" customFormat="1"/>
    <row r="4254" s="333" customFormat="1"/>
    <row r="4255" s="333" customFormat="1"/>
    <row r="4256" s="333" customFormat="1"/>
    <row r="4257" s="333" customFormat="1"/>
    <row r="4258" s="333" customFormat="1"/>
    <row r="4259" s="333" customFormat="1"/>
    <row r="4260" s="333" customFormat="1"/>
    <row r="4261" s="333" customFormat="1"/>
    <row r="4262" s="333" customFormat="1"/>
    <row r="4263" s="333" customFormat="1"/>
    <row r="4264" s="333" customFormat="1"/>
    <row r="4265" s="333" customFormat="1"/>
    <row r="4266" s="333" customFormat="1"/>
    <row r="4267" s="333" customFormat="1"/>
    <row r="4268" s="333" customFormat="1"/>
    <row r="4269" s="333" customFormat="1"/>
    <row r="4270" s="333" customFormat="1"/>
    <row r="4271" s="333" customFormat="1"/>
    <row r="4272" s="333" customFormat="1"/>
    <row r="4273" s="333" customFormat="1"/>
    <row r="4274" s="333" customFormat="1"/>
    <row r="4275" s="333" customFormat="1"/>
    <row r="4276" s="333" customFormat="1"/>
    <row r="4277" s="333" customFormat="1"/>
    <row r="4278" s="333" customFormat="1"/>
    <row r="4279" s="333" customFormat="1"/>
    <row r="4280" s="333" customFormat="1"/>
    <row r="4281" s="333" customFormat="1"/>
    <row r="4282" s="333" customFormat="1"/>
    <row r="4283" s="333" customFormat="1"/>
    <row r="4284" s="333" customFormat="1"/>
    <row r="4285" s="333" customFormat="1"/>
    <row r="4286" s="333" customFormat="1"/>
    <row r="4287" s="333" customFormat="1"/>
    <row r="4288" s="333" customFormat="1"/>
    <row r="4289" s="333" customFormat="1"/>
    <row r="4290" s="333" customFormat="1"/>
    <row r="4291" s="333" customFormat="1"/>
    <row r="4292" s="333" customFormat="1"/>
    <row r="4293" s="333" customFormat="1"/>
    <row r="4294" s="333" customFormat="1"/>
    <row r="4295" s="333" customFormat="1"/>
    <row r="4296" s="333" customFormat="1"/>
    <row r="4297" s="333" customFormat="1"/>
    <row r="4298" s="333" customFormat="1"/>
    <row r="4299" s="333" customFormat="1"/>
    <row r="4300" s="333" customFormat="1"/>
    <row r="4301" s="333" customFormat="1"/>
    <row r="4302" s="333" customFormat="1"/>
    <row r="4303" s="333" customFormat="1"/>
    <row r="4304" s="333" customFormat="1"/>
    <row r="4305" s="333" customFormat="1"/>
    <row r="4306" s="333" customFormat="1"/>
    <row r="4307" s="333" customFormat="1"/>
    <row r="4308" s="333" customFormat="1"/>
    <row r="4309" s="333" customFormat="1"/>
    <row r="4310" s="333" customFormat="1"/>
    <row r="4311" s="333" customFormat="1"/>
    <row r="4312" s="333" customFormat="1"/>
    <row r="4313" s="333" customFormat="1"/>
    <row r="4314" s="333" customFormat="1"/>
    <row r="4315" s="333" customFormat="1"/>
    <row r="4316" s="333" customFormat="1"/>
    <row r="4317" s="333" customFormat="1"/>
    <row r="4318" s="333" customFormat="1"/>
    <row r="4319" s="333" customFormat="1"/>
    <row r="4320" s="333" customFormat="1"/>
    <row r="4321" s="333" customFormat="1"/>
    <row r="4322" s="333" customFormat="1"/>
    <row r="4323" s="333" customFormat="1"/>
    <row r="4324" s="333" customFormat="1"/>
    <row r="4325" s="333" customFormat="1"/>
    <row r="4326" s="333" customFormat="1"/>
    <row r="4327" s="333" customFormat="1"/>
    <row r="4328" s="333" customFormat="1"/>
    <row r="4329" s="333" customFormat="1"/>
    <row r="4330" s="333" customFormat="1"/>
    <row r="4331" s="333" customFormat="1"/>
    <row r="4332" s="333" customFormat="1"/>
    <row r="4333" s="333" customFormat="1"/>
    <row r="4334" s="333" customFormat="1"/>
    <row r="4335" s="333" customFormat="1"/>
    <row r="4336" s="333" customFormat="1"/>
    <row r="4337" s="333" customFormat="1"/>
    <row r="4338" s="333" customFormat="1"/>
    <row r="4339" s="333" customFormat="1"/>
    <row r="4340" s="333" customFormat="1"/>
    <row r="4341" s="333" customFormat="1"/>
    <row r="4342" s="333" customFormat="1"/>
    <row r="4343" s="333" customFormat="1"/>
    <row r="4344" s="333" customFormat="1"/>
    <row r="4345" s="333" customFormat="1"/>
    <row r="4346" s="333" customFormat="1"/>
    <row r="4347" s="333" customFormat="1"/>
    <row r="4348" s="333" customFormat="1"/>
    <row r="4349" s="333" customFormat="1"/>
    <row r="4350" s="333" customFormat="1"/>
    <row r="4351" s="333" customFormat="1"/>
    <row r="4352" s="333" customFormat="1"/>
    <row r="4353" s="333" customFormat="1"/>
    <row r="4354" s="333" customFormat="1"/>
    <row r="4355" s="333" customFormat="1"/>
    <row r="4356" s="333" customFormat="1"/>
    <row r="4357" s="333" customFormat="1"/>
    <row r="4358" s="333" customFormat="1"/>
    <row r="4359" s="333" customFormat="1"/>
    <row r="4360" s="333" customFormat="1"/>
    <row r="4361" s="333" customFormat="1"/>
    <row r="4362" s="333" customFormat="1"/>
    <row r="4363" s="333" customFormat="1"/>
    <row r="4364" s="333" customFormat="1"/>
    <row r="4365" s="333" customFormat="1"/>
    <row r="4366" s="333" customFormat="1"/>
    <row r="4367" s="333" customFormat="1"/>
    <row r="4368" s="333" customFormat="1"/>
    <row r="4369" s="333" customFormat="1"/>
    <row r="4370" s="333" customFormat="1"/>
    <row r="4371" s="333" customFormat="1"/>
    <row r="4372" s="333" customFormat="1"/>
    <row r="4373" s="333" customFormat="1"/>
    <row r="4374" s="333" customFormat="1"/>
    <row r="4375" s="333" customFormat="1"/>
    <row r="4376" s="333" customFormat="1"/>
    <row r="4377" s="333" customFormat="1"/>
    <row r="4378" s="333" customFormat="1"/>
    <row r="4379" s="333" customFormat="1"/>
    <row r="4380" s="333" customFormat="1"/>
    <row r="4381" s="333" customFormat="1"/>
    <row r="4382" s="333" customFormat="1"/>
    <row r="4383" s="333" customFormat="1"/>
    <row r="4384" s="333" customFormat="1"/>
    <row r="4385" s="333" customFormat="1"/>
    <row r="4386" s="333" customFormat="1"/>
    <row r="4387" s="333" customFormat="1"/>
    <row r="4388" s="333" customFormat="1"/>
    <row r="4389" s="333" customFormat="1"/>
    <row r="4390" s="333" customFormat="1"/>
    <row r="4391" s="333" customFormat="1"/>
    <row r="4392" s="333" customFormat="1"/>
    <row r="4393" s="333" customFormat="1"/>
    <row r="4394" s="333" customFormat="1"/>
    <row r="4395" s="333" customFormat="1"/>
    <row r="4396" s="333" customFormat="1"/>
    <row r="4397" s="333" customFormat="1"/>
    <row r="4398" s="333" customFormat="1"/>
    <row r="4399" s="333" customFormat="1"/>
    <row r="4400" s="333" customFormat="1"/>
    <row r="4401" s="333" customFormat="1"/>
    <row r="4402" s="333" customFormat="1"/>
    <row r="4403" s="333" customFormat="1"/>
    <row r="4404" s="333" customFormat="1"/>
    <row r="4405" s="333" customFormat="1"/>
    <row r="4406" s="333" customFormat="1"/>
    <row r="4407" s="333" customFormat="1"/>
    <row r="4408" s="333" customFormat="1"/>
    <row r="4409" s="333" customFormat="1"/>
    <row r="4410" s="333" customFormat="1"/>
    <row r="4411" s="333" customFormat="1"/>
    <row r="4412" s="333" customFormat="1"/>
    <row r="4413" s="333" customFormat="1"/>
    <row r="4414" s="333" customFormat="1"/>
    <row r="4415" s="333" customFormat="1"/>
    <row r="4416" s="333" customFormat="1"/>
    <row r="4417" s="333" customFormat="1"/>
    <row r="4418" s="333" customFormat="1"/>
    <row r="4419" s="333" customFormat="1"/>
    <row r="4420" s="333" customFormat="1"/>
    <row r="4421" s="333" customFormat="1"/>
    <row r="4422" s="333" customFormat="1"/>
    <row r="4423" s="333" customFormat="1"/>
    <row r="4424" s="333" customFormat="1"/>
    <row r="4425" s="333" customFormat="1"/>
    <row r="4426" s="333" customFormat="1"/>
    <row r="4427" s="333" customFormat="1"/>
    <row r="4428" s="333" customFormat="1"/>
    <row r="4429" s="333" customFormat="1"/>
    <row r="4430" s="333" customFormat="1"/>
    <row r="4431" s="333" customFormat="1"/>
    <row r="4432" s="333" customFormat="1"/>
    <row r="4433" s="333" customFormat="1"/>
    <row r="4434" s="333" customFormat="1"/>
    <row r="4435" s="333" customFormat="1"/>
    <row r="4436" s="333" customFormat="1"/>
    <row r="4437" s="333" customFormat="1"/>
    <row r="4438" s="333" customFormat="1"/>
    <row r="4439" s="333" customFormat="1"/>
    <row r="4440" s="333" customFormat="1"/>
    <row r="4441" s="333" customFormat="1"/>
    <row r="4442" s="333" customFormat="1"/>
    <row r="4443" s="333" customFormat="1"/>
    <row r="4444" s="333" customFormat="1"/>
    <row r="4445" s="333" customFormat="1"/>
    <row r="4446" s="333" customFormat="1"/>
    <row r="4447" s="333" customFormat="1"/>
    <row r="4448" s="333" customFormat="1"/>
    <row r="4449" s="333" customFormat="1"/>
    <row r="4450" s="333" customFormat="1"/>
    <row r="4451" s="333" customFormat="1"/>
    <row r="4452" s="333" customFormat="1"/>
    <row r="4453" s="333" customFormat="1"/>
    <row r="4454" s="333" customFormat="1"/>
    <row r="4455" s="333" customFormat="1"/>
    <row r="4456" s="333" customFormat="1"/>
    <row r="4457" s="333" customFormat="1"/>
    <row r="4458" s="333" customFormat="1"/>
    <row r="4459" s="333" customFormat="1"/>
    <row r="4460" s="333" customFormat="1"/>
    <row r="4461" s="333" customFormat="1"/>
    <row r="4462" s="333" customFormat="1"/>
    <row r="4463" s="333" customFormat="1"/>
    <row r="4464" s="333" customFormat="1"/>
    <row r="4465" s="333" customFormat="1"/>
    <row r="4466" s="333" customFormat="1"/>
    <row r="4467" s="333" customFormat="1"/>
    <row r="4468" s="333" customFormat="1"/>
    <row r="4469" s="333" customFormat="1"/>
    <row r="4470" s="333" customFormat="1"/>
    <row r="4471" s="333" customFormat="1"/>
    <row r="4472" s="333" customFormat="1"/>
    <row r="4473" s="333" customFormat="1"/>
    <row r="4474" s="333" customFormat="1"/>
    <row r="4475" s="333" customFormat="1"/>
    <row r="4476" s="333" customFormat="1"/>
    <row r="4477" s="333" customFormat="1"/>
    <row r="4478" s="333" customFormat="1"/>
    <row r="4479" s="333" customFormat="1"/>
    <row r="4480" s="333" customFormat="1"/>
    <row r="4481" s="333" customFormat="1"/>
    <row r="4482" s="333" customFormat="1"/>
    <row r="4483" s="333" customFormat="1"/>
    <row r="4484" s="333" customFormat="1"/>
    <row r="4485" s="333" customFormat="1"/>
    <row r="4486" s="333" customFormat="1"/>
    <row r="4487" s="333" customFormat="1"/>
    <row r="4488" s="333" customFormat="1"/>
    <row r="4489" s="333" customFormat="1"/>
    <row r="4490" s="333" customFormat="1"/>
    <row r="4491" s="333" customFormat="1"/>
    <row r="4492" s="333" customFormat="1"/>
    <row r="4493" s="333" customFormat="1"/>
    <row r="4494" s="333" customFormat="1"/>
    <row r="4495" s="333" customFormat="1"/>
    <row r="4496" s="333" customFormat="1"/>
    <row r="4497" s="333" customFormat="1"/>
    <row r="4498" s="333" customFormat="1"/>
    <row r="4499" s="333" customFormat="1"/>
    <row r="4500" s="333" customFormat="1"/>
    <row r="4501" s="333" customFormat="1"/>
    <row r="4502" s="333" customFormat="1"/>
    <row r="4503" s="333" customFormat="1"/>
    <row r="4504" s="333" customFormat="1"/>
    <row r="4505" s="333" customFormat="1"/>
    <row r="4506" s="333" customFormat="1"/>
    <row r="4507" s="333" customFormat="1"/>
    <row r="4508" s="333" customFormat="1"/>
    <row r="4509" s="333" customFormat="1"/>
    <row r="4510" s="333" customFormat="1"/>
    <row r="4511" s="333" customFormat="1"/>
    <row r="4512" s="333" customFormat="1"/>
    <row r="4513" s="333" customFormat="1"/>
    <row r="4514" s="333" customFormat="1"/>
    <row r="4515" s="333" customFormat="1"/>
    <row r="4516" s="333" customFormat="1"/>
    <row r="4517" s="333" customFormat="1"/>
    <row r="4518" s="333" customFormat="1"/>
    <row r="4519" s="333" customFormat="1"/>
    <row r="4520" s="333" customFormat="1"/>
    <row r="4521" s="333" customFormat="1"/>
    <row r="4522" s="333" customFormat="1"/>
    <row r="4523" s="333" customFormat="1"/>
    <row r="4524" s="333" customFormat="1"/>
    <row r="4525" s="333" customFormat="1"/>
    <row r="4526" s="333" customFormat="1"/>
    <row r="4527" s="333" customFormat="1"/>
    <row r="4528" s="333" customFormat="1"/>
    <row r="4529" s="333" customFormat="1"/>
    <row r="4530" s="333" customFormat="1"/>
    <row r="4531" s="333" customFormat="1"/>
    <row r="4532" s="333" customFormat="1"/>
    <row r="4533" s="333" customFormat="1"/>
    <row r="4534" s="333" customFormat="1"/>
    <row r="4535" s="333" customFormat="1"/>
    <row r="4536" s="333" customFormat="1"/>
    <row r="4537" s="333" customFormat="1"/>
    <row r="4538" s="333" customFormat="1"/>
    <row r="4539" s="333" customFormat="1"/>
    <row r="4540" s="333" customFormat="1"/>
    <row r="4541" s="333" customFormat="1"/>
    <row r="4542" s="333" customFormat="1"/>
    <row r="4543" s="333" customFormat="1"/>
    <row r="4544" s="333" customFormat="1"/>
    <row r="4545" s="333" customFormat="1"/>
    <row r="4546" s="333" customFormat="1"/>
    <row r="4547" s="333" customFormat="1"/>
    <row r="4548" s="333" customFormat="1"/>
    <row r="4549" s="333" customFormat="1"/>
    <row r="4550" s="333" customFormat="1"/>
    <row r="4551" s="333" customFormat="1"/>
    <row r="4552" s="333" customFormat="1"/>
    <row r="4553" s="333" customFormat="1"/>
    <row r="4554" s="333" customFormat="1"/>
    <row r="4555" s="333" customFormat="1"/>
    <row r="4556" s="333" customFormat="1"/>
    <row r="4557" s="333" customFormat="1"/>
    <row r="4558" s="333" customFormat="1"/>
    <row r="4559" s="333" customFormat="1"/>
    <row r="4560" s="333" customFormat="1"/>
    <row r="4561" s="333" customFormat="1"/>
    <row r="4562" s="333" customFormat="1"/>
    <row r="4563" s="333" customFormat="1"/>
    <row r="4564" s="333" customFormat="1"/>
    <row r="4565" s="333" customFormat="1"/>
    <row r="4566" s="333" customFormat="1"/>
    <row r="4567" s="333" customFormat="1"/>
    <row r="4568" s="333" customFormat="1"/>
    <row r="4569" s="333" customFormat="1"/>
    <row r="4570" s="333" customFormat="1"/>
    <row r="4571" s="333" customFormat="1"/>
    <row r="4572" s="333" customFormat="1"/>
    <row r="4573" s="333" customFormat="1"/>
    <row r="4574" s="333" customFormat="1"/>
    <row r="4575" s="333" customFormat="1"/>
    <row r="4576" s="333" customFormat="1"/>
    <row r="4577" s="333" customFormat="1"/>
    <row r="4578" s="333" customFormat="1"/>
    <row r="4579" s="333" customFormat="1"/>
    <row r="4580" s="333" customFormat="1"/>
    <row r="4581" s="333" customFormat="1"/>
    <row r="4582" s="333" customFormat="1"/>
    <row r="4583" s="333" customFormat="1"/>
    <row r="4584" s="333" customFormat="1"/>
    <row r="4585" s="333" customFormat="1"/>
    <row r="4586" s="333" customFormat="1"/>
    <row r="4587" s="333" customFormat="1"/>
    <row r="4588" s="333" customFormat="1"/>
    <row r="4589" s="333" customFormat="1"/>
    <row r="4590" s="333" customFormat="1"/>
    <row r="4591" s="333" customFormat="1"/>
    <row r="4592" s="333" customFormat="1"/>
    <row r="4593" s="333" customFormat="1"/>
    <row r="4594" s="333" customFormat="1"/>
    <row r="4595" s="333" customFormat="1"/>
    <row r="4596" s="333" customFormat="1"/>
    <row r="4597" s="333" customFormat="1"/>
    <row r="4598" s="333" customFormat="1"/>
    <row r="4599" s="333" customFormat="1"/>
    <row r="4600" s="333" customFormat="1"/>
    <row r="4601" s="333" customFormat="1"/>
    <row r="4602" s="333" customFormat="1"/>
    <row r="4603" s="333" customFormat="1"/>
    <row r="4604" s="333" customFormat="1"/>
    <row r="4605" s="333" customFormat="1"/>
    <row r="4606" s="333" customFormat="1"/>
    <row r="4607" s="333" customFormat="1"/>
    <row r="4608" s="333" customFormat="1"/>
    <row r="4609" s="333" customFormat="1"/>
    <row r="4610" s="333" customFormat="1"/>
    <row r="4611" s="333" customFormat="1"/>
    <row r="4612" s="333" customFormat="1"/>
    <row r="4613" s="333" customFormat="1"/>
    <row r="4614" s="333" customFormat="1"/>
    <row r="4615" s="333" customFormat="1"/>
    <row r="4616" s="333" customFormat="1"/>
    <row r="4617" s="333" customFormat="1"/>
    <row r="4618" s="333" customFormat="1"/>
    <row r="4619" s="333" customFormat="1"/>
    <row r="4620" s="333" customFormat="1"/>
    <row r="4621" s="333" customFormat="1"/>
    <row r="4622" s="333" customFormat="1"/>
    <row r="4623" s="333" customFormat="1"/>
    <row r="4624" s="333" customFormat="1"/>
    <row r="4625" s="333" customFormat="1"/>
    <row r="4626" s="333" customFormat="1"/>
    <row r="4627" s="333" customFormat="1"/>
    <row r="4628" s="333" customFormat="1"/>
    <row r="4629" s="333" customFormat="1"/>
    <row r="4630" s="333" customFormat="1"/>
    <row r="4631" s="333" customFormat="1"/>
    <row r="4632" s="333" customFormat="1"/>
    <row r="4633" s="333" customFormat="1"/>
    <row r="4634" s="333" customFormat="1"/>
    <row r="4635" s="333" customFormat="1"/>
    <row r="4636" s="333" customFormat="1"/>
    <row r="4637" s="333" customFormat="1"/>
    <row r="4638" s="333" customFormat="1"/>
    <row r="4639" s="333" customFormat="1"/>
    <row r="4640" s="333" customFormat="1"/>
    <row r="4641" s="333" customFormat="1"/>
    <row r="4642" s="333" customFormat="1"/>
    <row r="4643" s="333" customFormat="1"/>
    <row r="4644" s="333" customFormat="1"/>
    <row r="4645" s="333" customFormat="1"/>
    <row r="4646" s="333" customFormat="1"/>
    <row r="4647" s="333" customFormat="1"/>
    <row r="4648" s="333" customFormat="1"/>
    <row r="4649" s="333" customFormat="1"/>
    <row r="4650" s="333" customFormat="1"/>
    <row r="4651" s="333" customFormat="1"/>
    <row r="4652" s="333" customFormat="1"/>
    <row r="4653" s="333" customFormat="1"/>
    <row r="4654" s="333" customFormat="1"/>
    <row r="4655" s="333" customFormat="1"/>
    <row r="4656" s="333" customFormat="1"/>
    <row r="4657" s="333" customFormat="1"/>
    <row r="4658" s="333" customFormat="1"/>
    <row r="4659" s="333" customFormat="1"/>
    <row r="4660" s="333" customFormat="1"/>
    <row r="4661" s="333" customFormat="1"/>
    <row r="4662" s="333" customFormat="1"/>
    <row r="4663" s="333" customFormat="1"/>
    <row r="4664" s="333" customFormat="1"/>
    <row r="4665" s="333" customFormat="1"/>
    <row r="4666" s="333" customFormat="1"/>
    <row r="4667" s="333" customFormat="1"/>
    <row r="4668" s="333" customFormat="1"/>
    <row r="4669" s="333" customFormat="1"/>
    <row r="4670" s="333" customFormat="1"/>
    <row r="4671" s="333" customFormat="1"/>
    <row r="4672" s="333" customFormat="1"/>
    <row r="4673" s="333" customFormat="1"/>
    <row r="4674" s="333" customFormat="1"/>
    <row r="4675" s="333" customFormat="1"/>
    <row r="4676" s="333" customFormat="1"/>
    <row r="4677" s="333" customFormat="1"/>
    <row r="4678" s="333" customFormat="1"/>
    <row r="4679" s="333" customFormat="1"/>
    <row r="4680" s="333" customFormat="1"/>
    <row r="4681" s="333" customFormat="1"/>
    <row r="4682" s="333" customFormat="1"/>
    <row r="4683" s="333" customFormat="1"/>
    <row r="4684" s="333" customFormat="1"/>
    <row r="4685" s="333" customFormat="1"/>
    <row r="4686" s="333" customFormat="1"/>
    <row r="4687" s="333" customFormat="1"/>
    <row r="4688" s="333" customFormat="1"/>
    <row r="4689" s="333" customFormat="1"/>
    <row r="4690" s="333" customFormat="1"/>
    <row r="4691" s="333" customFormat="1"/>
    <row r="4692" s="333" customFormat="1"/>
    <row r="4693" s="333" customFormat="1"/>
    <row r="4694" s="333" customFormat="1"/>
    <row r="4695" s="333" customFormat="1"/>
    <row r="4696" s="333" customFormat="1"/>
    <row r="4697" s="333" customFormat="1"/>
    <row r="4698" s="333" customFormat="1"/>
    <row r="4699" s="333" customFormat="1"/>
    <row r="4700" s="333" customFormat="1"/>
    <row r="4701" s="333" customFormat="1"/>
    <row r="4702" s="333" customFormat="1"/>
    <row r="4703" s="333" customFormat="1"/>
    <row r="4704" s="333" customFormat="1"/>
    <row r="4705" s="333" customFormat="1"/>
    <row r="4706" s="333" customFormat="1"/>
    <row r="4707" s="333" customFormat="1"/>
    <row r="4708" s="333" customFormat="1"/>
    <row r="4709" s="333" customFormat="1"/>
    <row r="4710" s="333" customFormat="1"/>
    <row r="4711" s="333" customFormat="1"/>
    <row r="4712" s="333" customFormat="1"/>
    <row r="4713" s="333" customFormat="1"/>
    <row r="4714" s="333" customFormat="1"/>
    <row r="4715" s="333" customFormat="1"/>
    <row r="4716" s="333" customFormat="1"/>
    <row r="4717" s="333" customFormat="1"/>
    <row r="4718" s="333" customFormat="1"/>
    <row r="4719" s="333" customFormat="1"/>
    <row r="4720" s="333" customFormat="1"/>
    <row r="4721" s="333" customFormat="1"/>
    <row r="4722" s="333" customFormat="1"/>
    <row r="4723" s="333" customFormat="1"/>
    <row r="4724" s="333" customFormat="1"/>
    <row r="4725" s="333" customFormat="1"/>
    <row r="4726" s="333" customFormat="1"/>
    <row r="4727" s="333" customFormat="1"/>
    <row r="4728" s="333" customFormat="1"/>
    <row r="4729" s="333" customFormat="1"/>
    <row r="4730" s="333" customFormat="1"/>
    <row r="4731" s="333" customFormat="1"/>
    <row r="4732" s="333" customFormat="1"/>
    <row r="4733" s="333" customFormat="1"/>
    <row r="4734" s="333" customFormat="1"/>
    <row r="4735" s="333" customFormat="1"/>
    <row r="4736" s="333" customFormat="1"/>
    <row r="4737" s="333" customFormat="1"/>
    <row r="4738" s="333" customFormat="1"/>
    <row r="4739" s="333" customFormat="1"/>
    <row r="4740" s="333" customFormat="1"/>
    <row r="4741" s="333" customFormat="1"/>
    <row r="4742" s="333" customFormat="1"/>
    <row r="4743" s="333" customFormat="1"/>
    <row r="4744" s="333" customFormat="1"/>
    <row r="4745" s="333" customFormat="1"/>
    <row r="4746" s="333" customFormat="1"/>
    <row r="4747" s="333" customFormat="1"/>
    <row r="4748" s="333" customFormat="1"/>
    <row r="4749" s="333" customFormat="1"/>
    <row r="4750" s="333" customFormat="1"/>
    <row r="4751" s="333" customFormat="1"/>
    <row r="4752" s="333" customFormat="1"/>
    <row r="4753" s="333" customFormat="1"/>
    <row r="4754" s="333" customFormat="1"/>
    <row r="4755" s="333" customFormat="1"/>
    <row r="4756" s="333" customFormat="1"/>
    <row r="4757" s="333" customFormat="1"/>
    <row r="4758" s="333" customFormat="1"/>
    <row r="4759" s="333" customFormat="1"/>
    <row r="4760" s="333" customFormat="1"/>
    <row r="4761" s="333" customFormat="1"/>
    <row r="4762" s="333" customFormat="1"/>
    <row r="4763" s="333" customFormat="1"/>
    <row r="4764" s="333" customFormat="1"/>
    <row r="4765" s="333" customFormat="1"/>
    <row r="4766" s="333" customFormat="1"/>
    <row r="4767" s="333" customFormat="1"/>
    <row r="4768" s="333" customFormat="1"/>
    <row r="4769" s="333" customFormat="1"/>
    <row r="4770" s="333" customFormat="1"/>
    <row r="4771" s="333" customFormat="1"/>
    <row r="4772" s="333" customFormat="1"/>
    <row r="4773" s="333" customFormat="1"/>
    <row r="4774" s="333" customFormat="1"/>
    <row r="4775" s="333" customFormat="1"/>
    <row r="4776" s="333" customFormat="1"/>
    <row r="4777" s="333" customFormat="1"/>
    <row r="4778" s="333" customFormat="1"/>
    <row r="4779" s="333" customFormat="1"/>
    <row r="4780" s="333" customFormat="1"/>
    <row r="4781" s="333" customFormat="1"/>
    <row r="4782" s="333" customFormat="1"/>
    <row r="4783" s="333" customFormat="1"/>
    <row r="4784" s="333" customFormat="1"/>
    <row r="4785" s="333" customFormat="1"/>
    <row r="4786" s="333" customFormat="1"/>
    <row r="4787" s="333" customFormat="1"/>
    <row r="4788" s="333" customFormat="1"/>
    <row r="4789" s="333" customFormat="1"/>
    <row r="4790" s="333" customFormat="1"/>
    <row r="4791" s="333" customFormat="1"/>
    <row r="4792" s="333" customFormat="1"/>
    <row r="4793" s="333" customFormat="1"/>
    <row r="4794" s="333" customFormat="1"/>
    <row r="4795" s="333" customFormat="1"/>
    <row r="4796" s="333" customFormat="1"/>
    <row r="4797" s="333" customFormat="1"/>
    <row r="4798" s="333" customFormat="1"/>
    <row r="4799" s="333" customFormat="1"/>
    <row r="4800" s="333" customFormat="1"/>
    <row r="4801" s="333" customFormat="1"/>
    <row r="4802" s="333" customFormat="1"/>
    <row r="4803" s="333" customFormat="1"/>
    <row r="4804" s="333" customFormat="1"/>
    <row r="4805" s="333" customFormat="1"/>
    <row r="4806" s="333" customFormat="1"/>
    <row r="4807" s="333" customFormat="1"/>
    <row r="4808" s="333" customFormat="1"/>
    <row r="4809" s="333" customFormat="1"/>
    <row r="4810" s="333" customFormat="1"/>
    <row r="4811" s="333" customFormat="1"/>
    <row r="4812" s="333" customFormat="1"/>
    <row r="4813" s="333" customFormat="1"/>
    <row r="4814" s="333" customFormat="1"/>
    <row r="4815" s="333" customFormat="1"/>
    <row r="4816" s="333" customFormat="1"/>
    <row r="4817" s="333" customFormat="1"/>
    <row r="4818" s="333" customFormat="1"/>
    <row r="4819" s="333" customFormat="1"/>
    <row r="4820" s="333" customFormat="1"/>
    <row r="4821" s="333" customFormat="1"/>
    <row r="4822" s="333" customFormat="1"/>
    <row r="4823" s="333" customFormat="1"/>
    <row r="4824" s="333" customFormat="1"/>
    <row r="4825" s="333" customFormat="1"/>
    <row r="4826" s="333" customFormat="1"/>
    <row r="4827" s="333" customFormat="1"/>
    <row r="4828" s="333" customFormat="1"/>
    <row r="4829" s="333" customFormat="1"/>
    <row r="4830" s="333" customFormat="1"/>
    <row r="4831" s="333" customFormat="1"/>
    <row r="4832" s="333" customFormat="1"/>
    <row r="4833" s="333" customFormat="1"/>
    <row r="4834" s="333" customFormat="1"/>
    <row r="4835" s="333" customFormat="1"/>
    <row r="4836" s="333" customFormat="1"/>
    <row r="4837" s="333" customFormat="1"/>
    <row r="4838" s="333" customFormat="1"/>
    <row r="4839" s="333" customFormat="1"/>
    <row r="4840" s="333" customFormat="1"/>
    <row r="4841" s="333" customFormat="1"/>
    <row r="4842" s="333" customFormat="1"/>
    <row r="4843" s="333" customFormat="1"/>
    <row r="4844" s="333" customFormat="1"/>
    <row r="4845" s="333" customFormat="1"/>
    <row r="4846" s="333" customFormat="1"/>
    <row r="4847" s="333" customFormat="1"/>
    <row r="4848" s="333" customFormat="1"/>
    <row r="4849" s="333" customFormat="1"/>
    <row r="4850" s="333" customFormat="1"/>
    <row r="4851" s="333" customFormat="1"/>
    <row r="4852" s="333" customFormat="1"/>
    <row r="4853" s="333" customFormat="1"/>
    <row r="4854" s="333" customFormat="1"/>
    <row r="4855" s="333" customFormat="1"/>
    <row r="4856" s="333" customFormat="1"/>
    <row r="4857" s="333" customFormat="1"/>
    <row r="4858" s="333" customFormat="1"/>
    <row r="4859" s="333" customFormat="1"/>
    <row r="4860" s="333" customFormat="1"/>
    <row r="4861" s="333" customFormat="1"/>
    <row r="4862" s="333" customFormat="1"/>
    <row r="4863" s="333" customFormat="1"/>
    <row r="4864" s="333" customFormat="1"/>
    <row r="4865" s="333" customFormat="1"/>
    <row r="4866" s="333" customFormat="1"/>
    <row r="4867" s="333" customFormat="1"/>
    <row r="4868" s="333" customFormat="1"/>
    <row r="4869" s="333" customFormat="1"/>
    <row r="4870" s="333" customFormat="1"/>
    <row r="4871" s="333" customFormat="1"/>
    <row r="4872" s="333" customFormat="1"/>
    <row r="4873" s="333" customFormat="1"/>
    <row r="4874" s="333" customFormat="1"/>
    <row r="4875" s="333" customFormat="1"/>
    <row r="4876" s="333" customFormat="1"/>
    <row r="4877" s="333" customFormat="1"/>
    <row r="4878" s="333" customFormat="1"/>
    <row r="4879" s="333" customFormat="1"/>
    <row r="4880" s="333" customFormat="1"/>
    <row r="4881" s="333" customFormat="1"/>
    <row r="4882" s="333" customFormat="1"/>
    <row r="4883" s="333" customFormat="1"/>
    <row r="4884" s="333" customFormat="1"/>
    <row r="4885" s="333" customFormat="1"/>
    <row r="4886" s="333" customFormat="1"/>
    <row r="4887" s="333" customFormat="1"/>
    <row r="4888" s="333" customFormat="1"/>
    <row r="4889" s="333" customFormat="1"/>
    <row r="4890" s="333" customFormat="1"/>
    <row r="4891" s="333" customFormat="1"/>
    <row r="4892" s="333" customFormat="1"/>
    <row r="4893" s="333" customFormat="1"/>
    <row r="4894" s="333" customFormat="1"/>
    <row r="4895" s="333" customFormat="1"/>
    <row r="4896" s="333" customFormat="1"/>
    <row r="4897" s="333" customFormat="1"/>
    <row r="4898" s="333" customFormat="1"/>
    <row r="4899" s="333" customFormat="1"/>
    <row r="4900" s="333" customFormat="1"/>
    <row r="4901" s="333" customFormat="1"/>
    <row r="4902" s="333" customFormat="1"/>
    <row r="4903" s="333" customFormat="1"/>
    <row r="4904" s="333" customFormat="1"/>
    <row r="4905" s="333" customFormat="1"/>
    <row r="4906" s="333" customFormat="1"/>
    <row r="4907" s="333" customFormat="1"/>
    <row r="4908" s="333" customFormat="1"/>
    <row r="4909" s="333" customFormat="1"/>
    <row r="4910" s="333" customFormat="1"/>
    <row r="4911" s="333" customFormat="1"/>
    <row r="4912" s="333" customFormat="1"/>
    <row r="4913" s="333" customFormat="1"/>
    <row r="4914" s="333" customFormat="1"/>
    <row r="4915" s="333" customFormat="1"/>
    <row r="4916" s="333" customFormat="1"/>
    <row r="4917" s="333" customFormat="1"/>
    <row r="4918" s="333" customFormat="1"/>
    <row r="4919" s="333" customFormat="1"/>
    <row r="4920" s="333" customFormat="1"/>
    <row r="4921" s="333" customFormat="1"/>
    <row r="4922" s="333" customFormat="1"/>
    <row r="4923" s="333" customFormat="1"/>
    <row r="4924" s="333" customFormat="1"/>
    <row r="4925" s="333" customFormat="1"/>
    <row r="4926" s="333" customFormat="1"/>
    <row r="4927" s="333" customFormat="1"/>
    <row r="4928" s="333" customFormat="1"/>
    <row r="4929" s="333" customFormat="1"/>
    <row r="4930" s="333" customFormat="1"/>
    <row r="4931" s="333" customFormat="1"/>
    <row r="4932" s="333" customFormat="1"/>
    <row r="4933" s="333" customFormat="1"/>
    <row r="4934" s="333" customFormat="1"/>
    <row r="4935" s="333" customFormat="1"/>
    <row r="4936" s="333" customFormat="1"/>
    <row r="4937" s="333" customFormat="1"/>
    <row r="4938" s="333" customFormat="1"/>
    <row r="4939" s="333" customFormat="1"/>
    <row r="4940" s="333" customFormat="1"/>
    <row r="4941" s="333" customFormat="1"/>
    <row r="4942" s="333" customFormat="1"/>
    <row r="4943" s="333" customFormat="1"/>
    <row r="4944" s="333" customFormat="1"/>
    <row r="4945" s="333" customFormat="1"/>
    <row r="4946" s="333" customFormat="1"/>
    <row r="4947" s="333" customFormat="1"/>
    <row r="4948" s="333" customFormat="1"/>
    <row r="4949" s="333" customFormat="1"/>
    <row r="4950" s="333" customFormat="1"/>
    <row r="4951" s="333" customFormat="1"/>
    <row r="4952" s="333" customFormat="1"/>
    <row r="4953" s="333" customFormat="1"/>
    <row r="4954" s="333" customFormat="1"/>
    <row r="4955" s="333" customFormat="1"/>
    <row r="4956" s="333" customFormat="1"/>
    <row r="4957" s="333" customFormat="1"/>
    <row r="4958" s="333" customFormat="1"/>
    <row r="4959" s="333" customFormat="1"/>
    <row r="4960" s="333" customFormat="1"/>
    <row r="4961" s="333" customFormat="1"/>
    <row r="4962" s="333" customFormat="1"/>
    <row r="4963" s="333" customFormat="1"/>
    <row r="4964" s="333" customFormat="1"/>
    <row r="4965" s="333" customFormat="1"/>
    <row r="4966" s="333" customFormat="1"/>
    <row r="4967" s="333" customFormat="1"/>
    <row r="4968" s="333" customFormat="1"/>
    <row r="4969" s="333" customFormat="1"/>
    <row r="4970" s="333" customFormat="1"/>
    <row r="4971" s="333" customFormat="1"/>
    <row r="4972" s="333" customFormat="1"/>
    <row r="4973" s="333" customFormat="1"/>
    <row r="4974" s="333" customFormat="1"/>
    <row r="4975" s="333" customFormat="1"/>
    <row r="4976" s="333" customFormat="1"/>
    <row r="4977" s="333" customFormat="1"/>
    <row r="4978" s="333" customFormat="1"/>
    <row r="4979" s="333" customFormat="1"/>
    <row r="4980" s="333" customFormat="1"/>
    <row r="4981" s="333" customFormat="1"/>
    <row r="4982" s="333" customFormat="1"/>
    <row r="4983" s="333" customFormat="1"/>
    <row r="4984" s="333" customFormat="1"/>
    <row r="4985" s="333" customFormat="1"/>
    <row r="4986" s="333" customFormat="1"/>
    <row r="4987" s="333" customFormat="1"/>
    <row r="4988" s="333" customFormat="1"/>
    <row r="4989" s="333" customFormat="1"/>
    <row r="4990" s="333" customFormat="1"/>
    <row r="4991" s="333" customFormat="1"/>
    <row r="4992" s="333" customFormat="1"/>
    <row r="4993" s="333" customFormat="1"/>
    <row r="4994" s="333" customFormat="1"/>
    <row r="4995" s="333" customFormat="1"/>
    <row r="4996" s="333" customFormat="1"/>
    <row r="4997" s="333" customFormat="1"/>
    <row r="4998" s="333" customFormat="1"/>
    <row r="4999" s="333" customFormat="1"/>
    <row r="5000" s="333" customFormat="1"/>
    <row r="5001" s="333" customFormat="1"/>
    <row r="5002" s="333" customFormat="1"/>
    <row r="5003" s="333" customFormat="1"/>
    <row r="5004" s="333" customFormat="1"/>
    <row r="5005" s="333" customFormat="1"/>
    <row r="5006" s="333" customFormat="1"/>
    <row r="5007" s="333" customFormat="1"/>
    <row r="5008" s="333" customFormat="1"/>
    <row r="5009" s="333" customFormat="1"/>
    <row r="5010" s="333" customFormat="1"/>
    <row r="5011" s="333" customFormat="1"/>
    <row r="5012" s="333" customFormat="1"/>
    <row r="5013" s="333" customFormat="1"/>
    <row r="5014" s="333" customFormat="1"/>
    <row r="5015" s="333" customFormat="1"/>
    <row r="5016" s="333" customFormat="1"/>
    <row r="5017" s="333" customFormat="1"/>
    <row r="5018" s="333" customFormat="1"/>
    <row r="5019" s="333" customFormat="1"/>
    <row r="5020" s="333" customFormat="1"/>
    <row r="5021" s="333" customFormat="1"/>
    <row r="5022" s="333" customFormat="1"/>
    <row r="5023" s="333" customFormat="1"/>
    <row r="5024" s="333" customFormat="1"/>
    <row r="5025" s="333" customFormat="1"/>
    <row r="5026" s="333" customFormat="1"/>
    <row r="5027" s="333" customFormat="1"/>
    <row r="5028" s="333" customFormat="1"/>
    <row r="5029" s="333" customFormat="1"/>
    <row r="5030" s="333" customFormat="1"/>
    <row r="5031" s="333" customFormat="1"/>
    <row r="5032" s="333" customFormat="1"/>
    <row r="5033" s="333" customFormat="1"/>
    <row r="5034" s="333" customFormat="1"/>
    <row r="5035" s="333" customFormat="1"/>
    <row r="5036" s="333" customFormat="1"/>
    <row r="5037" s="333" customFormat="1"/>
    <row r="5038" s="333" customFormat="1"/>
    <row r="5039" s="333" customFormat="1"/>
    <row r="5040" s="333" customFormat="1"/>
    <row r="5041" s="333" customFormat="1"/>
    <row r="5042" s="333" customFormat="1"/>
    <row r="5043" s="333" customFormat="1"/>
    <row r="5044" s="333" customFormat="1"/>
    <row r="5045" s="333" customFormat="1"/>
    <row r="5046" s="333" customFormat="1"/>
    <row r="5047" s="333" customFormat="1"/>
    <row r="5048" s="333" customFormat="1"/>
    <row r="5049" s="333" customFormat="1"/>
    <row r="5050" s="333" customFormat="1"/>
    <row r="5051" s="333" customFormat="1"/>
    <row r="5052" s="333" customFormat="1"/>
    <row r="5053" s="333" customFormat="1"/>
    <row r="5054" s="333" customFormat="1"/>
    <row r="5055" s="333" customFormat="1"/>
    <row r="5056" s="333" customFormat="1"/>
    <row r="5057" s="333" customFormat="1"/>
    <row r="5058" s="333" customFormat="1"/>
    <row r="5059" s="333" customFormat="1"/>
    <row r="5060" s="333" customFormat="1"/>
    <row r="5061" s="333" customFormat="1"/>
    <row r="5062" s="333" customFormat="1"/>
    <row r="5063" s="333" customFormat="1"/>
    <row r="5064" s="333" customFormat="1"/>
    <row r="5065" s="333" customFormat="1"/>
    <row r="5066" s="333" customFormat="1"/>
    <row r="5067" s="333" customFormat="1"/>
    <row r="5068" s="333" customFormat="1"/>
    <row r="5069" s="333" customFormat="1"/>
    <row r="5070" s="333" customFormat="1"/>
    <row r="5071" s="333" customFormat="1"/>
    <row r="5072" s="333" customFormat="1"/>
    <row r="5073" s="333" customFormat="1"/>
    <row r="5074" s="333" customFormat="1"/>
    <row r="5075" s="333" customFormat="1"/>
    <row r="5076" s="333" customFormat="1"/>
    <row r="5077" s="333" customFormat="1"/>
    <row r="5078" s="333" customFormat="1"/>
    <row r="5079" s="333" customFormat="1"/>
    <row r="5080" s="333" customFormat="1"/>
    <row r="5081" s="333" customFormat="1"/>
    <row r="5082" s="333" customFormat="1"/>
    <row r="5083" s="333" customFormat="1"/>
    <row r="5084" s="333" customFormat="1"/>
    <row r="5085" s="333" customFormat="1"/>
    <row r="5086" s="333" customFormat="1"/>
    <row r="5087" s="333" customFormat="1"/>
    <row r="5088" s="333" customFormat="1"/>
    <row r="5089" s="333" customFormat="1"/>
    <row r="5090" s="333" customFormat="1"/>
    <row r="5091" s="333" customFormat="1"/>
    <row r="5092" s="333" customFormat="1"/>
    <row r="5093" s="333" customFormat="1"/>
    <row r="5094" s="333" customFormat="1"/>
    <row r="5095" s="333" customFormat="1"/>
    <row r="5096" s="333" customFormat="1"/>
    <row r="5097" s="333" customFormat="1"/>
    <row r="5098" s="333" customFormat="1"/>
    <row r="5099" s="333" customFormat="1"/>
    <row r="5100" s="333" customFormat="1"/>
    <row r="5101" s="333" customFormat="1"/>
    <row r="5102" s="333" customFormat="1"/>
    <row r="5103" s="333" customFormat="1"/>
    <row r="5104" s="333" customFormat="1"/>
    <row r="5105" s="333" customFormat="1"/>
    <row r="5106" s="333" customFormat="1"/>
    <row r="5107" s="333" customFormat="1"/>
    <row r="5108" s="333" customFormat="1"/>
    <row r="5109" s="333" customFormat="1"/>
    <row r="5110" s="333" customFormat="1"/>
    <row r="5111" s="333" customFormat="1"/>
    <row r="5112" s="333" customFormat="1"/>
    <row r="5113" s="333" customFormat="1"/>
    <row r="5114" s="333" customFormat="1"/>
    <row r="5115" s="333" customFormat="1"/>
    <row r="5116" s="333" customFormat="1"/>
    <row r="5117" s="333" customFormat="1"/>
    <row r="5118" s="333" customFormat="1"/>
    <row r="5119" s="333" customFormat="1"/>
    <row r="5120" s="333" customFormat="1"/>
    <row r="5121" s="333" customFormat="1"/>
    <row r="5122" s="333" customFormat="1"/>
    <row r="5123" s="333" customFormat="1"/>
    <row r="5124" s="333" customFormat="1"/>
    <row r="5125" s="333" customFormat="1"/>
    <row r="5126" s="333" customFormat="1"/>
    <row r="5127" s="333" customFormat="1"/>
    <row r="5128" s="333" customFormat="1"/>
    <row r="5129" s="333" customFormat="1"/>
    <row r="5130" s="333" customFormat="1"/>
    <row r="5131" s="333" customFormat="1"/>
    <row r="5132" s="333" customFormat="1"/>
    <row r="5133" s="333" customFormat="1"/>
    <row r="5134" s="333" customFormat="1"/>
    <row r="5135" s="333" customFormat="1"/>
    <row r="5136" s="333" customFormat="1"/>
    <row r="5137" s="333" customFormat="1"/>
    <row r="5138" s="333" customFormat="1"/>
    <row r="5139" s="333" customFormat="1"/>
    <row r="5140" s="333" customFormat="1"/>
    <row r="5141" s="333" customFormat="1"/>
    <row r="5142" s="333" customFormat="1"/>
    <row r="5143" s="333" customFormat="1"/>
    <row r="5144" s="333" customFormat="1"/>
    <row r="5145" s="333" customFormat="1"/>
    <row r="5146" s="333" customFormat="1"/>
    <row r="5147" s="333" customFormat="1"/>
    <row r="5148" s="333" customFormat="1"/>
    <row r="5149" s="333" customFormat="1"/>
    <row r="5150" s="333" customFormat="1"/>
    <row r="5151" s="333" customFormat="1"/>
    <row r="5152" s="333" customFormat="1"/>
    <row r="5153" s="333" customFormat="1"/>
    <row r="5154" s="333" customFormat="1"/>
    <row r="5155" s="333" customFormat="1"/>
    <row r="5156" s="333" customFormat="1"/>
    <row r="5157" s="333" customFormat="1"/>
    <row r="5158" s="333" customFormat="1"/>
    <row r="5159" s="333" customFormat="1"/>
    <row r="5160" s="333" customFormat="1"/>
    <row r="5161" s="333" customFormat="1"/>
    <row r="5162" s="333" customFormat="1"/>
    <row r="5163" s="333" customFormat="1"/>
    <row r="5164" s="333" customFormat="1"/>
    <row r="5165" s="333" customFormat="1"/>
    <row r="5166" s="333" customFormat="1"/>
    <row r="5167" s="333" customFormat="1"/>
    <row r="5168" s="333" customFormat="1"/>
    <row r="5169" s="333" customFormat="1"/>
    <row r="5170" s="333" customFormat="1"/>
    <row r="5171" s="333" customFormat="1"/>
    <row r="5172" s="333" customFormat="1"/>
    <row r="5173" s="333" customFormat="1"/>
    <row r="5174" s="333" customFormat="1"/>
    <row r="5175" s="333" customFormat="1"/>
    <row r="5176" s="333" customFormat="1"/>
    <row r="5177" s="333" customFormat="1"/>
    <row r="5178" s="333" customFormat="1"/>
    <row r="5179" s="333" customFormat="1"/>
    <row r="5180" s="333" customFormat="1"/>
    <row r="5181" s="333" customFormat="1"/>
    <row r="5182" s="333" customFormat="1"/>
    <row r="5183" s="333" customFormat="1"/>
    <row r="5184" s="333" customFormat="1"/>
    <row r="5185" s="333" customFormat="1"/>
    <row r="5186" s="333" customFormat="1"/>
    <row r="5187" s="333" customFormat="1"/>
    <row r="5188" s="333" customFormat="1"/>
    <row r="5189" s="333" customFormat="1"/>
    <row r="5190" s="333" customFormat="1"/>
    <row r="5191" s="333" customFormat="1"/>
    <row r="5192" s="333" customFormat="1"/>
    <row r="5193" s="333" customFormat="1"/>
    <row r="5194" s="333" customFormat="1"/>
    <row r="5195" s="333" customFormat="1"/>
    <row r="5196" s="333" customFormat="1"/>
    <row r="5197" s="333" customFormat="1"/>
    <row r="5198" s="333" customFormat="1"/>
    <row r="5199" s="333" customFormat="1"/>
    <row r="5200" s="333" customFormat="1"/>
    <row r="5201" s="333" customFormat="1"/>
    <row r="5202" s="333" customFormat="1"/>
    <row r="5203" s="333" customFormat="1"/>
    <row r="5204" s="333" customFormat="1"/>
    <row r="5205" s="333" customFormat="1"/>
    <row r="5206" s="333" customFormat="1"/>
    <row r="5207" s="333" customFormat="1"/>
    <row r="5208" s="333" customFormat="1"/>
    <row r="5209" s="333" customFormat="1"/>
    <row r="5210" s="333" customFormat="1"/>
    <row r="5211" s="333" customFormat="1"/>
    <row r="5212" s="333" customFormat="1"/>
    <row r="5213" s="333" customFormat="1"/>
    <row r="5214" s="333" customFormat="1"/>
    <row r="5215" s="333" customFormat="1"/>
    <row r="5216" s="333" customFormat="1"/>
    <row r="5217" s="333" customFormat="1"/>
    <row r="5218" s="333" customFormat="1"/>
    <row r="5219" s="333" customFormat="1"/>
    <row r="5220" s="333" customFormat="1"/>
    <row r="5221" s="333" customFormat="1"/>
    <row r="5222" s="333" customFormat="1"/>
    <row r="5223" s="333" customFormat="1"/>
    <row r="5224" s="333" customFormat="1"/>
    <row r="5225" s="333" customFormat="1"/>
    <row r="5226" s="333" customFormat="1"/>
    <row r="5227" s="333" customFormat="1"/>
    <row r="5228" s="333" customFormat="1"/>
    <row r="5229" s="333" customFormat="1"/>
    <row r="5230" s="333" customFormat="1"/>
    <row r="5231" s="333" customFormat="1"/>
    <row r="5232" s="333" customFormat="1"/>
    <row r="5233" s="333" customFormat="1"/>
    <row r="5234" s="333" customFormat="1"/>
    <row r="5235" s="333" customFormat="1"/>
    <row r="5236" s="333" customFormat="1"/>
    <row r="5237" s="333" customFormat="1"/>
    <row r="5238" s="333" customFormat="1"/>
    <row r="5239" s="333" customFormat="1"/>
    <row r="5240" s="333" customFormat="1"/>
    <row r="5241" s="333" customFormat="1"/>
    <row r="5242" s="333" customFormat="1"/>
    <row r="5243" s="333" customFormat="1"/>
    <row r="5244" s="333" customFormat="1"/>
    <row r="5245" s="333" customFormat="1"/>
    <row r="5246" s="333" customFormat="1"/>
    <row r="5247" s="333" customFormat="1"/>
    <row r="5248" s="333" customFormat="1"/>
    <row r="5249" s="333" customFormat="1"/>
    <row r="5250" s="333" customFormat="1"/>
    <row r="5251" s="333" customFormat="1"/>
    <row r="5252" s="333" customFormat="1"/>
    <row r="5253" s="333" customFormat="1"/>
    <row r="5254" s="333" customFormat="1"/>
    <row r="5255" s="333" customFormat="1"/>
    <row r="5256" s="333" customFormat="1"/>
    <row r="5257" s="333" customFormat="1"/>
    <row r="5258" s="333" customFormat="1"/>
    <row r="5259" s="333" customFormat="1"/>
    <row r="5260" s="333" customFormat="1"/>
    <row r="5261" s="333" customFormat="1"/>
    <row r="5262" s="333" customFormat="1"/>
    <row r="5263" s="333" customFormat="1"/>
    <row r="5264" s="333" customFormat="1"/>
    <row r="5265" s="333" customFormat="1"/>
    <row r="5266" s="333" customFormat="1"/>
    <row r="5267" s="333" customFormat="1"/>
    <row r="5268" s="333" customFormat="1"/>
    <row r="5269" s="333" customFormat="1"/>
    <row r="5270" s="333" customFormat="1"/>
    <row r="5271" s="333" customFormat="1"/>
    <row r="5272" s="333" customFormat="1"/>
    <row r="5273" s="333" customFormat="1"/>
    <row r="5274" s="333" customFormat="1"/>
    <row r="5275" s="333" customFormat="1"/>
    <row r="5276" s="333" customFormat="1"/>
    <row r="5277" s="333" customFormat="1"/>
    <row r="5278" s="333" customFormat="1"/>
    <row r="5279" s="333" customFormat="1"/>
    <row r="5280" s="333" customFormat="1"/>
    <row r="5281" s="333" customFormat="1"/>
    <row r="5282" s="333" customFormat="1"/>
    <row r="5283" s="333" customFormat="1"/>
    <row r="5284" s="333" customFormat="1"/>
    <row r="5285" s="333" customFormat="1"/>
    <row r="5286" s="333" customFormat="1"/>
    <row r="5287" s="333" customFormat="1"/>
    <row r="5288" s="333" customFormat="1"/>
    <row r="5289" s="333" customFormat="1"/>
    <row r="5290" s="333" customFormat="1"/>
    <row r="5291" s="333" customFormat="1"/>
    <row r="5292" s="333" customFormat="1"/>
    <row r="5293" s="333" customFormat="1"/>
    <row r="5294" s="333" customFormat="1"/>
    <row r="5295" s="333" customFormat="1"/>
    <row r="5296" s="333" customFormat="1"/>
    <row r="5297" s="333" customFormat="1"/>
    <row r="5298" s="333" customFormat="1"/>
    <row r="5299" s="333" customFormat="1"/>
    <row r="5300" s="333" customFormat="1"/>
    <row r="5301" s="333" customFormat="1"/>
    <row r="5302" s="333" customFormat="1"/>
    <row r="5303" s="333" customFormat="1"/>
    <row r="5304" s="333" customFormat="1"/>
    <row r="5305" s="333" customFormat="1"/>
    <row r="5306" s="333" customFormat="1"/>
    <row r="5307" s="333" customFormat="1"/>
    <row r="5308" s="333" customFormat="1"/>
    <row r="5309" s="333" customFormat="1"/>
    <row r="5310" s="333" customFormat="1"/>
    <row r="5311" s="333" customFormat="1"/>
    <row r="5312" s="333" customFormat="1"/>
    <row r="5313" s="333" customFormat="1"/>
    <row r="5314" s="333" customFormat="1"/>
    <row r="5315" s="333" customFormat="1"/>
    <row r="5316" s="333" customFormat="1"/>
    <row r="5317" s="333" customFormat="1"/>
    <row r="5318" s="333" customFormat="1"/>
    <row r="5319" s="333" customFormat="1"/>
    <row r="5320" s="333" customFormat="1"/>
    <row r="5321" s="333" customFormat="1"/>
    <row r="5322" s="333" customFormat="1"/>
    <row r="5323" s="333" customFormat="1"/>
    <row r="5324" s="333" customFormat="1"/>
    <row r="5325" s="333" customFormat="1"/>
    <row r="5326" s="333" customFormat="1"/>
    <row r="5327" s="333" customFormat="1"/>
    <row r="5328" s="333" customFormat="1"/>
    <row r="5329" s="333" customFormat="1"/>
    <row r="5330" s="333" customFormat="1"/>
    <row r="5331" s="333" customFormat="1"/>
    <row r="5332" s="333" customFormat="1"/>
    <row r="5333" s="333" customFormat="1"/>
    <row r="5334" s="333" customFormat="1"/>
    <row r="5335" s="333" customFormat="1"/>
    <row r="5336" s="333" customFormat="1"/>
    <row r="5337" s="333" customFormat="1"/>
    <row r="5338" s="333" customFormat="1"/>
    <row r="5339" s="333" customFormat="1"/>
    <row r="5340" s="333" customFormat="1"/>
    <row r="5341" s="333" customFormat="1"/>
    <row r="5342" s="333" customFormat="1"/>
    <row r="5343" s="333" customFormat="1"/>
    <row r="5344" s="333" customFormat="1"/>
    <row r="5345" s="333" customFormat="1"/>
    <row r="5346" s="333" customFormat="1"/>
    <row r="5347" s="333" customFormat="1"/>
    <row r="5348" s="333" customFormat="1"/>
    <row r="5349" s="333" customFormat="1"/>
    <row r="5350" s="333" customFormat="1"/>
    <row r="5351" s="333" customFormat="1"/>
    <row r="5352" s="333" customFormat="1"/>
    <row r="5353" s="333" customFormat="1"/>
    <row r="5354" s="333" customFormat="1"/>
    <row r="5355" s="333" customFormat="1"/>
    <row r="5356" s="333" customFormat="1"/>
    <row r="5357" s="333" customFormat="1"/>
    <row r="5358" s="333" customFormat="1"/>
    <row r="5359" s="333" customFormat="1"/>
    <row r="5360" s="333" customFormat="1"/>
    <row r="5361" s="333" customFormat="1"/>
    <row r="5362" s="333" customFormat="1"/>
    <row r="5363" s="333" customFormat="1"/>
    <row r="5364" s="333" customFormat="1"/>
    <row r="5365" s="333" customFormat="1"/>
    <row r="5366" s="333" customFormat="1"/>
    <row r="5367" s="333" customFormat="1"/>
    <row r="5368" s="333" customFormat="1"/>
    <row r="5369" s="333" customFormat="1"/>
    <row r="5370" s="333" customFormat="1"/>
    <row r="5371" s="333" customFormat="1"/>
    <row r="5372" s="333" customFormat="1"/>
    <row r="5373" s="333" customFormat="1"/>
    <row r="5374" s="333" customFormat="1"/>
    <row r="5375" s="333" customFormat="1"/>
    <row r="5376" s="333" customFormat="1"/>
    <row r="5377" s="333" customFormat="1"/>
    <row r="5378" s="333" customFormat="1"/>
    <row r="5379" s="333" customFormat="1"/>
    <row r="5380" s="333" customFormat="1"/>
    <row r="5381" s="333" customFormat="1"/>
    <row r="5382" s="333" customFormat="1"/>
    <row r="5383" s="333" customFormat="1"/>
    <row r="5384" s="333" customFormat="1"/>
    <row r="5385" s="333" customFormat="1"/>
    <row r="5386" s="333" customFormat="1"/>
    <row r="5387" s="333" customFormat="1"/>
    <row r="5388" s="333" customFormat="1"/>
    <row r="5389" s="333" customFormat="1"/>
    <row r="5390" s="333" customFormat="1"/>
    <row r="5391" s="333" customFormat="1"/>
    <row r="5392" s="333" customFormat="1"/>
    <row r="5393" s="333" customFormat="1"/>
    <row r="5394" s="333" customFormat="1"/>
    <row r="5395" s="333" customFormat="1"/>
    <row r="5396" s="333" customFormat="1"/>
    <row r="5397" s="333" customFormat="1"/>
    <row r="5398" s="333" customFormat="1"/>
    <row r="5399" s="333" customFormat="1"/>
    <row r="5400" s="333" customFormat="1"/>
    <row r="5401" s="333" customFormat="1"/>
    <row r="5402" s="333" customFormat="1"/>
    <row r="5403" s="333" customFormat="1"/>
    <row r="5404" s="333" customFormat="1"/>
    <row r="5405" s="333" customFormat="1"/>
    <row r="5406" s="333" customFormat="1"/>
    <row r="5407" s="333" customFormat="1"/>
    <row r="5408" s="333" customFormat="1"/>
    <row r="5409" s="333" customFormat="1"/>
    <row r="5410" s="333" customFormat="1"/>
    <row r="5411" s="333" customFormat="1"/>
    <row r="5412" s="333" customFormat="1"/>
    <row r="5413" s="333" customFormat="1"/>
    <row r="5414" s="333" customFormat="1"/>
    <row r="5415" s="333" customFormat="1"/>
    <row r="5416" s="333" customFormat="1"/>
    <row r="5417" s="333" customFormat="1"/>
    <row r="5418" s="333" customFormat="1"/>
    <row r="5419" s="333" customFormat="1"/>
    <row r="5420" s="333" customFormat="1"/>
    <row r="5421" s="333" customFormat="1"/>
    <row r="5422" s="333" customFormat="1"/>
    <row r="5423" s="333" customFormat="1"/>
    <row r="5424" s="333" customFormat="1"/>
    <row r="5425" s="333" customFormat="1"/>
    <row r="5426" s="333" customFormat="1"/>
    <row r="5427" s="333" customFormat="1"/>
    <row r="5428" s="333" customFormat="1"/>
    <row r="5429" s="333" customFormat="1"/>
    <row r="5430" s="333" customFormat="1"/>
    <row r="5431" s="333" customFormat="1"/>
    <row r="5432" s="333" customFormat="1"/>
    <row r="5433" s="333" customFormat="1"/>
    <row r="5434" s="333" customFormat="1"/>
    <row r="5435" s="333" customFormat="1"/>
    <row r="5436" s="333" customFormat="1"/>
    <row r="5437" s="333" customFormat="1"/>
    <row r="5438" s="333" customFormat="1"/>
    <row r="5439" s="333" customFormat="1"/>
    <row r="5440" s="333" customFormat="1"/>
    <row r="5441" s="333" customFormat="1"/>
    <row r="5442" s="333" customFormat="1"/>
    <row r="5443" s="333" customFormat="1"/>
    <row r="5444" s="333" customFormat="1"/>
    <row r="5445" s="333" customFormat="1"/>
    <row r="5446" s="333" customFormat="1"/>
    <row r="5447" s="333" customFormat="1"/>
    <row r="5448" s="333" customFormat="1"/>
    <row r="5449" s="333" customFormat="1"/>
    <row r="5450" s="333" customFormat="1"/>
    <row r="5451" s="333" customFormat="1"/>
    <row r="5452" s="333" customFormat="1"/>
    <row r="5453" s="333" customFormat="1"/>
    <row r="5454" s="333" customFormat="1"/>
    <row r="5455" s="333" customFormat="1"/>
    <row r="5456" s="333" customFormat="1"/>
    <row r="5457" s="333" customFormat="1"/>
    <row r="5458" s="333" customFormat="1"/>
    <row r="5459" s="333" customFormat="1"/>
    <row r="5460" s="333" customFormat="1"/>
    <row r="5461" s="333" customFormat="1"/>
    <row r="5462" s="333" customFormat="1"/>
    <row r="5463" s="333" customFormat="1"/>
    <row r="5464" s="333" customFormat="1"/>
    <row r="5465" s="333" customFormat="1"/>
    <row r="5466" s="333" customFormat="1"/>
    <row r="5467" s="333" customFormat="1"/>
    <row r="5468" s="333" customFormat="1"/>
    <row r="5469" s="333" customFormat="1"/>
    <row r="5470" s="333" customFormat="1"/>
    <row r="5471" s="333" customFormat="1"/>
    <row r="5472" s="333" customFormat="1"/>
    <row r="5473" s="333" customFormat="1"/>
    <row r="5474" s="333" customFormat="1"/>
    <row r="5475" s="333" customFormat="1"/>
    <row r="5476" s="333" customFormat="1"/>
    <row r="5477" s="333" customFormat="1"/>
    <row r="5478" s="333" customFormat="1"/>
    <row r="5479" s="333" customFormat="1"/>
    <row r="5480" s="333" customFormat="1"/>
    <row r="5481" s="333" customFormat="1"/>
    <row r="5482" s="333" customFormat="1"/>
    <row r="5483" s="333" customFormat="1"/>
    <row r="5484" s="333" customFormat="1"/>
    <row r="5485" s="333" customFormat="1"/>
    <row r="5486" s="333" customFormat="1"/>
    <row r="5487" s="333" customFormat="1"/>
    <row r="5488" s="333" customFormat="1"/>
    <row r="5489" s="333" customFormat="1"/>
    <row r="5490" s="333" customFormat="1"/>
    <row r="5491" s="333" customFormat="1"/>
    <row r="5492" s="333" customFormat="1"/>
    <row r="5493" s="333" customFormat="1"/>
    <row r="5494" s="333" customFormat="1"/>
    <row r="5495" s="333" customFormat="1"/>
    <row r="5496" s="333" customFormat="1"/>
    <row r="5497" s="333" customFormat="1"/>
    <row r="5498" s="333" customFormat="1"/>
    <row r="5499" s="333" customFormat="1"/>
    <row r="5500" s="333" customFormat="1"/>
    <row r="5501" s="333" customFormat="1"/>
    <row r="5502" s="333" customFormat="1"/>
    <row r="5503" s="333" customFormat="1"/>
    <row r="5504" s="333" customFormat="1"/>
    <row r="5505" s="333" customFormat="1"/>
    <row r="5506" s="333" customFormat="1"/>
    <row r="5507" s="333" customFormat="1"/>
    <row r="5508" s="333" customFormat="1"/>
    <row r="5509" s="333" customFormat="1"/>
    <row r="5510" s="333" customFormat="1"/>
    <row r="5511" s="333" customFormat="1"/>
    <row r="5512" s="333" customFormat="1"/>
    <row r="5513" s="333" customFormat="1"/>
    <row r="5514" s="333" customFormat="1"/>
    <row r="5515" s="333" customFormat="1"/>
    <row r="5516" s="333" customFormat="1"/>
    <row r="5517" s="333" customFormat="1"/>
    <row r="5518" s="333" customFormat="1"/>
    <row r="5519" s="333" customFormat="1"/>
    <row r="5520" s="333" customFormat="1"/>
    <row r="5521" s="333" customFormat="1"/>
    <row r="5522" s="333" customFormat="1"/>
    <row r="5523" s="333" customFormat="1"/>
    <row r="5524" s="333" customFormat="1"/>
    <row r="5525" s="333" customFormat="1"/>
    <row r="5526" s="333" customFormat="1"/>
    <row r="5527" s="333" customFormat="1"/>
    <row r="5528" s="333" customFormat="1"/>
    <row r="5529" s="333" customFormat="1"/>
    <row r="5530" s="333" customFormat="1"/>
    <row r="5531" s="333" customFormat="1"/>
    <row r="5532" s="333" customFormat="1"/>
    <row r="5533" s="333" customFormat="1"/>
    <row r="5534" s="333" customFormat="1"/>
    <row r="5535" s="333" customFormat="1"/>
    <row r="5536" s="333" customFormat="1"/>
    <row r="5537" s="333" customFormat="1"/>
    <row r="5538" s="333" customFormat="1"/>
    <row r="5539" s="333" customFormat="1"/>
    <row r="5540" s="333" customFormat="1"/>
    <row r="5541" s="333" customFormat="1"/>
    <row r="5542" s="333" customFormat="1"/>
    <row r="5543" s="333" customFormat="1"/>
    <row r="5544" s="333" customFormat="1"/>
    <row r="5545" s="333" customFormat="1"/>
    <row r="5546" s="333" customFormat="1"/>
    <row r="5547" s="333" customFormat="1"/>
    <row r="5548" s="333" customFormat="1"/>
    <row r="5549" s="333" customFormat="1"/>
    <row r="5550" s="333" customFormat="1"/>
    <row r="5551" s="333" customFormat="1"/>
    <row r="5552" s="333" customFormat="1"/>
    <row r="5553" s="333" customFormat="1"/>
    <row r="5554" s="333" customFormat="1"/>
    <row r="5555" s="333" customFormat="1"/>
    <row r="5556" s="333" customFormat="1"/>
    <row r="5557" s="333" customFormat="1"/>
    <row r="5558" s="333" customFormat="1"/>
    <row r="5559" s="333" customFormat="1"/>
    <row r="5560" s="333" customFormat="1"/>
    <row r="5561" s="333" customFormat="1"/>
    <row r="5562" s="333" customFormat="1"/>
    <row r="5563" s="333" customFormat="1"/>
    <row r="5564" s="333" customFormat="1"/>
    <row r="5565" s="333" customFormat="1"/>
    <row r="5566" s="333" customFormat="1"/>
    <row r="5567" s="333" customFormat="1"/>
    <row r="5568" s="333" customFormat="1"/>
    <row r="5569" s="333" customFormat="1"/>
    <row r="5570" s="333" customFormat="1"/>
    <row r="5571" s="333" customFormat="1"/>
    <row r="5572" s="333" customFormat="1"/>
    <row r="5573" s="333" customFormat="1"/>
    <row r="5574" s="333" customFormat="1"/>
    <row r="5575" s="333" customFormat="1"/>
    <row r="5576" s="333" customFormat="1"/>
    <row r="5577" s="333" customFormat="1"/>
    <row r="5578" s="333" customFormat="1"/>
    <row r="5579" s="333" customFormat="1"/>
    <row r="5580" s="333" customFormat="1"/>
    <row r="5581" s="333" customFormat="1"/>
    <row r="5582" s="333" customFormat="1"/>
    <row r="5583" s="333" customFormat="1"/>
    <row r="5584" s="333" customFormat="1"/>
    <row r="5585" s="333" customFormat="1"/>
    <row r="5586" s="333" customFormat="1"/>
    <row r="5587" s="333" customFormat="1"/>
    <row r="5588" s="333" customFormat="1"/>
    <row r="5589" s="333" customFormat="1"/>
    <row r="5590" s="333" customFormat="1"/>
    <row r="5591" s="333" customFormat="1"/>
    <row r="5592" s="333" customFormat="1"/>
    <row r="5593" s="333" customFormat="1"/>
    <row r="5594" s="333" customFormat="1"/>
    <row r="5595" s="333" customFormat="1"/>
    <row r="5596" s="333" customFormat="1"/>
    <row r="5597" s="333" customFormat="1"/>
    <row r="5598" s="333" customFormat="1"/>
    <row r="5599" s="333" customFormat="1"/>
    <row r="5600" s="333" customFormat="1"/>
    <row r="5601" s="333" customFormat="1"/>
    <row r="5602" s="333" customFormat="1"/>
    <row r="5603" s="333" customFormat="1"/>
    <row r="5604" s="333" customFormat="1"/>
    <row r="5605" s="333" customFormat="1"/>
    <row r="5606" s="333" customFormat="1"/>
    <row r="5607" s="333" customFormat="1"/>
    <row r="5608" s="333" customFormat="1"/>
    <row r="5609" s="333" customFormat="1"/>
    <row r="5610" s="333" customFormat="1"/>
    <row r="5611" s="333" customFormat="1"/>
    <row r="5612" s="333" customFormat="1"/>
    <row r="5613" s="333" customFormat="1"/>
    <row r="5614" s="333" customFormat="1"/>
    <row r="5615" s="333" customFormat="1"/>
    <row r="5616" s="333" customFormat="1"/>
    <row r="5617" s="333" customFormat="1"/>
    <row r="5618" s="333" customFormat="1"/>
    <row r="5619" s="333" customFormat="1"/>
    <row r="5620" s="333" customFormat="1"/>
    <row r="5621" s="333" customFormat="1"/>
    <row r="5622" s="333" customFormat="1"/>
    <row r="5623" s="333" customFormat="1"/>
    <row r="5624" s="333" customFormat="1"/>
    <row r="5625" s="333" customFormat="1"/>
    <row r="5626" s="333" customFormat="1"/>
    <row r="5627" s="333" customFormat="1"/>
    <row r="5628" s="333" customFormat="1"/>
    <row r="5629" s="333" customFormat="1"/>
    <row r="5630" s="333" customFormat="1"/>
    <row r="5631" s="333" customFormat="1"/>
    <row r="5632" s="333" customFormat="1"/>
    <row r="5633" s="333" customFormat="1"/>
    <row r="5634" s="333" customFormat="1"/>
    <row r="5635" s="333" customFormat="1"/>
    <row r="5636" s="333" customFormat="1"/>
    <row r="5637" s="333" customFormat="1"/>
    <row r="5638" s="333" customFormat="1"/>
    <row r="5639" s="333" customFormat="1"/>
    <row r="5640" s="333" customFormat="1"/>
    <row r="5641" s="333" customFormat="1"/>
    <row r="5642" s="333" customFormat="1"/>
    <row r="5643" s="333" customFormat="1"/>
    <row r="5644" s="333" customFormat="1"/>
    <row r="5645" s="333" customFormat="1"/>
    <row r="5646" s="333" customFormat="1"/>
    <row r="5647" s="333" customFormat="1"/>
    <row r="5648" s="333" customFormat="1"/>
    <row r="5649" s="333" customFormat="1"/>
    <row r="5650" s="333" customFormat="1"/>
    <row r="5651" s="333" customFormat="1"/>
    <row r="5652" s="333" customFormat="1"/>
    <row r="5653" s="333" customFormat="1"/>
    <row r="5654" s="333" customFormat="1"/>
    <row r="5655" s="333" customFormat="1"/>
    <row r="5656" s="333" customFormat="1"/>
    <row r="5657" s="333" customFormat="1"/>
    <row r="5658" s="333" customFormat="1"/>
    <row r="5659" s="333" customFormat="1"/>
    <row r="5660" s="333" customFormat="1"/>
    <row r="5661" s="333" customFormat="1"/>
    <row r="5662" s="333" customFormat="1"/>
    <row r="5663" s="333" customFormat="1"/>
    <row r="5664" s="333" customFormat="1"/>
    <row r="5665" s="333" customFormat="1"/>
    <row r="5666" s="333" customFormat="1"/>
    <row r="5667" s="333" customFormat="1"/>
    <row r="5668" s="333" customFormat="1"/>
    <row r="5669" s="333" customFormat="1"/>
    <row r="5670" s="333" customFormat="1"/>
    <row r="5671" s="333" customFormat="1"/>
    <row r="5672" s="333" customFormat="1"/>
    <row r="5673" s="333" customFormat="1"/>
    <row r="5674" s="333" customFormat="1"/>
    <row r="5675" s="333" customFormat="1"/>
    <row r="5676" s="333" customFormat="1"/>
    <row r="5677" s="333" customFormat="1"/>
    <row r="5678" s="333" customFormat="1"/>
    <row r="5679" s="333" customFormat="1"/>
    <row r="5680" s="333" customFormat="1"/>
    <row r="5681" s="333" customFormat="1"/>
    <row r="5682" s="333" customFormat="1"/>
    <row r="5683" s="333" customFormat="1"/>
    <row r="5684" s="333" customFormat="1"/>
    <row r="5685" s="333" customFormat="1"/>
    <row r="5686" s="333" customFormat="1"/>
    <row r="5687" s="333" customFormat="1"/>
    <row r="5688" s="333" customFormat="1"/>
    <row r="5689" s="333" customFormat="1"/>
    <row r="5690" s="333" customFormat="1"/>
    <row r="5691" s="333" customFormat="1"/>
    <row r="5692" s="333" customFormat="1"/>
    <row r="5693" s="333" customFormat="1"/>
    <row r="5694" s="333" customFormat="1"/>
    <row r="5695" s="333" customFormat="1"/>
    <row r="5696" s="333" customFormat="1"/>
    <row r="5697" s="333" customFormat="1"/>
    <row r="5698" s="333" customFormat="1"/>
    <row r="5699" s="333" customFormat="1"/>
    <row r="5700" s="333" customFormat="1"/>
    <row r="5701" s="333" customFormat="1"/>
    <row r="5702" s="333" customFormat="1"/>
    <row r="5703" s="333" customFormat="1"/>
    <row r="5704" s="333" customFormat="1"/>
    <row r="5705" s="333" customFormat="1"/>
    <row r="5706" s="333" customFormat="1"/>
    <row r="5707" s="333" customFormat="1"/>
    <row r="5708" s="333" customFormat="1"/>
    <row r="5709" s="333" customFormat="1"/>
    <row r="5710" s="333" customFormat="1"/>
    <row r="5711" s="333" customFormat="1"/>
    <row r="5712" s="333" customFormat="1"/>
    <row r="5713" s="333" customFormat="1"/>
    <row r="5714" s="333" customFormat="1"/>
    <row r="5715" s="333" customFormat="1"/>
    <row r="5716" s="333" customFormat="1"/>
    <row r="5717" s="333" customFormat="1"/>
    <row r="5718" s="333" customFormat="1"/>
    <row r="5719" s="333" customFormat="1"/>
    <row r="5720" s="333" customFormat="1"/>
    <row r="5721" s="333" customFormat="1"/>
    <row r="5722" s="333" customFormat="1"/>
    <row r="5723" s="333" customFormat="1"/>
    <row r="5724" s="333" customFormat="1"/>
    <row r="5725" s="333" customFormat="1"/>
    <row r="5726" s="333" customFormat="1"/>
    <row r="5727" s="333" customFormat="1"/>
    <row r="5728" s="333" customFormat="1"/>
    <row r="5729" s="333" customFormat="1"/>
    <row r="5730" s="333" customFormat="1"/>
    <row r="5731" s="333" customFormat="1"/>
    <row r="5732" s="333" customFormat="1"/>
    <row r="5733" s="333" customFormat="1"/>
    <row r="5734" s="333" customFormat="1"/>
    <row r="5735" s="333" customFormat="1"/>
    <row r="5736" s="333" customFormat="1"/>
    <row r="5737" s="333" customFormat="1"/>
    <row r="5738" s="333" customFormat="1"/>
    <row r="5739" s="333" customFormat="1"/>
    <row r="5740" s="333" customFormat="1"/>
    <row r="5741" s="333" customFormat="1"/>
    <row r="5742" s="333" customFormat="1"/>
    <row r="5743" s="333" customFormat="1"/>
    <row r="5744" s="333" customFormat="1"/>
    <row r="5745" s="333" customFormat="1"/>
    <row r="5746" s="333" customFormat="1"/>
    <row r="5747" s="333" customFormat="1"/>
    <row r="5748" s="333" customFormat="1"/>
    <row r="5749" s="333" customFormat="1"/>
    <row r="5750" s="333" customFormat="1"/>
    <row r="5751" s="333" customFormat="1"/>
    <row r="5752" s="333" customFormat="1"/>
    <row r="5753" s="333" customFormat="1"/>
    <row r="5754" s="333" customFormat="1"/>
    <row r="5755" s="333" customFormat="1"/>
    <row r="5756" s="333" customFormat="1"/>
    <row r="5757" s="333" customFormat="1"/>
    <row r="5758" s="333" customFormat="1"/>
    <row r="5759" s="333" customFormat="1"/>
    <row r="5760" s="333" customFormat="1"/>
    <row r="5761" s="333" customFormat="1"/>
    <row r="5762" s="333" customFormat="1"/>
    <row r="5763" s="333" customFormat="1"/>
    <row r="5764" s="333" customFormat="1"/>
    <row r="5765" s="333" customFormat="1"/>
    <row r="5766" s="333" customFormat="1"/>
    <row r="5767" s="333" customFormat="1"/>
    <row r="5768" s="333" customFormat="1"/>
    <row r="5769" s="333" customFormat="1"/>
    <row r="5770" s="333" customFormat="1"/>
    <row r="5771" s="333" customFormat="1"/>
    <row r="5772" s="333" customFormat="1"/>
    <row r="5773" s="333" customFormat="1"/>
    <row r="5774" s="333" customFormat="1"/>
    <row r="5775" s="333" customFormat="1"/>
    <row r="5776" s="333" customFormat="1"/>
    <row r="5777" s="333" customFormat="1"/>
    <row r="5778" s="333" customFormat="1"/>
    <row r="5779" s="333" customFormat="1"/>
    <row r="5780" s="333" customFormat="1"/>
    <row r="5781" s="333" customFormat="1"/>
    <row r="5782" s="333" customFormat="1"/>
    <row r="5783" s="333" customFormat="1"/>
    <row r="5784" s="333" customFormat="1"/>
    <row r="5785" s="333" customFormat="1"/>
    <row r="5786" s="333" customFormat="1"/>
    <row r="5787" s="333" customFormat="1"/>
    <row r="5788" s="333" customFormat="1"/>
    <row r="5789" s="333" customFormat="1"/>
    <row r="5790" s="333" customFormat="1"/>
    <row r="5791" s="333" customFormat="1"/>
    <row r="5792" s="333" customFormat="1"/>
    <row r="5793" s="333" customFormat="1"/>
    <row r="5794" s="333" customFormat="1"/>
    <row r="5795" s="333" customFormat="1"/>
    <row r="5796" s="333" customFormat="1"/>
    <row r="5797" s="333" customFormat="1"/>
    <row r="5798" s="333" customFormat="1"/>
    <row r="5799" s="333" customFormat="1"/>
    <row r="5800" s="333" customFormat="1"/>
    <row r="5801" s="333" customFormat="1"/>
    <row r="5802" s="333" customFormat="1"/>
    <row r="5803" s="333" customFormat="1"/>
    <row r="5804" s="333" customFormat="1"/>
    <row r="5805" s="333" customFormat="1"/>
    <row r="5806" s="333" customFormat="1"/>
    <row r="5807" s="333" customFormat="1"/>
    <row r="5808" s="333" customFormat="1"/>
    <row r="5809" s="333" customFormat="1"/>
    <row r="5810" s="333" customFormat="1"/>
    <row r="5811" s="333" customFormat="1"/>
    <row r="5812" s="333" customFormat="1"/>
    <row r="5813" s="333" customFormat="1"/>
    <row r="5814" s="333" customFormat="1"/>
    <row r="5815" s="333" customFormat="1"/>
    <row r="5816" s="333" customFormat="1"/>
    <row r="5817" s="333" customFormat="1"/>
    <row r="5818" s="333" customFormat="1"/>
    <row r="5819" s="333" customFormat="1"/>
    <row r="5820" s="333" customFormat="1"/>
    <row r="5821" s="333" customFormat="1"/>
    <row r="5822" s="333" customFormat="1"/>
    <row r="5823" s="333" customFormat="1"/>
    <row r="5824" s="333" customFormat="1"/>
    <row r="5825" s="333" customFormat="1"/>
    <row r="5826" s="333" customFormat="1"/>
    <row r="5827" s="333" customFormat="1"/>
    <row r="5828" s="333" customFormat="1"/>
    <row r="5829" s="333" customFormat="1"/>
    <row r="5830" s="333" customFormat="1"/>
    <row r="5831" s="333" customFormat="1"/>
    <row r="5832" s="333" customFormat="1"/>
    <row r="5833" s="333" customFormat="1"/>
    <row r="5834" s="333" customFormat="1"/>
    <row r="5835" s="333" customFormat="1"/>
    <row r="5836" s="333" customFormat="1"/>
    <row r="5837" s="333" customFormat="1"/>
    <row r="5838" s="333" customFormat="1"/>
    <row r="5839" s="333" customFormat="1"/>
    <row r="5840" s="333" customFormat="1"/>
    <row r="5841" s="333" customFormat="1"/>
    <row r="5842" s="333" customFormat="1"/>
    <row r="5843" s="333" customFormat="1"/>
    <row r="5844" s="333" customFormat="1"/>
    <row r="5845" s="333" customFormat="1"/>
    <row r="5846" s="333" customFormat="1"/>
    <row r="5847" s="333" customFormat="1"/>
    <row r="5848" s="333" customFormat="1"/>
    <row r="5849" s="333" customFormat="1"/>
    <row r="5850" s="333" customFormat="1"/>
    <row r="5851" s="333" customFormat="1"/>
    <row r="5852" s="333" customFormat="1"/>
    <row r="5853" s="333" customFormat="1"/>
    <row r="5854" s="333" customFormat="1"/>
    <row r="5855" s="333" customFormat="1"/>
    <row r="5856" s="333" customFormat="1"/>
    <row r="5857" s="333" customFormat="1"/>
    <row r="5858" s="333" customFormat="1"/>
    <row r="5859" s="333" customFormat="1"/>
    <row r="5860" s="333" customFormat="1"/>
    <row r="5861" s="333" customFormat="1"/>
    <row r="5862" s="333" customFormat="1"/>
    <row r="5863" s="333" customFormat="1"/>
    <row r="5864" s="333" customFormat="1"/>
    <row r="5865" s="333" customFormat="1"/>
    <row r="5866" s="333" customFormat="1"/>
    <row r="5867" s="333" customFormat="1"/>
    <row r="5868" s="333" customFormat="1"/>
    <row r="5869" s="333" customFormat="1"/>
    <row r="5870" s="333" customFormat="1"/>
    <row r="5871" s="333" customFormat="1"/>
    <row r="5872" s="333" customFormat="1"/>
    <row r="5873" s="333" customFormat="1"/>
    <row r="5874" s="333" customFormat="1"/>
    <row r="5875" s="333" customFormat="1"/>
    <row r="5876" s="333" customFormat="1"/>
    <row r="5877" s="333" customFormat="1"/>
    <row r="5878" s="333" customFormat="1"/>
    <row r="5879" s="333" customFormat="1"/>
    <row r="5880" s="333" customFormat="1"/>
    <row r="5881" s="333" customFormat="1"/>
    <row r="5882" s="333" customFormat="1"/>
    <row r="5883" s="333" customFormat="1"/>
    <row r="5884" s="333" customFormat="1"/>
    <row r="5885" s="333" customFormat="1"/>
    <row r="5886" s="333" customFormat="1"/>
    <row r="5887" s="333" customFormat="1"/>
    <row r="5888" s="333" customFormat="1"/>
    <row r="5889" s="333" customFormat="1"/>
    <row r="5890" s="333" customFormat="1"/>
    <row r="5891" s="333" customFormat="1"/>
    <row r="5892" s="333" customFormat="1"/>
    <row r="5893" s="333" customFormat="1"/>
    <row r="5894" s="333" customFormat="1"/>
    <row r="5895" s="333" customFormat="1"/>
    <row r="5896" s="333" customFormat="1"/>
    <row r="5897" s="333" customFormat="1"/>
    <row r="5898" s="333" customFormat="1"/>
    <row r="5899" s="333" customFormat="1"/>
    <row r="5900" s="333" customFormat="1"/>
    <row r="5901" s="333" customFormat="1"/>
    <row r="5902" s="333" customFormat="1"/>
    <row r="5903" s="333" customFormat="1"/>
    <row r="5904" s="333" customFormat="1"/>
    <row r="5905" s="333" customFormat="1"/>
    <row r="5906" s="333" customFormat="1"/>
    <row r="5907" s="333" customFormat="1"/>
    <row r="5908" s="333" customFormat="1"/>
    <row r="5909" s="333" customFormat="1"/>
    <row r="5910" s="333" customFormat="1"/>
    <row r="5911" s="333" customFormat="1"/>
    <row r="5912" s="333" customFormat="1"/>
    <row r="5913" s="333" customFormat="1"/>
    <row r="5914" s="333" customFormat="1"/>
    <row r="5915" s="333" customFormat="1"/>
    <row r="5916" s="333" customFormat="1"/>
    <row r="5917" s="333" customFormat="1"/>
    <row r="5918" s="333" customFormat="1"/>
    <row r="5919" s="333" customFormat="1"/>
    <row r="5920" s="333" customFormat="1"/>
    <row r="5921" s="333" customFormat="1"/>
    <row r="5922" s="333" customFormat="1"/>
    <row r="5923" s="333" customFormat="1"/>
    <row r="5924" s="333" customFormat="1"/>
    <row r="5925" s="333" customFormat="1"/>
    <row r="5926" s="333" customFormat="1"/>
    <row r="5927" s="333" customFormat="1"/>
    <row r="5928" s="333" customFormat="1"/>
    <row r="5929" s="333" customFormat="1"/>
    <row r="5930" s="333" customFormat="1"/>
    <row r="5931" s="333" customFormat="1"/>
    <row r="5932" s="333" customFormat="1"/>
    <row r="5933" s="333" customFormat="1"/>
    <row r="5934" s="333" customFormat="1"/>
    <row r="5935" s="333" customFormat="1"/>
    <row r="5936" s="333" customFormat="1"/>
    <row r="5937" s="333" customFormat="1"/>
    <row r="5938" s="333" customFormat="1"/>
    <row r="5939" s="333" customFormat="1"/>
    <row r="5940" s="333" customFormat="1"/>
    <row r="5941" s="333" customFormat="1"/>
    <row r="5942" s="333" customFormat="1"/>
    <row r="5943" s="333" customFormat="1"/>
    <row r="5944" s="333" customFormat="1"/>
    <row r="5945" s="333" customFormat="1"/>
    <row r="5946" s="333" customFormat="1"/>
    <row r="5947" s="333" customFormat="1"/>
    <row r="5948" s="333" customFormat="1"/>
    <row r="5949" s="333" customFormat="1"/>
    <row r="5950" s="333" customFormat="1"/>
    <row r="5951" s="333" customFormat="1"/>
    <row r="5952" s="333" customFormat="1"/>
    <row r="5953" s="333" customFormat="1"/>
    <row r="5954" s="333" customFormat="1"/>
    <row r="5955" s="333" customFormat="1"/>
    <row r="5956" s="333" customFormat="1"/>
    <row r="5957" s="333" customFormat="1"/>
    <row r="5958" s="333" customFormat="1"/>
    <row r="5959" s="333" customFormat="1"/>
    <row r="5960" s="333" customFormat="1"/>
    <row r="5961" s="333" customFormat="1"/>
    <row r="5962" s="333" customFormat="1"/>
    <row r="5963" s="333" customFormat="1"/>
    <row r="5964" s="333" customFormat="1"/>
    <row r="5965" s="333" customFormat="1"/>
    <row r="5966" s="333" customFormat="1"/>
    <row r="5967" s="333" customFormat="1"/>
    <row r="5968" s="333" customFormat="1"/>
    <row r="5969" s="333" customFormat="1"/>
    <row r="5970" s="333" customFormat="1"/>
    <row r="5971" s="333" customFormat="1"/>
    <row r="5972" s="333" customFormat="1"/>
    <row r="5973" s="333" customFormat="1"/>
    <row r="5974" s="333" customFormat="1"/>
    <row r="5975" s="333" customFormat="1"/>
    <row r="5976" s="333" customFormat="1"/>
    <row r="5977" s="333" customFormat="1"/>
    <row r="5978" s="333" customFormat="1"/>
    <row r="5979" s="333" customFormat="1"/>
    <row r="5980" s="333" customFormat="1"/>
    <row r="5981" s="333" customFormat="1"/>
    <row r="5982" s="333" customFormat="1"/>
    <row r="5983" s="333" customFormat="1"/>
    <row r="5984" s="333" customFormat="1"/>
    <row r="5985" s="333" customFormat="1"/>
    <row r="5986" s="333" customFormat="1"/>
    <row r="5987" s="333" customFormat="1"/>
    <row r="5988" s="333" customFormat="1"/>
    <row r="5989" s="333" customFormat="1"/>
    <row r="5990" s="333" customFormat="1"/>
    <row r="5991" s="333" customFormat="1"/>
    <row r="5992" s="333" customFormat="1"/>
    <row r="5993" s="333" customFormat="1"/>
    <row r="5994" s="333" customFormat="1"/>
    <row r="5995" s="333" customFormat="1"/>
    <row r="5996" s="333" customFormat="1"/>
    <row r="5997" s="333" customFormat="1"/>
    <row r="5998" s="333" customFormat="1"/>
    <row r="5999" s="333" customFormat="1"/>
    <row r="6000" s="333" customFormat="1"/>
    <row r="6001" s="333" customFormat="1"/>
    <row r="6002" s="333" customFormat="1"/>
    <row r="6003" s="333" customFormat="1"/>
    <row r="6004" s="333" customFormat="1"/>
    <row r="6005" s="333" customFormat="1"/>
    <row r="6006" s="333" customFormat="1"/>
    <row r="6007" s="333" customFormat="1"/>
    <row r="6008" s="333" customFormat="1"/>
    <row r="6009" s="333" customFormat="1"/>
    <row r="6010" s="333" customFormat="1"/>
    <row r="6011" s="333" customFormat="1"/>
    <row r="6012" s="333" customFormat="1"/>
    <row r="6013" s="333" customFormat="1"/>
    <row r="6014" s="333" customFormat="1"/>
    <row r="6015" s="333" customFormat="1"/>
    <row r="6016" s="333" customFormat="1"/>
    <row r="6017" s="333" customFormat="1"/>
    <row r="6018" s="333" customFormat="1"/>
    <row r="6019" s="333" customFormat="1"/>
    <row r="6020" s="333" customFormat="1"/>
    <row r="6021" s="333" customFormat="1"/>
    <row r="6022" s="333" customFormat="1"/>
    <row r="6023" s="333" customFormat="1"/>
    <row r="6024" s="333" customFormat="1"/>
    <row r="6025" s="333" customFormat="1"/>
    <row r="6026" s="333" customFormat="1"/>
    <row r="6027" s="333" customFormat="1"/>
    <row r="6028" s="333" customFormat="1"/>
    <row r="6029" s="333" customFormat="1"/>
    <row r="6030" s="333" customFormat="1"/>
    <row r="6031" s="333" customFormat="1"/>
    <row r="6032" s="333" customFormat="1"/>
    <row r="6033" s="333" customFormat="1"/>
    <row r="6034" s="333" customFormat="1"/>
    <row r="6035" s="333" customFormat="1"/>
    <row r="6036" s="333" customFormat="1"/>
    <row r="6037" s="333" customFormat="1"/>
    <row r="6038" s="333" customFormat="1"/>
    <row r="6039" s="333" customFormat="1"/>
    <row r="6040" s="333" customFormat="1"/>
    <row r="6041" s="333" customFormat="1"/>
    <row r="6042" s="333" customFormat="1"/>
    <row r="6043" s="333" customFormat="1"/>
    <row r="6044" s="333" customFormat="1"/>
    <row r="6045" s="333" customFormat="1"/>
    <row r="6046" s="333" customFormat="1"/>
    <row r="6047" s="333" customFormat="1"/>
    <row r="6048" s="333" customFormat="1"/>
    <row r="6049" s="333" customFormat="1"/>
    <row r="6050" s="333" customFormat="1"/>
    <row r="6051" s="333" customFormat="1"/>
    <row r="6052" s="333" customFormat="1"/>
    <row r="6053" s="333" customFormat="1"/>
    <row r="6054" s="333" customFormat="1"/>
    <row r="6055" s="333" customFormat="1"/>
    <row r="6056" s="333" customFormat="1"/>
    <row r="6057" s="333" customFormat="1"/>
    <row r="6058" s="333" customFormat="1"/>
    <row r="6059" s="333" customFormat="1"/>
    <row r="6060" s="333" customFormat="1"/>
    <row r="6061" s="333" customFormat="1"/>
    <row r="6062" s="333" customFormat="1"/>
    <row r="6063" s="333" customFormat="1"/>
    <row r="6064" s="333" customFormat="1"/>
    <row r="6065" s="333" customFormat="1"/>
    <row r="6066" s="333" customFormat="1"/>
    <row r="6067" s="333" customFormat="1"/>
    <row r="6068" s="333" customFormat="1"/>
    <row r="6069" s="333" customFormat="1"/>
    <row r="6070" s="333" customFormat="1"/>
    <row r="6071" s="333" customFormat="1"/>
    <row r="6072" s="333" customFormat="1"/>
    <row r="6073" s="333" customFormat="1"/>
    <row r="6074" s="333" customFormat="1"/>
    <row r="6075" s="333" customFormat="1"/>
    <row r="6076" s="333" customFormat="1"/>
    <row r="6077" s="333" customFormat="1"/>
    <row r="6078" s="333" customFormat="1"/>
    <row r="6079" s="333" customFormat="1"/>
    <row r="6080" s="333" customFormat="1"/>
    <row r="6081" s="333" customFormat="1"/>
    <row r="6082" s="333" customFormat="1"/>
    <row r="6083" s="333" customFormat="1"/>
    <row r="6084" s="333" customFormat="1"/>
    <row r="6085" s="333" customFormat="1"/>
    <row r="6086" s="333" customFormat="1"/>
    <row r="6087" s="333" customFormat="1"/>
    <row r="6088" s="333" customFormat="1"/>
    <row r="6089" s="333" customFormat="1"/>
    <row r="6090" s="333" customFormat="1"/>
    <row r="6091" s="333" customFormat="1"/>
    <row r="6092" s="333" customFormat="1"/>
    <row r="6093" s="333" customFormat="1"/>
    <row r="6094" s="333" customFormat="1"/>
    <row r="6095" s="333" customFormat="1"/>
    <row r="6096" s="333" customFormat="1"/>
    <row r="6097" s="333" customFormat="1"/>
    <row r="6098" s="333" customFormat="1"/>
    <row r="6099" s="333" customFormat="1"/>
    <row r="6100" s="333" customFormat="1"/>
    <row r="6101" s="333" customFormat="1"/>
    <row r="6102" s="333" customFormat="1"/>
    <row r="6103" s="333" customFormat="1"/>
    <row r="6104" s="333" customFormat="1"/>
    <row r="6105" s="333" customFormat="1"/>
    <row r="6106" s="333" customFormat="1"/>
    <row r="6107" s="333" customFormat="1"/>
    <row r="6108" s="333" customFormat="1"/>
    <row r="6109" s="333" customFormat="1"/>
    <row r="6110" s="333" customFormat="1"/>
    <row r="6111" s="333" customFormat="1"/>
    <row r="6112" s="333" customFormat="1"/>
    <row r="6113" s="333" customFormat="1"/>
    <row r="6114" s="333" customFormat="1"/>
    <row r="6115" s="333" customFormat="1"/>
    <row r="6116" s="333" customFormat="1"/>
    <row r="6117" s="333" customFormat="1"/>
    <row r="6118" s="333" customFormat="1"/>
    <row r="6119" s="333" customFormat="1"/>
    <row r="6120" s="333" customFormat="1"/>
    <row r="6121" s="333" customFormat="1"/>
    <row r="6122" s="333" customFormat="1"/>
    <row r="6123" s="333" customFormat="1"/>
    <row r="6124" s="333" customFormat="1"/>
    <row r="6125" s="333" customFormat="1"/>
    <row r="6126" s="333" customFormat="1"/>
    <row r="6127" s="333" customFormat="1"/>
    <row r="6128" s="333" customFormat="1"/>
    <row r="6129" s="333" customFormat="1"/>
    <row r="6130" s="333" customFormat="1"/>
    <row r="6131" s="333" customFormat="1"/>
    <row r="6132" s="333" customFormat="1"/>
    <row r="6133" s="333" customFormat="1"/>
    <row r="6134" s="333" customFormat="1"/>
    <row r="6135" s="333" customFormat="1"/>
    <row r="6136" s="333" customFormat="1"/>
    <row r="6137" s="333" customFormat="1"/>
    <row r="6138" s="333" customFormat="1"/>
    <row r="6139" s="333" customFormat="1"/>
    <row r="6140" s="333" customFormat="1"/>
    <row r="6141" s="333" customFormat="1"/>
    <row r="6142" s="333" customFormat="1"/>
    <row r="6143" s="333" customFormat="1"/>
    <row r="6144" s="333" customFormat="1"/>
    <row r="6145" s="333" customFormat="1"/>
    <row r="6146" s="333" customFormat="1"/>
    <row r="6147" s="333" customFormat="1"/>
    <row r="6148" s="333" customFormat="1"/>
    <row r="6149" s="333" customFormat="1"/>
    <row r="6150" s="333" customFormat="1"/>
    <row r="6151" s="333" customFormat="1"/>
    <row r="6152" s="333" customFormat="1"/>
    <row r="6153" s="333" customFormat="1"/>
    <row r="6154" s="333" customFormat="1"/>
    <row r="6155" s="333" customFormat="1"/>
    <row r="6156" s="333" customFormat="1"/>
    <row r="6157" s="333" customFormat="1"/>
    <row r="6158" s="333" customFormat="1"/>
    <row r="6159" s="333" customFormat="1"/>
    <row r="6160" s="333" customFormat="1"/>
    <row r="6161" s="333" customFormat="1"/>
    <row r="6162" s="333" customFormat="1"/>
    <row r="6163" s="333" customFormat="1"/>
    <row r="6164" s="333" customFormat="1"/>
    <row r="6165" s="333" customFormat="1"/>
    <row r="6166" s="333" customFormat="1"/>
    <row r="6167" s="333" customFormat="1"/>
    <row r="6168" s="333" customFormat="1"/>
    <row r="6169" s="333" customFormat="1"/>
    <row r="6170" s="333" customFormat="1"/>
    <row r="6171" s="333" customFormat="1"/>
    <row r="6172" s="333" customFormat="1"/>
    <row r="6173" s="333" customFormat="1"/>
    <row r="6174" s="333" customFormat="1"/>
    <row r="6175" s="333" customFormat="1"/>
    <row r="6176" s="333" customFormat="1"/>
    <row r="6177" s="333" customFormat="1"/>
    <row r="6178" s="333" customFormat="1"/>
    <row r="6179" s="333" customFormat="1"/>
    <row r="6180" s="333" customFormat="1"/>
    <row r="6181" s="333" customFormat="1"/>
    <row r="6182" s="333" customFormat="1"/>
    <row r="6183" s="333" customFormat="1"/>
    <row r="6184" s="333" customFormat="1"/>
    <row r="6185" s="333" customFormat="1"/>
    <row r="6186" s="333" customFormat="1"/>
    <row r="6187" s="333" customFormat="1"/>
    <row r="6188" s="333" customFormat="1"/>
    <row r="6189" s="333" customFormat="1"/>
    <row r="6190" s="333" customFormat="1"/>
    <row r="6191" s="333" customFormat="1"/>
    <row r="6192" s="333" customFormat="1"/>
    <row r="6193" s="333" customFormat="1"/>
    <row r="6194" s="333" customFormat="1"/>
    <row r="6195" s="333" customFormat="1"/>
    <row r="6196" s="333" customFormat="1"/>
    <row r="6197" s="333" customFormat="1"/>
    <row r="6198" s="333" customFormat="1"/>
    <row r="6199" s="333" customFormat="1"/>
    <row r="6200" s="333" customFormat="1"/>
    <row r="6201" s="333" customFormat="1"/>
    <row r="6202" s="333" customFormat="1"/>
    <row r="6203" s="333" customFormat="1"/>
    <row r="6204" s="333" customFormat="1"/>
    <row r="6205" s="333" customFormat="1"/>
    <row r="6206" s="333" customFormat="1"/>
    <row r="6207" s="333" customFormat="1"/>
    <row r="6208" s="333" customFormat="1"/>
    <row r="6209" s="333" customFormat="1"/>
    <row r="6210" s="333" customFormat="1"/>
    <row r="6211" s="333" customFormat="1"/>
    <row r="6212" s="333" customFormat="1"/>
    <row r="6213" s="333" customFormat="1"/>
    <row r="6214" s="333" customFormat="1"/>
    <row r="6215" s="333" customFormat="1"/>
    <row r="6216" s="333" customFormat="1"/>
    <row r="6217" s="333" customFormat="1"/>
    <row r="6218" s="333" customFormat="1"/>
    <row r="6219" s="333" customFormat="1"/>
    <row r="6220" s="333" customFormat="1"/>
    <row r="6221" s="333" customFormat="1"/>
    <row r="6222" s="333" customFormat="1"/>
    <row r="6223" s="333" customFormat="1"/>
    <row r="6224" s="333" customFormat="1"/>
    <row r="6225" s="333" customFormat="1"/>
    <row r="6226" s="333" customFormat="1"/>
    <row r="6227" s="333" customFormat="1"/>
    <row r="6228" s="333" customFormat="1"/>
    <row r="6229" s="333" customFormat="1"/>
    <row r="6230" s="333" customFormat="1"/>
    <row r="6231" s="333" customFormat="1"/>
    <row r="6232" s="333" customFormat="1"/>
    <row r="6233" s="333" customFormat="1"/>
    <row r="6234" s="333" customFormat="1"/>
    <row r="6235" s="333" customFormat="1"/>
    <row r="6236" s="333" customFormat="1"/>
    <row r="6237" s="333" customFormat="1"/>
    <row r="6238" s="333" customFormat="1"/>
    <row r="6239" s="333" customFormat="1"/>
    <row r="6240" s="333" customFormat="1"/>
    <row r="6241" s="333" customFormat="1"/>
    <row r="6242" s="333" customFormat="1"/>
    <row r="6243" s="333" customFormat="1"/>
    <row r="6244" s="333" customFormat="1"/>
    <row r="6245" s="333" customFormat="1"/>
    <row r="6246" s="333" customFormat="1"/>
    <row r="6247" s="333" customFormat="1"/>
    <row r="6248" s="333" customFormat="1"/>
    <row r="6249" s="333" customFormat="1"/>
    <row r="6250" s="333" customFormat="1"/>
    <row r="6251" s="333" customFormat="1"/>
    <row r="6252" s="333" customFormat="1"/>
    <row r="6253" s="333" customFormat="1"/>
    <row r="6254" s="333" customFormat="1"/>
    <row r="6255" s="333" customFormat="1"/>
    <row r="6256" s="333" customFormat="1"/>
    <row r="6257" s="333" customFormat="1"/>
    <row r="6258" s="333" customFormat="1"/>
    <row r="6259" s="333" customFormat="1"/>
    <row r="6260" s="333" customFormat="1"/>
    <row r="6261" s="333" customFormat="1"/>
    <row r="6262" s="333" customFormat="1"/>
    <row r="6263" s="333" customFormat="1"/>
    <row r="6264" s="333" customFormat="1"/>
    <row r="6265" s="333" customFormat="1"/>
    <row r="6266" s="333" customFormat="1"/>
    <row r="6267" s="333" customFormat="1"/>
    <row r="6268" s="333" customFormat="1"/>
    <row r="6269" s="333" customFormat="1"/>
    <row r="6270" s="333" customFormat="1"/>
    <row r="6271" s="333" customFormat="1"/>
    <row r="6272" s="333" customFormat="1"/>
    <row r="6273" s="333" customFormat="1"/>
    <row r="6274" s="333" customFormat="1"/>
    <row r="6275" s="333" customFormat="1"/>
    <row r="6276" s="333" customFormat="1"/>
    <row r="6277" s="333" customFormat="1"/>
    <row r="6278" s="333" customFormat="1"/>
    <row r="6279" s="333" customFormat="1"/>
    <row r="6280" s="333" customFormat="1"/>
    <row r="6281" s="333" customFormat="1"/>
    <row r="6282" s="333" customFormat="1"/>
    <row r="6283" s="333" customFormat="1"/>
    <row r="6284" s="333" customFormat="1"/>
    <row r="6285" s="333" customFormat="1"/>
    <row r="6286" s="333" customFormat="1"/>
    <row r="6287" s="333" customFormat="1"/>
    <row r="6288" s="333" customFormat="1"/>
    <row r="6289" s="333" customFormat="1"/>
    <row r="6290" s="333" customFormat="1"/>
    <row r="6291" s="333" customFormat="1"/>
    <row r="6292" s="333" customFormat="1"/>
    <row r="6293" s="333" customFormat="1"/>
    <row r="6294" s="333" customFormat="1"/>
    <row r="6295" s="333" customFormat="1"/>
    <row r="6296" s="333" customFormat="1"/>
    <row r="6297" s="333" customFormat="1"/>
    <row r="6298" s="333" customFormat="1"/>
    <row r="6299" s="333" customFormat="1"/>
    <row r="6300" s="333" customFormat="1"/>
    <row r="6301" s="333" customFormat="1"/>
    <row r="6302" s="333" customFormat="1"/>
    <row r="6303" s="333" customFormat="1"/>
    <row r="6304" s="333" customFormat="1"/>
    <row r="6305" s="333" customFormat="1"/>
    <row r="6306" s="333" customFormat="1"/>
    <row r="6307" s="333" customFormat="1"/>
    <row r="6308" s="333" customFormat="1"/>
    <row r="6309" s="333" customFormat="1"/>
    <row r="6310" s="333" customFormat="1"/>
    <row r="6311" s="333" customFormat="1"/>
    <row r="6312" s="333" customFormat="1"/>
    <row r="6313" s="333" customFormat="1"/>
    <row r="6314" s="333" customFormat="1"/>
    <row r="6315" s="333" customFormat="1"/>
    <row r="6316" s="333" customFormat="1"/>
    <row r="6317" s="333" customFormat="1"/>
    <row r="6318" s="333" customFormat="1"/>
    <row r="6319" s="333" customFormat="1"/>
    <row r="6320" s="333" customFormat="1"/>
    <row r="6321" s="333" customFormat="1"/>
    <row r="6322" s="333" customFormat="1"/>
    <row r="6323" s="333" customFormat="1"/>
    <row r="6324" s="333" customFormat="1"/>
    <row r="6325" s="333" customFormat="1"/>
    <row r="6326" s="333" customFormat="1"/>
    <row r="6327" s="333" customFormat="1"/>
    <row r="6328" s="333" customFormat="1"/>
    <row r="6329" s="333" customFormat="1"/>
    <row r="6330" s="333" customFormat="1"/>
    <row r="6331" s="333" customFormat="1"/>
    <row r="6332" s="333" customFormat="1"/>
    <row r="6333" s="333" customFormat="1"/>
    <row r="6334" s="333" customFormat="1"/>
    <row r="6335" s="333" customFormat="1"/>
    <row r="6336" s="333" customFormat="1"/>
    <row r="6337" s="333" customFormat="1"/>
    <row r="6338" s="333" customFormat="1"/>
    <row r="6339" s="333" customFormat="1"/>
    <row r="6340" s="333" customFormat="1"/>
    <row r="6341" s="333" customFormat="1"/>
    <row r="6342" s="333" customFormat="1"/>
    <row r="6343" s="333" customFormat="1"/>
    <row r="6344" s="333" customFormat="1"/>
    <row r="6345" s="333" customFormat="1"/>
    <row r="6346" s="333" customFormat="1"/>
    <row r="6347" s="333" customFormat="1"/>
    <row r="6348" s="333" customFormat="1"/>
    <row r="6349" s="333" customFormat="1"/>
    <row r="6350" s="333" customFormat="1"/>
    <row r="6351" s="333" customFormat="1"/>
    <row r="6352" s="333" customFormat="1"/>
    <row r="6353" s="333" customFormat="1"/>
    <row r="6354" s="333" customFormat="1"/>
    <row r="6355" s="333" customFormat="1"/>
    <row r="6356" s="333" customFormat="1"/>
    <row r="6357" s="333" customFormat="1"/>
    <row r="6358" s="333" customFormat="1"/>
    <row r="6359" s="333" customFormat="1"/>
    <row r="6360" s="333" customFormat="1"/>
    <row r="6361" s="333" customFormat="1"/>
    <row r="6362" s="333" customFormat="1"/>
    <row r="6363" s="333" customFormat="1"/>
    <row r="6364" s="333" customFormat="1"/>
    <row r="6365" s="333" customFormat="1"/>
    <row r="6366" s="333" customFormat="1"/>
    <row r="6367" s="333" customFormat="1"/>
    <row r="6368" s="333" customFormat="1"/>
    <row r="6369" s="333" customFormat="1"/>
    <row r="6370" s="333" customFormat="1"/>
    <row r="6371" s="333" customFormat="1"/>
    <row r="6372" s="333" customFormat="1"/>
    <row r="6373" s="333" customFormat="1"/>
    <row r="6374" s="333" customFormat="1"/>
    <row r="6375" s="333" customFormat="1"/>
    <row r="6376" s="333" customFormat="1"/>
    <row r="6377" s="333" customFormat="1"/>
    <row r="6378" s="333" customFormat="1"/>
    <row r="6379" s="333" customFormat="1"/>
    <row r="6380" s="333" customFormat="1"/>
    <row r="6381" s="333" customFormat="1"/>
    <row r="6382" s="333" customFormat="1"/>
    <row r="6383" s="333" customFormat="1"/>
    <row r="6384" s="333" customFormat="1"/>
    <row r="6385" s="333" customFormat="1"/>
    <row r="6386" s="333" customFormat="1"/>
    <row r="6387" s="333" customFormat="1"/>
    <row r="6388" s="333" customFormat="1"/>
    <row r="6389" s="333" customFormat="1"/>
    <row r="6390" s="333" customFormat="1"/>
    <row r="6391" s="333" customFormat="1"/>
    <row r="6392" s="333" customFormat="1"/>
    <row r="6393" s="333" customFormat="1"/>
    <row r="6394" s="333" customFormat="1"/>
    <row r="6395" s="333" customFormat="1"/>
    <row r="6396" s="333" customFormat="1"/>
    <row r="6397" s="333" customFormat="1"/>
    <row r="6398" s="333" customFormat="1"/>
    <row r="6399" s="333" customFormat="1"/>
    <row r="6400" s="333" customFormat="1"/>
    <row r="6401" s="333" customFormat="1"/>
    <row r="6402" s="333" customFormat="1"/>
    <row r="6403" s="333" customFormat="1"/>
    <row r="6404" s="333" customFormat="1"/>
    <row r="6405" s="333" customFormat="1"/>
    <row r="6406" s="333" customFormat="1"/>
    <row r="6407" s="333" customFormat="1"/>
    <row r="6408" s="333" customFormat="1"/>
    <row r="6409" s="333" customFormat="1"/>
    <row r="6410" s="333" customFormat="1"/>
    <row r="6411" s="333" customFormat="1"/>
    <row r="6412" s="333" customFormat="1"/>
    <row r="6413" s="333" customFormat="1"/>
    <row r="6414" s="333" customFormat="1"/>
    <row r="6415" s="333" customFormat="1"/>
    <row r="6416" s="333" customFormat="1"/>
    <row r="6417" s="333" customFormat="1"/>
    <row r="6418" s="333" customFormat="1"/>
    <row r="6419" s="333" customFormat="1"/>
    <row r="6420" s="333" customFormat="1"/>
    <row r="6421" s="333" customFormat="1"/>
    <row r="6422" s="333" customFormat="1"/>
    <row r="6423" s="333" customFormat="1"/>
    <row r="6424" s="333" customFormat="1"/>
    <row r="6425" s="333" customFormat="1"/>
    <row r="6426" s="333" customFormat="1"/>
    <row r="6427" s="333" customFormat="1"/>
    <row r="6428" s="333" customFormat="1"/>
    <row r="6429" s="333" customFormat="1"/>
    <row r="6430" s="333" customFormat="1"/>
    <row r="6431" s="333" customFormat="1"/>
    <row r="6432" s="333" customFormat="1"/>
    <row r="6433" s="333" customFormat="1"/>
    <row r="6434" s="333" customFormat="1"/>
    <row r="6435" s="333" customFormat="1"/>
    <row r="6436" s="333" customFormat="1"/>
    <row r="6437" s="333" customFormat="1"/>
    <row r="6438" s="333" customFormat="1"/>
    <row r="6439" s="333" customFormat="1"/>
    <row r="6440" s="333" customFormat="1"/>
    <row r="6441" s="333" customFormat="1"/>
    <row r="6442" s="333" customFormat="1"/>
    <row r="6443" s="333" customFormat="1"/>
    <row r="6444" s="333" customFormat="1"/>
    <row r="6445" s="333" customFormat="1"/>
    <row r="6446" s="333" customFormat="1"/>
    <row r="6447" s="333" customFormat="1"/>
    <row r="6448" s="333" customFormat="1"/>
    <row r="6449" s="333" customFormat="1"/>
    <row r="6450" s="333" customFormat="1"/>
    <row r="6451" s="333" customFormat="1"/>
    <row r="6452" s="333" customFormat="1"/>
    <row r="6453" s="333" customFormat="1"/>
    <row r="6454" s="333" customFormat="1"/>
    <row r="6455" s="333" customFormat="1"/>
    <row r="6456" s="333" customFormat="1"/>
    <row r="6457" s="333" customFormat="1"/>
    <row r="6458" s="333" customFormat="1"/>
    <row r="6459" s="333" customFormat="1"/>
    <row r="6460" s="333" customFormat="1"/>
    <row r="6461" s="333" customFormat="1"/>
    <row r="6462" s="333" customFormat="1"/>
    <row r="6463" s="333" customFormat="1"/>
    <row r="6464" s="333" customFormat="1"/>
    <row r="6465" s="333" customFormat="1"/>
    <row r="6466" s="333" customFormat="1"/>
    <row r="6467" s="333" customFormat="1"/>
    <row r="6468" s="333" customFormat="1"/>
    <row r="6469" s="333" customFormat="1"/>
    <row r="6470" s="333" customFormat="1"/>
    <row r="6471" s="333" customFormat="1"/>
    <row r="6472" s="333" customFormat="1"/>
    <row r="6473" s="333" customFormat="1"/>
    <row r="6474" s="333" customFormat="1"/>
    <row r="6475" s="333" customFormat="1"/>
    <row r="6476" s="333" customFormat="1"/>
    <row r="6477" s="333" customFormat="1"/>
    <row r="6478" s="333" customFormat="1"/>
    <row r="6479" s="333" customFormat="1"/>
    <row r="6480" s="333" customFormat="1"/>
    <row r="6481" s="333" customFormat="1"/>
    <row r="6482" s="333" customFormat="1"/>
    <row r="6483" s="333" customFormat="1"/>
    <row r="6484" s="333" customFormat="1"/>
    <row r="6485" s="333" customFormat="1"/>
    <row r="6486" s="333" customFormat="1"/>
    <row r="6487" s="333" customFormat="1"/>
    <row r="6488" s="333" customFormat="1"/>
    <row r="6489" s="333" customFormat="1"/>
    <row r="6490" s="333" customFormat="1"/>
    <row r="6491" s="333" customFormat="1"/>
    <row r="6492" s="333" customFormat="1"/>
    <row r="6493" s="333" customFormat="1"/>
    <row r="6494" s="333" customFormat="1"/>
    <row r="6495" s="333" customFormat="1"/>
    <row r="6496" s="333" customFormat="1"/>
    <row r="6497" s="333" customFormat="1"/>
    <row r="6498" s="333" customFormat="1"/>
    <row r="6499" s="333" customFormat="1"/>
    <row r="6500" s="333" customFormat="1"/>
    <row r="6501" s="333" customFormat="1"/>
    <row r="6502" s="333" customFormat="1"/>
    <row r="6503" s="333" customFormat="1"/>
    <row r="6504" s="333" customFormat="1"/>
    <row r="6505" s="333" customFormat="1"/>
    <row r="6506" s="333" customFormat="1"/>
    <row r="6507" s="333" customFormat="1"/>
    <row r="6508" s="333" customFormat="1"/>
    <row r="6509" s="333" customFormat="1"/>
    <row r="6510" s="333" customFormat="1"/>
    <row r="6511" s="333" customFormat="1"/>
    <row r="6512" s="333" customFormat="1"/>
    <row r="6513" s="333" customFormat="1"/>
    <row r="6514" s="333" customFormat="1"/>
    <row r="6515" s="333" customFormat="1"/>
    <row r="6516" s="333" customFormat="1"/>
    <row r="6517" s="333" customFormat="1"/>
    <row r="6518" s="333" customFormat="1"/>
    <row r="6519" s="333" customFormat="1"/>
    <row r="6520" s="333" customFormat="1"/>
    <row r="6521" s="333" customFormat="1"/>
    <row r="6522" s="333" customFormat="1"/>
    <row r="6523" s="333" customFormat="1"/>
    <row r="6524" s="333" customFormat="1"/>
    <row r="6525" s="333" customFormat="1"/>
    <row r="6526" s="333" customFormat="1"/>
    <row r="6527" s="333" customFormat="1"/>
    <row r="6528" s="333" customFormat="1"/>
    <row r="6529" s="333" customFormat="1"/>
    <row r="6530" s="333" customFormat="1"/>
    <row r="6531" s="333" customFormat="1"/>
    <row r="6532" s="333" customFormat="1"/>
    <row r="6533" s="333" customFormat="1"/>
    <row r="6534" s="333" customFormat="1"/>
    <row r="6535" s="333" customFormat="1"/>
    <row r="6536" s="333" customFormat="1"/>
    <row r="6537" s="333" customFormat="1"/>
    <row r="6538" s="333" customFormat="1"/>
    <row r="6539" s="333" customFormat="1"/>
    <row r="6540" s="333" customFormat="1"/>
    <row r="6541" s="333" customFormat="1"/>
    <row r="6542" s="333" customFormat="1"/>
    <row r="6543" s="333" customFormat="1"/>
    <row r="6544" s="333" customFormat="1"/>
    <row r="6545" s="333" customFormat="1"/>
    <row r="6546" s="333" customFormat="1"/>
    <row r="6547" s="333" customFormat="1"/>
    <row r="6548" s="333" customFormat="1"/>
    <row r="6549" s="333" customFormat="1"/>
    <row r="6550" s="333" customFormat="1"/>
    <row r="6551" s="333" customFormat="1"/>
    <row r="6552" s="333" customFormat="1"/>
    <row r="6553" s="333" customFormat="1"/>
    <row r="6554" s="333" customFormat="1"/>
    <row r="6555" s="333" customFormat="1"/>
    <row r="6556" s="333" customFormat="1"/>
    <row r="6557" s="333" customFormat="1"/>
    <row r="6558" s="333" customFormat="1"/>
    <row r="6559" s="333" customFormat="1"/>
    <row r="6560" s="333" customFormat="1"/>
    <row r="6561" s="333" customFormat="1"/>
    <row r="6562" s="333" customFormat="1"/>
    <row r="6563" s="333" customFormat="1"/>
    <row r="6564" s="333" customFormat="1"/>
    <row r="6565" s="333" customFormat="1"/>
    <row r="6566" s="333" customFormat="1"/>
    <row r="6567" s="333" customFormat="1"/>
    <row r="6568" s="333" customFormat="1"/>
    <row r="6569" s="333" customFormat="1"/>
    <row r="6570" s="333" customFormat="1"/>
    <row r="6571" s="333" customFormat="1"/>
    <row r="6572" s="333" customFormat="1"/>
    <row r="6573" s="333" customFormat="1"/>
    <row r="6574" s="333" customFormat="1"/>
    <row r="6575" s="333" customFormat="1"/>
    <row r="6576" s="333" customFormat="1"/>
    <row r="6577" s="333" customFormat="1"/>
    <row r="6578" s="333" customFormat="1"/>
    <row r="6579" s="333" customFormat="1"/>
    <row r="6580" s="333" customFormat="1"/>
    <row r="6581" s="333" customFormat="1"/>
    <row r="6582" s="333" customFormat="1"/>
    <row r="6583" s="333" customFormat="1"/>
    <row r="6584" s="333" customFormat="1"/>
    <row r="6585" s="333" customFormat="1"/>
    <row r="6586" s="333" customFormat="1"/>
    <row r="6587" s="333" customFormat="1"/>
    <row r="6588" s="333" customFormat="1"/>
    <row r="6589" s="333" customFormat="1"/>
    <row r="6590" s="333" customFormat="1"/>
    <row r="6591" s="333" customFormat="1"/>
    <row r="6592" s="333" customFormat="1"/>
    <row r="6593" s="333" customFormat="1"/>
    <row r="6594" s="333" customFormat="1"/>
    <row r="6595" s="333" customFormat="1"/>
    <row r="6596" s="333" customFormat="1"/>
    <row r="6597" s="333" customFormat="1"/>
    <row r="6598" s="333" customFormat="1"/>
    <row r="6599" s="333" customFormat="1"/>
    <row r="6600" s="333" customFormat="1"/>
    <row r="6601" s="333" customFormat="1"/>
    <row r="6602" s="333" customFormat="1"/>
    <row r="6603" s="333" customFormat="1"/>
    <row r="6604" s="333" customFormat="1"/>
    <row r="6605" s="333" customFormat="1"/>
    <row r="6606" s="333" customFormat="1"/>
    <row r="6607" s="333" customFormat="1"/>
    <row r="6608" s="333" customFormat="1"/>
    <row r="6609" s="333" customFormat="1"/>
    <row r="6610" s="333" customFormat="1"/>
    <row r="6611" s="333" customFormat="1"/>
    <row r="6612" s="333" customFormat="1"/>
    <row r="6613" s="333" customFormat="1"/>
    <row r="6614" s="333" customFormat="1"/>
    <row r="6615" s="333" customFormat="1"/>
    <row r="6616" s="333" customFormat="1"/>
    <row r="6617" s="333" customFormat="1"/>
    <row r="6618" s="333" customFormat="1"/>
    <row r="6619" s="333" customFormat="1"/>
    <row r="6620" s="333" customFormat="1"/>
    <row r="6621" s="333" customFormat="1"/>
    <row r="6622" s="333" customFormat="1"/>
    <row r="6623" s="333" customFormat="1"/>
    <row r="6624" s="333" customFormat="1"/>
    <row r="6625" s="333" customFormat="1"/>
    <row r="6626" s="333" customFormat="1"/>
    <row r="6627" s="333" customFormat="1"/>
    <row r="6628" s="333" customFormat="1"/>
    <row r="6629" s="333" customFormat="1"/>
    <row r="6630" s="333" customFormat="1"/>
    <row r="6631" s="333" customFormat="1"/>
    <row r="6632" s="333" customFormat="1"/>
    <row r="6633" s="333" customFormat="1"/>
    <row r="6634" s="333" customFormat="1"/>
    <row r="6635" s="333" customFormat="1"/>
    <row r="6636" s="333" customFormat="1"/>
    <row r="6637" s="333" customFormat="1"/>
    <row r="6638" s="333" customFormat="1"/>
    <row r="6639" s="333" customFormat="1"/>
    <row r="6640" s="333" customFormat="1"/>
    <row r="6641" s="333" customFormat="1"/>
    <row r="6642" s="333" customFormat="1"/>
    <row r="6643" s="333" customFormat="1"/>
    <row r="6644" s="333" customFormat="1"/>
    <row r="6645" s="333" customFormat="1"/>
    <row r="6646" s="333" customFormat="1"/>
    <row r="6647" s="333" customFormat="1"/>
    <row r="6648" s="333" customFormat="1"/>
    <row r="6649" s="333" customFormat="1"/>
    <row r="6650" s="333" customFormat="1"/>
    <row r="6651" s="333" customFormat="1"/>
    <row r="6652" s="333" customFormat="1"/>
    <row r="6653" s="333" customFormat="1"/>
    <row r="6654" s="333" customFormat="1"/>
    <row r="6655" s="333" customFormat="1"/>
    <row r="6656" s="333" customFormat="1"/>
    <row r="6657" s="333" customFormat="1"/>
    <row r="6658" s="333" customFormat="1"/>
    <row r="6659" s="333" customFormat="1"/>
    <row r="6660" s="333" customFormat="1"/>
    <row r="6661" s="333" customFormat="1"/>
    <row r="6662" s="333" customFormat="1"/>
    <row r="6663" s="333" customFormat="1"/>
    <row r="6664" s="333" customFormat="1"/>
    <row r="6665" s="333" customFormat="1"/>
    <row r="6666" s="333" customFormat="1"/>
    <row r="6667" s="333" customFormat="1"/>
    <row r="6668" s="333" customFormat="1"/>
    <row r="6669" s="333" customFormat="1"/>
    <row r="6670" s="333" customFormat="1"/>
    <row r="6671" s="333" customFormat="1"/>
    <row r="6672" s="333" customFormat="1"/>
    <row r="6673" s="333" customFormat="1"/>
    <row r="6674" s="333" customFormat="1"/>
    <row r="6675" s="333" customFormat="1"/>
    <row r="6676" s="333" customFormat="1"/>
    <row r="6677" s="333" customFormat="1"/>
    <row r="6678" s="333" customFormat="1"/>
    <row r="6679" s="333" customFormat="1"/>
    <row r="6680" s="333" customFormat="1"/>
    <row r="6681" s="333" customFormat="1"/>
    <row r="6682" s="333" customFormat="1"/>
    <row r="6683" s="333" customFormat="1"/>
    <row r="6684" s="333" customFormat="1"/>
    <row r="6685" s="333" customFormat="1"/>
    <row r="6686" s="333" customFormat="1"/>
    <row r="6687" s="333" customFormat="1"/>
    <row r="6688" s="333" customFormat="1"/>
    <row r="6689" s="333" customFormat="1"/>
    <row r="6690" s="333" customFormat="1"/>
    <row r="6691" s="333" customFormat="1"/>
    <row r="6692" s="333" customFormat="1"/>
    <row r="6693" s="333" customFormat="1"/>
    <row r="6694" s="333" customFormat="1"/>
    <row r="6695" s="333" customFormat="1"/>
    <row r="6696" s="333" customFormat="1"/>
    <row r="6697" s="333" customFormat="1"/>
    <row r="6698" s="333" customFormat="1"/>
    <row r="6699" s="333" customFormat="1"/>
    <row r="6700" s="333" customFormat="1"/>
    <row r="6701" s="333" customFormat="1"/>
    <row r="6702" s="333" customFormat="1"/>
    <row r="6703" s="333" customFormat="1"/>
    <row r="6704" s="333" customFormat="1"/>
    <row r="6705" s="333" customFormat="1"/>
    <row r="6706" s="333" customFormat="1"/>
    <row r="6707" s="333" customFormat="1"/>
    <row r="6708" s="333" customFormat="1"/>
    <row r="6709" s="333" customFormat="1"/>
    <row r="6710" s="333" customFormat="1"/>
    <row r="6711" s="333" customFormat="1"/>
    <row r="6712" s="333" customFormat="1"/>
    <row r="6713" s="333" customFormat="1"/>
    <row r="6714" s="333" customFormat="1"/>
    <row r="6715" s="333" customFormat="1"/>
    <row r="6716" s="333" customFormat="1"/>
    <row r="6717" s="333" customFormat="1"/>
    <row r="6718" s="333" customFormat="1"/>
    <row r="6719" s="333" customFormat="1"/>
    <row r="6720" s="333" customFormat="1"/>
    <row r="6721" s="333" customFormat="1"/>
    <row r="6722" s="333" customFormat="1"/>
    <row r="6723" s="333" customFormat="1"/>
    <row r="6724" s="333" customFormat="1"/>
    <row r="6725" s="333" customFormat="1"/>
    <row r="6726" s="333" customFormat="1"/>
    <row r="6727" s="333" customFormat="1"/>
    <row r="6728" s="333" customFormat="1"/>
    <row r="6729" s="333" customFormat="1"/>
    <row r="6730" s="333" customFormat="1"/>
    <row r="6731" s="333" customFormat="1"/>
    <row r="6732" s="333" customFormat="1"/>
    <row r="6733" s="333" customFormat="1"/>
    <row r="6734" s="333" customFormat="1"/>
    <row r="6735" s="333" customFormat="1"/>
    <row r="6736" s="333" customFormat="1"/>
    <row r="6737" s="333" customFormat="1"/>
    <row r="6738" s="333" customFormat="1"/>
    <row r="6739" s="333" customFormat="1"/>
    <row r="6740" s="333" customFormat="1"/>
    <row r="6741" s="333" customFormat="1"/>
    <row r="6742" s="333" customFormat="1"/>
    <row r="6743" s="333" customFormat="1"/>
    <row r="6744" s="333" customFormat="1"/>
    <row r="6745" s="333" customFormat="1"/>
    <row r="6746" s="333" customFormat="1"/>
    <row r="6747" s="333" customFormat="1"/>
    <row r="6748" s="333" customFormat="1"/>
    <row r="6749" s="333" customFormat="1"/>
    <row r="6750" s="333" customFormat="1"/>
    <row r="6751" s="333" customFormat="1"/>
    <row r="6752" s="333" customFormat="1"/>
    <row r="6753" s="333" customFormat="1"/>
    <row r="6754" s="333" customFormat="1"/>
    <row r="6755" s="333" customFormat="1"/>
    <row r="6756" s="333" customFormat="1"/>
    <row r="6757" s="333" customFormat="1"/>
    <row r="6758" s="333" customFormat="1"/>
    <row r="6759" s="333" customFormat="1"/>
    <row r="6760" s="333" customFormat="1"/>
    <row r="6761" s="333" customFormat="1"/>
    <row r="6762" s="333" customFormat="1"/>
    <row r="6763" s="333" customFormat="1"/>
    <row r="6764" s="333" customFormat="1"/>
    <row r="6765" s="333" customFormat="1"/>
    <row r="6766" s="333" customFormat="1"/>
    <row r="6767" s="333" customFormat="1"/>
    <row r="6768" s="333" customFormat="1"/>
    <row r="6769" s="333" customFormat="1"/>
    <row r="6770" s="333" customFormat="1"/>
    <row r="6771" s="333" customFormat="1"/>
    <row r="6772" s="333" customFormat="1"/>
    <row r="6773" s="333" customFormat="1"/>
    <row r="6774" s="333" customFormat="1"/>
    <row r="6775" s="333" customFormat="1"/>
    <row r="6776" s="333" customFormat="1"/>
    <row r="6777" s="333" customFormat="1"/>
    <row r="6778" s="333" customFormat="1"/>
    <row r="6779" s="333" customFormat="1"/>
    <row r="6780" s="333" customFormat="1"/>
    <row r="6781" s="333" customFormat="1"/>
    <row r="6782" s="333" customFormat="1"/>
    <row r="6783" s="333" customFormat="1"/>
    <row r="6784" s="333" customFormat="1"/>
    <row r="6785" s="333" customFormat="1"/>
    <row r="6786" s="333" customFormat="1"/>
    <row r="6787" s="333" customFormat="1"/>
    <row r="6788" s="333" customFormat="1"/>
    <row r="6789" s="333" customFormat="1"/>
    <row r="6790" s="333" customFormat="1"/>
    <row r="6791" s="333" customFormat="1"/>
    <row r="6792" s="333" customFormat="1"/>
    <row r="6793" s="333" customFormat="1"/>
    <row r="6794" s="333" customFormat="1"/>
    <row r="6795" s="333" customFormat="1"/>
    <row r="6796" s="333" customFormat="1"/>
    <row r="6797" s="333" customFormat="1"/>
    <row r="6798" s="333" customFormat="1"/>
    <row r="6799" s="333" customFormat="1"/>
    <row r="6800" s="333" customFormat="1"/>
    <row r="6801" s="333" customFormat="1"/>
    <row r="6802" s="333" customFormat="1"/>
    <row r="6803" s="333" customFormat="1"/>
    <row r="6804" s="333" customFormat="1"/>
    <row r="6805" s="333" customFormat="1"/>
    <row r="6806" s="333" customFormat="1"/>
    <row r="6807" s="333" customFormat="1"/>
    <row r="6808" s="333" customFormat="1"/>
    <row r="6809" s="333" customFormat="1"/>
    <row r="6810" s="333" customFormat="1"/>
    <row r="6811" s="333" customFormat="1"/>
    <row r="6812" s="333" customFormat="1"/>
    <row r="6813" s="333" customFormat="1"/>
    <row r="6814" s="333" customFormat="1"/>
    <row r="6815" s="333" customFormat="1"/>
    <row r="6816" s="333" customFormat="1"/>
    <row r="6817" s="333" customFormat="1"/>
    <row r="6818" s="333" customFormat="1"/>
    <row r="6819" s="333" customFormat="1"/>
    <row r="6820" s="333" customFormat="1"/>
    <row r="6821" s="333" customFormat="1"/>
    <row r="6822" s="333" customFormat="1"/>
    <row r="6823" s="333" customFormat="1"/>
    <row r="6824" s="333" customFormat="1"/>
    <row r="6825" s="333" customFormat="1"/>
    <row r="6826" s="333" customFormat="1"/>
    <row r="6827" s="333" customFormat="1"/>
    <row r="6828" s="333" customFormat="1"/>
    <row r="6829" s="333" customFormat="1"/>
    <row r="6830" s="333" customFormat="1"/>
    <row r="6831" s="333" customFormat="1"/>
    <row r="6832" s="333" customFormat="1"/>
    <row r="6833" s="333" customFormat="1"/>
    <row r="6834" s="333" customFormat="1"/>
    <row r="6835" s="333" customFormat="1"/>
    <row r="6836" s="333" customFormat="1"/>
    <row r="6837" s="333" customFormat="1"/>
    <row r="6838" s="333" customFormat="1"/>
    <row r="6839" s="333" customFormat="1"/>
    <row r="6840" s="333" customFormat="1"/>
    <row r="6841" s="333" customFormat="1"/>
    <row r="6842" s="333" customFormat="1"/>
    <row r="6843" s="333" customFormat="1"/>
    <row r="6844" s="333" customFormat="1"/>
    <row r="6845" s="333" customFormat="1"/>
    <row r="6846" s="333" customFormat="1"/>
    <row r="6847" s="333" customFormat="1"/>
    <row r="6848" s="333" customFormat="1"/>
    <row r="6849" s="333" customFormat="1"/>
    <row r="6850" s="333" customFormat="1"/>
    <row r="6851" s="333" customFormat="1"/>
    <row r="6852" s="333" customFormat="1"/>
    <row r="6853" s="333" customFormat="1"/>
    <row r="6854" s="333" customFormat="1"/>
    <row r="6855" s="333" customFormat="1"/>
    <row r="6856" s="333" customFormat="1"/>
    <row r="6857" s="333" customFormat="1"/>
    <row r="6858" s="333" customFormat="1"/>
    <row r="6859" s="333" customFormat="1"/>
    <row r="6860" s="333" customFormat="1"/>
    <row r="6861" s="333" customFormat="1"/>
    <row r="6862" s="333" customFormat="1"/>
    <row r="6863" s="333" customFormat="1"/>
    <row r="6864" s="333" customFormat="1"/>
    <row r="6865" s="333" customFormat="1"/>
    <row r="6866" s="333" customFormat="1"/>
    <row r="6867" s="333" customFormat="1"/>
    <row r="6868" s="333" customFormat="1"/>
    <row r="6869" s="333" customFormat="1"/>
    <row r="6870" s="333" customFormat="1"/>
    <row r="6871" s="333" customFormat="1"/>
    <row r="6872" s="333" customFormat="1"/>
    <row r="6873" s="333" customFormat="1"/>
    <row r="6874" s="333" customFormat="1"/>
    <row r="6875" s="333" customFormat="1"/>
    <row r="6876" s="333" customFormat="1"/>
    <row r="6877" s="333" customFormat="1"/>
    <row r="6878" s="333" customFormat="1"/>
    <row r="6879" s="333" customFormat="1"/>
    <row r="6880" s="333" customFormat="1"/>
    <row r="6881" s="333" customFormat="1"/>
    <row r="6882" s="333" customFormat="1"/>
    <row r="6883" s="333" customFormat="1"/>
    <row r="6884" s="333" customFormat="1"/>
    <row r="6885" s="333" customFormat="1"/>
    <row r="6886" s="333" customFormat="1"/>
    <row r="6887" s="333" customFormat="1"/>
    <row r="6888" s="333" customFormat="1"/>
    <row r="6889" s="333" customFormat="1"/>
    <row r="6890" s="333" customFormat="1"/>
    <row r="6891" s="333" customFormat="1"/>
    <row r="6892" s="333" customFormat="1"/>
    <row r="6893" s="333" customFormat="1"/>
    <row r="6894" s="333" customFormat="1"/>
    <row r="6895" s="333" customFormat="1"/>
    <row r="6896" s="333" customFormat="1"/>
    <row r="6897" s="333" customFormat="1"/>
    <row r="6898" s="333" customFormat="1"/>
    <row r="6899" s="333" customFormat="1"/>
    <row r="6900" s="333" customFormat="1"/>
    <row r="6901" s="333" customFormat="1"/>
    <row r="6902" s="333" customFormat="1"/>
    <row r="6903" s="333" customFormat="1"/>
    <row r="6904" s="333" customFormat="1"/>
    <row r="6905" s="333" customFormat="1"/>
    <row r="6906" s="333" customFormat="1"/>
    <row r="6907" s="333" customFormat="1"/>
    <row r="6908" s="333" customFormat="1"/>
    <row r="6909" s="333" customFormat="1"/>
    <row r="6910" s="333" customFormat="1"/>
    <row r="6911" s="333" customFormat="1"/>
    <row r="6912" s="333" customFormat="1"/>
    <row r="6913" s="333" customFormat="1"/>
    <row r="6914" s="333" customFormat="1"/>
    <row r="6915" s="333" customFormat="1"/>
    <row r="6916" s="333" customFormat="1"/>
    <row r="6917" s="333" customFormat="1"/>
    <row r="6918" s="333" customFormat="1"/>
    <row r="6919" s="333" customFormat="1"/>
    <row r="6920" s="333" customFormat="1"/>
    <row r="6921" s="333" customFormat="1"/>
    <row r="6922" s="333" customFormat="1"/>
    <row r="6923" s="333" customFormat="1"/>
    <row r="6924" s="333" customFormat="1"/>
    <row r="6925" s="333" customFormat="1"/>
    <row r="6926" s="333" customFormat="1"/>
    <row r="6927" s="333" customFormat="1"/>
    <row r="6928" s="333" customFormat="1"/>
    <row r="6929" s="333" customFormat="1"/>
    <row r="6930" s="333" customFormat="1"/>
    <row r="6931" s="333" customFormat="1"/>
    <row r="6932" s="333" customFormat="1"/>
    <row r="6933" s="333" customFormat="1"/>
    <row r="6934" s="333" customFormat="1"/>
    <row r="6935" s="333" customFormat="1"/>
    <row r="6936" s="333" customFormat="1"/>
    <row r="6937" s="333" customFormat="1"/>
    <row r="6938" s="333" customFormat="1"/>
    <row r="6939" s="333" customFormat="1"/>
    <row r="6940" s="333" customFormat="1"/>
    <row r="6941" s="333" customFormat="1"/>
    <row r="6942" s="333" customFormat="1"/>
    <row r="6943" s="333" customFormat="1"/>
    <row r="6944" s="333" customFormat="1"/>
    <row r="6945" s="333" customFormat="1"/>
    <row r="6946" s="333" customFormat="1"/>
    <row r="6947" s="333" customFormat="1"/>
    <row r="6948" s="333" customFormat="1"/>
    <row r="6949" s="333" customFormat="1"/>
    <row r="6950" s="333" customFormat="1"/>
    <row r="6951" s="333" customFormat="1"/>
    <row r="6952" s="333" customFormat="1"/>
    <row r="6953" s="333" customFormat="1"/>
    <row r="6954" s="333" customFormat="1"/>
    <row r="6955" s="333" customFormat="1"/>
    <row r="6956" s="333" customFormat="1"/>
    <row r="6957" s="333" customFormat="1"/>
    <row r="6958" s="333" customFormat="1"/>
    <row r="6959" s="333" customFormat="1"/>
    <row r="6960" s="333" customFormat="1"/>
    <row r="6961" s="333" customFormat="1"/>
    <row r="6962" s="333" customFormat="1"/>
    <row r="6963" s="333" customFormat="1"/>
    <row r="6964" s="333" customFormat="1"/>
    <row r="6965" s="333" customFormat="1"/>
    <row r="6966" s="333" customFormat="1"/>
    <row r="6967" s="333" customFormat="1"/>
    <row r="6968" s="333" customFormat="1"/>
    <row r="6969" s="333" customFormat="1"/>
    <row r="6970" s="333" customFormat="1"/>
    <row r="6971" s="333" customFormat="1"/>
    <row r="6972" s="333" customFormat="1"/>
    <row r="6973" s="333" customFormat="1"/>
    <row r="6974" s="333" customFormat="1"/>
    <row r="6975" s="333" customFormat="1"/>
    <row r="6976" s="333" customFormat="1"/>
    <row r="6977" s="333" customFormat="1"/>
    <row r="6978" s="333" customFormat="1"/>
    <row r="6979" s="333" customFormat="1"/>
    <row r="6980" s="333" customFormat="1"/>
    <row r="6981" s="333" customFormat="1"/>
    <row r="6982" s="333" customFormat="1"/>
    <row r="6983" s="333" customFormat="1"/>
    <row r="6984" s="333" customFormat="1"/>
    <row r="6985" s="333" customFormat="1"/>
    <row r="6986" s="333" customFormat="1"/>
    <row r="6987" s="333" customFormat="1"/>
    <row r="6988" s="333" customFormat="1"/>
    <row r="6989" s="333" customFormat="1"/>
    <row r="6990" s="333" customFormat="1"/>
    <row r="6991" s="333" customFormat="1"/>
    <row r="6992" s="333" customFormat="1"/>
    <row r="6993" s="333" customFormat="1"/>
    <row r="6994" s="333" customFormat="1"/>
    <row r="6995" s="333" customFormat="1"/>
    <row r="6996" s="333" customFormat="1"/>
    <row r="6997" s="333" customFormat="1"/>
    <row r="6998" s="333" customFormat="1"/>
    <row r="6999" s="333" customFormat="1"/>
    <row r="7000" s="333" customFormat="1"/>
    <row r="7001" s="333" customFormat="1"/>
    <row r="7002" s="333" customFormat="1"/>
    <row r="7003" s="333" customFormat="1"/>
    <row r="7004" s="333" customFormat="1"/>
    <row r="7005" s="333" customFormat="1"/>
    <row r="7006" s="333" customFormat="1"/>
    <row r="7007" s="333" customFormat="1"/>
    <row r="7008" s="333" customFormat="1"/>
    <row r="7009" s="333" customFormat="1"/>
    <row r="7010" s="333" customFormat="1"/>
    <row r="7011" s="333" customFormat="1"/>
    <row r="7012" s="333" customFormat="1"/>
    <row r="7013" s="333" customFormat="1"/>
    <row r="7014" s="333" customFormat="1"/>
    <row r="7015" s="333" customFormat="1"/>
    <row r="7016" s="333" customFormat="1"/>
    <row r="7017" s="333" customFormat="1"/>
    <row r="7018" s="333" customFormat="1"/>
    <row r="7019" s="333" customFormat="1"/>
    <row r="7020" s="333" customFormat="1"/>
    <row r="7021" s="333" customFormat="1"/>
    <row r="7022" s="333" customFormat="1"/>
    <row r="7023" s="333" customFormat="1"/>
    <row r="7024" s="333" customFormat="1"/>
    <row r="7025" s="333" customFormat="1"/>
    <row r="7026" s="333" customFormat="1"/>
    <row r="7027" s="333" customFormat="1"/>
    <row r="7028" s="333" customFormat="1"/>
    <row r="7029" s="333" customFormat="1"/>
    <row r="7030" s="333" customFormat="1"/>
    <row r="7031" s="333" customFormat="1"/>
    <row r="7032" s="333" customFormat="1"/>
    <row r="7033" s="333" customFormat="1"/>
    <row r="7034" s="333" customFormat="1"/>
    <row r="7035" s="333" customFormat="1"/>
    <row r="7036" s="333" customFormat="1"/>
    <row r="7037" s="333" customFormat="1"/>
    <row r="7038" s="333" customFormat="1"/>
    <row r="7039" s="333" customFormat="1"/>
    <row r="7040" s="333" customFormat="1"/>
    <row r="7041" s="333" customFormat="1"/>
    <row r="7042" s="333" customFormat="1"/>
    <row r="7043" s="333" customFormat="1"/>
    <row r="7044" s="333" customFormat="1"/>
    <row r="7045" s="333" customFormat="1"/>
    <row r="7046" s="333" customFormat="1"/>
    <row r="7047" s="333" customFormat="1"/>
    <row r="7048" s="333" customFormat="1"/>
    <row r="7049" s="333" customFormat="1"/>
    <row r="7050" s="333" customFormat="1"/>
    <row r="7051" s="333" customFormat="1"/>
    <row r="7052" s="333" customFormat="1"/>
    <row r="7053" s="333" customFormat="1"/>
    <row r="7054" s="333" customFormat="1"/>
    <row r="7055" s="333" customFormat="1"/>
    <row r="7056" s="333" customFormat="1"/>
    <row r="7057" s="333" customFormat="1"/>
    <row r="7058" s="333" customFormat="1"/>
    <row r="7059" s="333" customFormat="1"/>
    <row r="7060" s="333" customFormat="1"/>
    <row r="7061" s="333" customFormat="1"/>
    <row r="7062" s="333" customFormat="1"/>
    <row r="7063" s="333" customFormat="1"/>
    <row r="7064" s="333" customFormat="1"/>
    <row r="7065" s="333" customFormat="1"/>
    <row r="7066" s="333" customFormat="1"/>
    <row r="7067" s="333" customFormat="1"/>
    <row r="7068" s="333" customFormat="1"/>
    <row r="7069" s="333" customFormat="1"/>
    <row r="7070" s="333" customFormat="1"/>
    <row r="7071" s="333" customFormat="1"/>
    <row r="7072" s="333" customFormat="1"/>
    <row r="7073" s="333" customFormat="1"/>
    <row r="7074" s="333" customFormat="1"/>
    <row r="7075" s="333" customFormat="1"/>
    <row r="7076" s="333" customFormat="1"/>
    <row r="7077" s="333" customFormat="1"/>
    <row r="7078" s="333" customFormat="1"/>
    <row r="7079" s="333" customFormat="1"/>
    <row r="7080" s="333" customFormat="1"/>
    <row r="7081" s="333" customFormat="1"/>
    <row r="7082" s="333" customFormat="1"/>
    <row r="7083" s="333" customFormat="1"/>
    <row r="7084" s="333" customFormat="1"/>
    <row r="7085" s="333" customFormat="1"/>
    <row r="7086" s="333" customFormat="1"/>
    <row r="7087" s="333" customFormat="1"/>
    <row r="7088" s="333" customFormat="1"/>
    <row r="7089" s="333" customFormat="1"/>
    <row r="7090" s="333" customFormat="1"/>
    <row r="7091" s="333" customFormat="1"/>
    <row r="7092" s="333" customFormat="1"/>
    <row r="7093" s="333" customFormat="1"/>
    <row r="7094" s="333" customFormat="1"/>
    <row r="7095" s="333" customFormat="1"/>
    <row r="7096" s="333" customFormat="1"/>
    <row r="7097" s="333" customFormat="1"/>
    <row r="7098" s="333" customFormat="1"/>
    <row r="7099" s="333" customFormat="1"/>
    <row r="7100" s="333" customFormat="1"/>
    <row r="7101" s="333" customFormat="1"/>
    <row r="7102" s="333" customFormat="1"/>
    <row r="7103" s="333" customFormat="1"/>
    <row r="7104" s="333" customFormat="1"/>
    <row r="7105" s="333" customFormat="1"/>
    <row r="7106" s="333" customFormat="1"/>
    <row r="7107" s="333" customFormat="1"/>
    <row r="7108" s="333" customFormat="1"/>
    <row r="7109" s="333" customFormat="1"/>
    <row r="7110" s="333" customFormat="1"/>
    <row r="7111" s="333" customFormat="1"/>
    <row r="7112" s="333" customFormat="1"/>
    <row r="7113" s="333" customFormat="1"/>
    <row r="7114" s="333" customFormat="1"/>
    <row r="7115" s="333" customFormat="1"/>
    <row r="7116" s="333" customFormat="1"/>
    <row r="7117" s="333" customFormat="1"/>
    <row r="7118" s="333" customFormat="1"/>
    <row r="7119" s="333" customFormat="1"/>
    <row r="7120" s="333" customFormat="1"/>
    <row r="7121" s="333" customFormat="1"/>
    <row r="7122" s="333" customFormat="1"/>
    <row r="7123" s="333" customFormat="1"/>
    <row r="7124" s="333" customFormat="1"/>
    <row r="7125" s="333" customFormat="1"/>
    <row r="7126" s="333" customFormat="1"/>
    <row r="7127" s="333" customFormat="1"/>
    <row r="7128" s="333" customFormat="1"/>
    <row r="7129" s="333" customFormat="1"/>
    <row r="7130" s="333" customFormat="1"/>
    <row r="7131" s="333" customFormat="1"/>
    <row r="7132" s="333" customFormat="1"/>
    <row r="7133" s="333" customFormat="1"/>
    <row r="7134" s="333" customFormat="1"/>
    <row r="7135" s="333" customFormat="1"/>
    <row r="7136" s="333" customFormat="1"/>
    <row r="7137" s="333" customFormat="1"/>
    <row r="7138" s="333" customFormat="1"/>
    <row r="7139" s="333" customFormat="1"/>
    <row r="7140" s="333" customFormat="1"/>
    <row r="7141" s="333" customFormat="1"/>
    <row r="7142" s="333" customFormat="1"/>
    <row r="7143" s="333" customFormat="1"/>
    <row r="7144" s="333" customFormat="1"/>
    <row r="7145" s="333" customFormat="1"/>
    <row r="7146" s="333" customFormat="1"/>
    <row r="7147" s="333" customFormat="1"/>
    <row r="7148" s="333" customFormat="1"/>
    <row r="7149" s="333" customFormat="1"/>
    <row r="7150" s="333" customFormat="1"/>
    <row r="7151" s="333" customFormat="1"/>
    <row r="7152" s="333" customFormat="1"/>
    <row r="7153" s="333" customFormat="1"/>
    <row r="7154" s="333" customFormat="1"/>
    <row r="7155" s="333" customFormat="1"/>
    <row r="7156" s="333" customFormat="1"/>
    <row r="7157" s="333" customFormat="1"/>
    <row r="7158" s="333" customFormat="1"/>
    <row r="7159" s="333" customFormat="1"/>
    <row r="7160" s="333" customFormat="1"/>
    <row r="7161" s="333" customFormat="1"/>
    <row r="7162" s="333" customFormat="1"/>
    <row r="7163" s="333" customFormat="1"/>
    <row r="7164" s="333" customFormat="1"/>
    <row r="7165" s="333" customFormat="1"/>
    <row r="7166" s="333" customFormat="1"/>
    <row r="7167" s="333" customFormat="1"/>
    <row r="7168" s="333" customFormat="1"/>
    <row r="7169" s="333" customFormat="1"/>
    <row r="7170" s="333" customFormat="1"/>
    <row r="7171" s="333" customFormat="1"/>
    <row r="7172" s="333" customFormat="1"/>
    <row r="7173" s="333" customFormat="1"/>
    <row r="7174" s="333" customFormat="1"/>
    <row r="7175" s="333" customFormat="1"/>
    <row r="7176" s="333" customFormat="1"/>
    <row r="7177" s="333" customFormat="1"/>
    <row r="7178" s="333" customFormat="1"/>
    <row r="7179" s="333" customFormat="1"/>
    <row r="7180" s="333" customFormat="1"/>
    <row r="7181" s="333" customFormat="1"/>
    <row r="7182" s="333" customFormat="1"/>
    <row r="7183" s="333" customFormat="1"/>
    <row r="7184" s="333" customFormat="1"/>
    <row r="7185" s="333" customFormat="1"/>
    <row r="7186" s="333" customFormat="1"/>
    <row r="7187" s="333" customFormat="1"/>
    <row r="7188" s="333" customFormat="1"/>
    <row r="7189" s="333" customFormat="1"/>
    <row r="7190" s="333" customFormat="1"/>
    <row r="7191" s="333" customFormat="1"/>
    <row r="7192" s="333" customFormat="1"/>
    <row r="7193" s="333" customFormat="1"/>
    <row r="7194" s="333" customFormat="1"/>
    <row r="7195" s="333" customFormat="1"/>
    <row r="7196" s="333" customFormat="1"/>
    <row r="7197" s="333" customFormat="1"/>
    <row r="7198" s="333" customFormat="1"/>
    <row r="7199" s="333" customFormat="1"/>
    <row r="7200" s="333" customFormat="1"/>
    <row r="7201" s="333" customFormat="1"/>
    <row r="7202" s="333" customFormat="1"/>
    <row r="7203" s="333" customFormat="1"/>
    <row r="7204" s="333" customFormat="1"/>
    <row r="7205" s="333" customFormat="1"/>
    <row r="7206" s="333" customFormat="1"/>
    <row r="7207" s="333" customFormat="1"/>
    <row r="7208" s="333" customFormat="1"/>
    <row r="7209" s="333" customFormat="1"/>
    <row r="7210" s="333" customFormat="1"/>
    <row r="7211" s="333" customFormat="1"/>
    <row r="7212" s="333" customFormat="1"/>
    <row r="7213" s="333" customFormat="1"/>
    <row r="7214" s="333" customFormat="1"/>
    <row r="7215" s="333" customFormat="1"/>
    <row r="7216" s="333" customFormat="1"/>
    <row r="7217" s="333" customFormat="1"/>
    <row r="7218" s="333" customFormat="1"/>
    <row r="7219" s="333" customFormat="1"/>
    <row r="7220" s="333" customFormat="1"/>
    <row r="7221" s="333" customFormat="1"/>
    <row r="7222" s="333" customFormat="1"/>
    <row r="7223" s="333" customFormat="1"/>
    <row r="7224" s="333" customFormat="1"/>
    <row r="7225" s="333" customFormat="1"/>
    <row r="7226" s="333" customFormat="1"/>
    <row r="7227" s="333" customFormat="1"/>
    <row r="7228" s="333" customFormat="1"/>
    <row r="7229" s="333" customFormat="1"/>
    <row r="7230" s="333" customFormat="1"/>
    <row r="7231" s="333" customFormat="1"/>
    <row r="7232" s="333" customFormat="1"/>
    <row r="7233" s="333" customFormat="1"/>
    <row r="7234" s="333" customFormat="1"/>
    <row r="7235" s="333" customFormat="1"/>
    <row r="7236" s="333" customFormat="1"/>
    <row r="7237" s="333" customFormat="1"/>
    <row r="7238" s="333" customFormat="1"/>
    <row r="7239" s="333" customFormat="1"/>
    <row r="7240" s="333" customFormat="1"/>
    <row r="7241" s="333" customFormat="1"/>
    <row r="7242" s="333" customFormat="1"/>
    <row r="7243" s="333" customFormat="1"/>
    <row r="7244" s="333" customFormat="1"/>
    <row r="7245" s="333" customFormat="1"/>
    <row r="7246" s="333" customFormat="1"/>
    <row r="7247" s="333" customFormat="1"/>
    <row r="7248" s="333" customFormat="1"/>
    <row r="7249" s="333" customFormat="1"/>
    <row r="7250" s="333" customFormat="1"/>
    <row r="7251" s="333" customFormat="1"/>
    <row r="7252" s="333" customFormat="1"/>
    <row r="7253" s="333" customFormat="1"/>
    <row r="7254" s="333" customFormat="1"/>
    <row r="7255" s="333" customFormat="1"/>
    <row r="7256" s="333" customFormat="1"/>
    <row r="7257" s="333" customFormat="1"/>
    <row r="7258" s="333" customFormat="1"/>
    <row r="7259" s="333" customFormat="1"/>
    <row r="7260" s="333" customFormat="1"/>
    <row r="7261" s="333" customFormat="1"/>
    <row r="7262" s="333" customFormat="1"/>
    <row r="7263" s="333" customFormat="1"/>
    <row r="7264" s="333" customFormat="1"/>
    <row r="7265" s="333" customFormat="1"/>
    <row r="7266" s="333" customFormat="1"/>
    <row r="7267" s="333" customFormat="1"/>
    <row r="7268" s="333" customFormat="1"/>
    <row r="7269" s="333" customFormat="1"/>
    <row r="7270" s="333" customFormat="1"/>
    <row r="7271" s="333" customFormat="1"/>
    <row r="7272" s="333" customFormat="1"/>
    <row r="7273" s="333" customFormat="1"/>
    <row r="7274" s="333" customFormat="1"/>
    <row r="7275" s="333" customFormat="1"/>
    <row r="7276" s="333" customFormat="1"/>
    <row r="7277" s="333" customFormat="1"/>
    <row r="7278" s="333" customFormat="1"/>
    <row r="7279" s="333" customFormat="1"/>
    <row r="7280" s="333" customFormat="1"/>
    <row r="7281" s="333" customFormat="1"/>
    <row r="7282" s="333" customFormat="1"/>
    <row r="7283" s="333" customFormat="1"/>
    <row r="7284" s="333" customFormat="1"/>
    <row r="7285" s="333" customFormat="1"/>
    <row r="7286" s="333" customFormat="1"/>
    <row r="7287" s="333" customFormat="1"/>
    <row r="7288" s="333" customFormat="1"/>
    <row r="7289" s="333" customFormat="1"/>
    <row r="7290" s="333" customFormat="1"/>
    <row r="7291" s="333" customFormat="1"/>
    <row r="7292" s="333" customFormat="1"/>
    <row r="7293" s="333" customFormat="1"/>
    <row r="7294" s="333" customFormat="1"/>
    <row r="7295" s="333" customFormat="1"/>
    <row r="7296" s="333" customFormat="1"/>
    <row r="7297" s="333" customFormat="1"/>
    <row r="7298" s="333" customFormat="1"/>
    <row r="7299" s="333" customFormat="1"/>
    <row r="7300" s="333" customFormat="1"/>
    <row r="7301" s="333" customFormat="1"/>
    <row r="7302" s="333" customFormat="1"/>
    <row r="7303" s="333" customFormat="1"/>
    <row r="7304" s="333" customFormat="1"/>
    <row r="7305" s="333" customFormat="1"/>
    <row r="7306" s="333" customFormat="1"/>
    <row r="7307" s="333" customFormat="1"/>
    <row r="7308" s="333" customFormat="1"/>
    <row r="7309" s="333" customFormat="1"/>
    <row r="7310" s="333" customFormat="1"/>
    <row r="7311" s="333" customFormat="1"/>
    <row r="7312" s="333" customFormat="1"/>
    <row r="7313" s="333" customFormat="1"/>
    <row r="7314" s="333" customFormat="1"/>
    <row r="7315" s="333" customFormat="1"/>
    <row r="7316" s="333" customFormat="1"/>
    <row r="7317" s="333" customFormat="1"/>
    <row r="7318" s="333" customFormat="1"/>
    <row r="7319" s="333" customFormat="1"/>
    <row r="7320" s="333" customFormat="1"/>
    <row r="7321" s="333" customFormat="1"/>
    <row r="7322" s="333" customFormat="1"/>
    <row r="7323" s="333" customFormat="1"/>
    <row r="7324" s="333" customFormat="1"/>
    <row r="7325" s="333" customFormat="1"/>
    <row r="7326" s="333" customFormat="1"/>
    <row r="7327" s="333" customFormat="1"/>
    <row r="7328" s="333" customFormat="1"/>
    <row r="7329" s="333" customFormat="1"/>
    <row r="7330" s="333" customFormat="1"/>
    <row r="7331" s="333" customFormat="1"/>
    <row r="7332" s="333" customFormat="1"/>
    <row r="7333" s="333" customFormat="1"/>
    <row r="7334" s="333" customFormat="1"/>
    <row r="7335" s="333" customFormat="1"/>
    <row r="7336" s="333" customFormat="1"/>
    <row r="7337" s="333" customFormat="1"/>
    <row r="7338" s="333" customFormat="1"/>
    <row r="7339" s="333" customFormat="1"/>
    <row r="7340" s="333" customFormat="1"/>
    <row r="7341" s="333" customFormat="1"/>
    <row r="7342" s="333" customFormat="1"/>
    <row r="7343" s="333" customFormat="1"/>
    <row r="7344" s="333" customFormat="1"/>
    <row r="7345" s="333" customFormat="1"/>
    <row r="7346" s="333" customFormat="1"/>
    <row r="7347" s="333" customFormat="1"/>
    <row r="7348" s="333" customFormat="1"/>
    <row r="7349" s="333" customFormat="1"/>
    <row r="7350" s="333" customFormat="1"/>
    <row r="7351" s="333" customFormat="1"/>
    <row r="7352" s="333" customFormat="1"/>
    <row r="7353" s="333" customFormat="1"/>
    <row r="7354" s="333" customFormat="1"/>
    <row r="7355" s="333" customFormat="1"/>
    <row r="7356" s="333" customFormat="1"/>
    <row r="7357" s="333" customFormat="1"/>
    <row r="7358" s="333" customFormat="1"/>
    <row r="7359" s="333" customFormat="1"/>
    <row r="7360" s="333" customFormat="1"/>
    <row r="7361" s="333" customFormat="1"/>
    <row r="7362" s="333" customFormat="1"/>
    <row r="7363" s="333" customFormat="1"/>
    <row r="7364" s="333" customFormat="1"/>
    <row r="7365" s="333" customFormat="1"/>
    <row r="7366" s="333" customFormat="1"/>
    <row r="7367" s="333" customFormat="1"/>
    <row r="7368" s="333" customFormat="1"/>
    <row r="7369" s="333" customFormat="1"/>
    <row r="7370" s="333" customFormat="1"/>
    <row r="7371" s="333" customFormat="1"/>
    <row r="7372" s="333" customFormat="1"/>
    <row r="7373" s="333" customFormat="1"/>
    <row r="7374" s="333" customFormat="1"/>
    <row r="7375" s="333" customFormat="1"/>
    <row r="7376" s="333" customFormat="1"/>
    <row r="7377" s="333" customFormat="1"/>
    <row r="7378" s="333" customFormat="1"/>
    <row r="7379" s="333" customFormat="1"/>
    <row r="7380" s="333" customFormat="1"/>
    <row r="7381" s="333" customFormat="1"/>
    <row r="7382" s="333" customFormat="1"/>
    <row r="7383" s="333" customFormat="1"/>
    <row r="7384" s="333" customFormat="1"/>
    <row r="7385" s="333" customFormat="1"/>
    <row r="7386" s="333" customFormat="1"/>
    <row r="7387" s="333" customFormat="1"/>
    <row r="7388" s="333" customFormat="1"/>
    <row r="7389" s="333" customFormat="1"/>
    <row r="7390" s="333" customFormat="1"/>
    <row r="7391" s="333" customFormat="1"/>
    <row r="7392" s="333" customFormat="1"/>
    <row r="7393" s="333" customFormat="1"/>
    <row r="7394" s="333" customFormat="1"/>
    <row r="7395" s="333" customFormat="1"/>
    <row r="7396" s="333" customFormat="1"/>
    <row r="7397" s="333" customFormat="1"/>
    <row r="7398" s="333" customFormat="1"/>
    <row r="7399" s="333" customFormat="1"/>
    <row r="7400" s="333" customFormat="1"/>
    <row r="7401" s="333" customFormat="1"/>
    <row r="7402" s="333" customFormat="1"/>
    <row r="7403" s="333" customFormat="1"/>
    <row r="7404" s="333" customFormat="1"/>
    <row r="7405" s="333" customFormat="1"/>
    <row r="7406" s="333" customFormat="1"/>
    <row r="7407" s="333" customFormat="1"/>
    <row r="7408" s="333" customFormat="1"/>
    <row r="7409" s="333" customFormat="1"/>
    <row r="7410" s="333" customFormat="1"/>
    <row r="7411" s="333" customFormat="1"/>
    <row r="7412" s="333" customFormat="1"/>
    <row r="7413" s="333" customFormat="1"/>
    <row r="7414" s="333" customFormat="1"/>
    <row r="7415" s="333" customFormat="1"/>
    <row r="7416" s="333" customFormat="1"/>
    <row r="7417" s="333" customFormat="1"/>
    <row r="7418" s="333" customFormat="1"/>
    <row r="7419" s="333" customFormat="1"/>
    <row r="7420" s="333" customFormat="1"/>
    <row r="7421" s="333" customFormat="1"/>
    <row r="7422" s="333" customFormat="1"/>
    <row r="7423" s="333" customFormat="1"/>
    <row r="7424" s="333" customFormat="1"/>
    <row r="7425" s="333" customFormat="1"/>
    <row r="7426" s="333" customFormat="1"/>
    <row r="7427" s="333" customFormat="1"/>
    <row r="7428" s="333" customFormat="1"/>
    <row r="7429" s="333" customFormat="1"/>
    <row r="7430" s="333" customFormat="1"/>
    <row r="7431" s="333" customFormat="1"/>
    <row r="7432" s="333" customFormat="1"/>
    <row r="7433" s="333" customFormat="1"/>
    <row r="7434" s="333" customFormat="1"/>
    <row r="7435" s="333" customFormat="1"/>
    <row r="7436" s="333" customFormat="1"/>
    <row r="7437" s="333" customFormat="1"/>
    <row r="7438" s="333" customFormat="1"/>
    <row r="7439" s="333" customFormat="1"/>
    <row r="7440" s="333" customFormat="1"/>
    <row r="7441" s="333" customFormat="1"/>
    <row r="7442" s="333" customFormat="1"/>
    <row r="7443" s="333" customFormat="1"/>
    <row r="7444" s="333" customFormat="1"/>
    <row r="7445" s="333" customFormat="1"/>
    <row r="7446" s="333" customFormat="1"/>
    <row r="7447" s="333" customFormat="1"/>
    <row r="7448" s="333" customFormat="1"/>
    <row r="7449" s="333" customFormat="1"/>
    <row r="7450" s="333" customFormat="1"/>
    <row r="7451" s="333" customFormat="1"/>
    <row r="7452" s="333" customFormat="1"/>
    <row r="7453" s="333" customFormat="1"/>
    <row r="7454" s="333" customFormat="1"/>
    <row r="7455" s="333" customFormat="1"/>
    <row r="7456" s="333" customFormat="1"/>
    <row r="7457" s="333" customFormat="1"/>
    <row r="7458" s="333" customFormat="1"/>
    <row r="7459" s="333" customFormat="1"/>
    <row r="7460" s="333" customFormat="1"/>
    <row r="7461" s="333" customFormat="1"/>
    <row r="7462" s="333" customFormat="1"/>
    <row r="7463" s="333" customFormat="1"/>
    <row r="7464" s="333" customFormat="1"/>
    <row r="7465" s="333" customFormat="1"/>
    <row r="7466" s="333" customFormat="1"/>
    <row r="7467" s="333" customFormat="1"/>
    <row r="7468" s="333" customFormat="1"/>
    <row r="7469" s="333" customFormat="1"/>
    <row r="7470" s="333" customFormat="1"/>
    <row r="7471" s="333" customFormat="1"/>
    <row r="7472" s="333" customFormat="1"/>
    <row r="7473" s="333" customFormat="1"/>
    <row r="7474" s="333" customFormat="1"/>
    <row r="7475" s="333" customFormat="1"/>
    <row r="7476" s="333" customFormat="1"/>
    <row r="7477" s="333" customFormat="1"/>
    <row r="7478" s="333" customFormat="1"/>
    <row r="7479" s="333" customFormat="1"/>
    <row r="7480" s="333" customFormat="1"/>
    <row r="7481" s="333" customFormat="1"/>
    <row r="7482" s="333" customFormat="1"/>
    <row r="7483" s="333" customFormat="1"/>
    <row r="7484" s="333" customFormat="1"/>
    <row r="7485" s="333" customFormat="1"/>
    <row r="7486" s="333" customFormat="1"/>
    <row r="7487" s="333" customFormat="1"/>
    <row r="7488" s="333" customFormat="1"/>
    <row r="7489" s="333" customFormat="1"/>
    <row r="7490" s="333" customFormat="1"/>
    <row r="7491" s="333" customFormat="1"/>
    <row r="7492" s="333" customFormat="1"/>
    <row r="7493" s="333" customFormat="1"/>
    <row r="7494" s="333" customFormat="1"/>
    <row r="7495" s="333" customFormat="1"/>
    <row r="7496" s="333" customFormat="1"/>
    <row r="7497" s="333" customFormat="1"/>
    <row r="7498" s="333" customFormat="1"/>
    <row r="7499" s="333" customFormat="1"/>
    <row r="7500" s="333" customFormat="1"/>
    <row r="7501" s="333" customFormat="1"/>
    <row r="7502" s="333" customFormat="1"/>
    <row r="7503" s="333" customFormat="1"/>
    <row r="7504" s="333" customFormat="1"/>
    <row r="7505" s="333" customFormat="1"/>
    <row r="7506" s="333" customFormat="1"/>
    <row r="7507" s="333" customFormat="1"/>
    <row r="7508" s="333" customFormat="1"/>
    <row r="7509" s="333" customFormat="1"/>
    <row r="7510" s="333" customFormat="1"/>
    <row r="7511" s="333" customFormat="1"/>
    <row r="7512" s="333" customFormat="1"/>
    <row r="7513" s="333" customFormat="1"/>
    <row r="7514" s="333" customFormat="1"/>
    <row r="7515" s="333" customFormat="1"/>
    <row r="7516" s="333" customFormat="1"/>
    <row r="7517" s="333" customFormat="1"/>
    <row r="7518" s="333" customFormat="1"/>
    <row r="7519" s="333" customFormat="1"/>
    <row r="7520" s="333" customFormat="1"/>
    <row r="7521" s="333" customFormat="1"/>
    <row r="7522" s="333" customFormat="1"/>
    <row r="7523" s="333" customFormat="1"/>
    <row r="7524" s="333" customFormat="1"/>
    <row r="7525" s="333" customFormat="1"/>
    <row r="7526" s="333" customFormat="1"/>
    <row r="7527" s="333" customFormat="1"/>
    <row r="7528" s="333" customFormat="1"/>
    <row r="7529" s="333" customFormat="1"/>
    <row r="7530" s="333" customFormat="1"/>
    <row r="7531" s="333" customFormat="1"/>
    <row r="7532" s="333" customFormat="1"/>
    <row r="7533" s="333" customFormat="1"/>
    <row r="7534" s="333" customFormat="1"/>
    <row r="7535" s="333" customFormat="1"/>
    <row r="7536" s="333" customFormat="1"/>
    <row r="7537" s="333" customFormat="1"/>
    <row r="7538" s="333" customFormat="1"/>
    <row r="7539" s="333" customFormat="1"/>
    <row r="7540" s="333" customFormat="1"/>
    <row r="7541" s="333" customFormat="1"/>
    <row r="7542" s="333" customFormat="1"/>
    <row r="7543" s="333" customFormat="1"/>
    <row r="7544" s="333" customFormat="1"/>
    <row r="7545" s="333" customFormat="1"/>
    <row r="7546" s="333" customFormat="1"/>
    <row r="7547" s="333" customFormat="1"/>
    <row r="7548" s="333" customFormat="1"/>
    <row r="7549" s="333" customFormat="1"/>
    <row r="7550" s="333" customFormat="1"/>
    <row r="7551" s="333" customFormat="1"/>
    <row r="7552" s="333" customFormat="1"/>
    <row r="7553" s="333" customFormat="1"/>
    <row r="7554" s="333" customFormat="1"/>
    <row r="7555" s="333" customFormat="1"/>
    <row r="7556" s="333" customFormat="1"/>
    <row r="7557" s="333" customFormat="1"/>
    <row r="7558" s="333" customFormat="1"/>
    <row r="7559" s="333" customFormat="1"/>
    <row r="7560" s="333" customFormat="1"/>
    <row r="7561" s="333" customFormat="1"/>
    <row r="7562" s="333" customFormat="1"/>
    <row r="7563" s="333" customFormat="1"/>
    <row r="7564" s="333" customFormat="1"/>
    <row r="7565" s="333" customFormat="1"/>
    <row r="7566" s="333" customFormat="1"/>
    <row r="7567" s="333" customFormat="1"/>
    <row r="7568" s="333" customFormat="1"/>
    <row r="7569" s="333" customFormat="1"/>
    <row r="7570" s="333" customFormat="1"/>
    <row r="7571" s="333" customFormat="1"/>
    <row r="7572" s="333" customFormat="1"/>
    <row r="7573" s="333" customFormat="1"/>
    <row r="7574" s="333" customFormat="1"/>
    <row r="7575" s="333" customFormat="1"/>
    <row r="7576" s="333" customFormat="1"/>
    <row r="7577" s="333" customFormat="1"/>
    <row r="7578" s="333" customFormat="1"/>
    <row r="7579" s="333" customFormat="1"/>
    <row r="7580" s="333" customFormat="1"/>
    <row r="7581" s="333" customFormat="1"/>
    <row r="7582" s="333" customFormat="1"/>
    <row r="7583" s="333" customFormat="1"/>
    <row r="7584" s="333" customFormat="1"/>
    <row r="7585" s="333" customFormat="1"/>
    <row r="7586" s="333" customFormat="1"/>
    <row r="7587" s="333" customFormat="1"/>
    <row r="7588" s="333" customFormat="1"/>
    <row r="7589" s="333" customFormat="1"/>
    <row r="7590" s="333" customFormat="1"/>
    <row r="7591" s="333" customFormat="1"/>
    <row r="7592" s="333" customFormat="1"/>
    <row r="7593" s="333" customFormat="1"/>
    <row r="7594" s="333" customFormat="1"/>
    <row r="7595" s="333" customFormat="1"/>
    <row r="7596" s="333" customFormat="1"/>
    <row r="7597" s="333" customFormat="1"/>
    <row r="7598" s="333" customFormat="1"/>
    <row r="7599" s="333" customFormat="1"/>
    <row r="7600" s="333" customFormat="1"/>
    <row r="7601" s="333" customFormat="1"/>
    <row r="7602" s="333" customFormat="1"/>
    <row r="7603" s="333" customFormat="1"/>
    <row r="7604" s="333" customFormat="1"/>
    <row r="7605" s="333" customFormat="1"/>
    <row r="7606" s="333" customFormat="1"/>
    <row r="7607" s="333" customFormat="1"/>
    <row r="7608" s="333" customFormat="1"/>
    <row r="7609" s="333" customFormat="1"/>
    <row r="7610" s="333" customFormat="1"/>
    <row r="7611" s="333" customFormat="1"/>
    <row r="7612" s="333" customFormat="1"/>
    <row r="7613" s="333" customFormat="1"/>
    <row r="7614" s="333" customFormat="1"/>
    <row r="7615" s="333" customFormat="1"/>
    <row r="7616" s="333" customFormat="1"/>
    <row r="7617" s="333" customFormat="1"/>
    <row r="7618" s="333" customFormat="1"/>
    <row r="7619" s="333" customFormat="1"/>
    <row r="7620" s="333" customFormat="1"/>
    <row r="7621" s="333" customFormat="1"/>
    <row r="7622" s="333" customFormat="1"/>
    <row r="7623" s="333" customFormat="1"/>
    <row r="7624" s="333" customFormat="1"/>
    <row r="7625" s="333" customFormat="1"/>
    <row r="7626" s="333" customFormat="1"/>
    <row r="7627" s="333" customFormat="1"/>
    <row r="7628" s="333" customFormat="1"/>
    <row r="7629" s="333" customFormat="1"/>
    <row r="7630" s="333" customFormat="1"/>
    <row r="7631" s="333" customFormat="1"/>
    <row r="7632" s="333" customFormat="1"/>
    <row r="7633" s="333" customFormat="1"/>
    <row r="7634" s="333" customFormat="1"/>
    <row r="7635" s="333" customFormat="1"/>
    <row r="7636" s="333" customFormat="1"/>
    <row r="7637" s="333" customFormat="1"/>
    <row r="7638" s="333" customFormat="1"/>
    <row r="7639" s="333" customFormat="1"/>
    <row r="7640" s="333" customFormat="1"/>
    <row r="7641" s="333" customFormat="1"/>
    <row r="7642" s="333" customFormat="1"/>
    <row r="7643" s="333" customFormat="1"/>
    <row r="7644" s="333" customFormat="1"/>
    <row r="7645" s="333" customFormat="1"/>
    <row r="7646" s="333" customFormat="1"/>
    <row r="7647" s="333" customFormat="1"/>
    <row r="7648" s="333" customFormat="1"/>
    <row r="7649" s="333" customFormat="1"/>
    <row r="7650" s="333" customFormat="1"/>
    <row r="7651" s="333" customFormat="1"/>
    <row r="7652" s="333" customFormat="1"/>
    <row r="7653" s="333" customFormat="1"/>
    <row r="7654" s="333" customFormat="1"/>
    <row r="7655" s="333" customFormat="1"/>
    <row r="7656" s="333" customFormat="1"/>
    <row r="7657" s="333" customFormat="1"/>
    <row r="7658" s="333" customFormat="1"/>
    <row r="7659" s="333" customFormat="1"/>
    <row r="7660" s="333" customFormat="1"/>
    <row r="7661" s="333" customFormat="1"/>
    <row r="7662" s="333" customFormat="1"/>
    <row r="7663" s="333" customFormat="1"/>
    <row r="7664" s="333" customFormat="1"/>
    <row r="7665" s="333" customFormat="1"/>
    <row r="7666" s="333" customFormat="1"/>
    <row r="7667" s="333" customFormat="1"/>
    <row r="7668" s="333" customFormat="1"/>
    <row r="7669" s="333" customFormat="1"/>
    <row r="7670" s="333" customFormat="1"/>
    <row r="7671" s="333" customFormat="1"/>
    <row r="7672" s="333" customFormat="1"/>
    <row r="7673" s="333" customFormat="1"/>
    <row r="7674" s="333" customFormat="1"/>
    <row r="7675" s="333" customFormat="1"/>
    <row r="7676" s="333" customFormat="1"/>
    <row r="7677" s="333" customFormat="1"/>
    <row r="7678" s="333" customFormat="1"/>
    <row r="7679" s="333" customFormat="1"/>
    <row r="7680" s="333" customFormat="1"/>
    <row r="7681" s="333" customFormat="1"/>
    <row r="7682" s="333" customFormat="1"/>
    <row r="7683" s="333" customFormat="1"/>
    <row r="7684" s="333" customFormat="1"/>
    <row r="7685" s="333" customFormat="1"/>
    <row r="7686" s="333" customFormat="1"/>
    <row r="7687" s="333" customFormat="1"/>
    <row r="7688" s="333" customFormat="1"/>
    <row r="7689" s="333" customFormat="1"/>
    <row r="7690" s="333" customFormat="1"/>
    <row r="7691" s="333" customFormat="1"/>
    <row r="7692" s="333" customFormat="1"/>
    <row r="7693" s="333" customFormat="1"/>
    <row r="7694" s="333" customFormat="1"/>
    <row r="7695" s="333" customFormat="1"/>
    <row r="7696" s="333" customFormat="1"/>
    <row r="7697" s="333" customFormat="1"/>
    <row r="7698" s="333" customFormat="1"/>
    <row r="7699" s="333" customFormat="1"/>
    <row r="7700" s="333" customFormat="1"/>
    <row r="7701" s="333" customFormat="1"/>
    <row r="7702" s="333" customFormat="1"/>
    <row r="7703" s="333" customFormat="1"/>
    <row r="7704" s="333" customFormat="1"/>
    <row r="7705" s="333" customFormat="1"/>
    <row r="7706" s="333" customFormat="1"/>
    <row r="7707" s="333" customFormat="1"/>
    <row r="7708" s="333" customFormat="1"/>
    <row r="7709" s="333" customFormat="1"/>
    <row r="7710" s="333" customFormat="1"/>
    <row r="7711" s="333" customFormat="1"/>
    <row r="7712" s="333" customFormat="1"/>
    <row r="7713" s="333" customFormat="1"/>
    <row r="7714" s="333" customFormat="1"/>
    <row r="7715" s="333" customFormat="1"/>
    <row r="7716" s="333" customFormat="1"/>
    <row r="7717" s="333" customFormat="1"/>
    <row r="7718" s="333" customFormat="1"/>
    <row r="7719" s="333" customFormat="1"/>
    <row r="7720" s="333" customFormat="1"/>
    <row r="7721" s="333" customFormat="1"/>
    <row r="7722" s="333" customFormat="1"/>
    <row r="7723" s="333" customFormat="1"/>
    <row r="7724" s="333" customFormat="1"/>
    <row r="7725" s="333" customFormat="1"/>
    <row r="7726" s="333" customFormat="1"/>
    <row r="7727" s="333" customFormat="1"/>
    <row r="7728" s="333" customFormat="1"/>
    <row r="7729" s="333" customFormat="1"/>
    <row r="7730" s="333" customFormat="1"/>
    <row r="7731" s="333" customFormat="1"/>
    <row r="7732" s="333" customFormat="1"/>
    <row r="7733" s="333" customFormat="1"/>
    <row r="7734" s="333" customFormat="1"/>
    <row r="7735" s="333" customFormat="1"/>
    <row r="7736" s="333" customFormat="1"/>
    <row r="7737" s="333" customFormat="1"/>
    <row r="7738" s="333" customFormat="1"/>
    <row r="7739" s="333" customFormat="1"/>
    <row r="7740" s="333" customFormat="1"/>
    <row r="7741" s="333" customFormat="1"/>
    <row r="7742" s="333" customFormat="1"/>
    <row r="7743" s="333" customFormat="1"/>
    <row r="7744" s="333" customFormat="1"/>
    <row r="7745" s="333" customFormat="1"/>
    <row r="7746" s="333" customFormat="1"/>
    <row r="7747" s="333" customFormat="1"/>
    <row r="7748" s="333" customFormat="1"/>
    <row r="7749" s="333" customFormat="1"/>
    <row r="7750" s="333" customFormat="1"/>
    <row r="7751" s="333" customFormat="1"/>
    <row r="7752" s="333" customFormat="1"/>
    <row r="7753" s="333" customFormat="1"/>
    <row r="7754" s="333" customFormat="1"/>
    <row r="7755" s="333" customFormat="1"/>
    <row r="7756" s="333" customFormat="1"/>
    <row r="7757" s="333" customFormat="1"/>
    <row r="7758" s="333" customFormat="1"/>
    <row r="7759" s="333" customFormat="1"/>
    <row r="7760" s="333" customFormat="1"/>
    <row r="7761" s="333" customFormat="1"/>
    <row r="7762" s="333" customFormat="1"/>
    <row r="7763" s="333" customFormat="1"/>
    <row r="7764" s="333" customFormat="1"/>
    <row r="7765" s="333" customFormat="1"/>
    <row r="7766" s="333" customFormat="1"/>
    <row r="7767" s="333" customFormat="1"/>
    <row r="7768" s="333" customFormat="1"/>
    <row r="7769" s="333" customFormat="1"/>
    <row r="7770" s="333" customFormat="1"/>
    <row r="7771" s="333" customFormat="1"/>
    <row r="7772" s="333" customFormat="1"/>
    <row r="7773" s="333" customFormat="1"/>
    <row r="7774" s="333" customFormat="1"/>
    <row r="7775" s="333" customFormat="1"/>
    <row r="7776" s="333" customFormat="1"/>
    <row r="7777" s="333" customFormat="1"/>
    <row r="7778" s="333" customFormat="1"/>
    <row r="7779" s="333" customFormat="1"/>
    <row r="7780" s="333" customFormat="1"/>
    <row r="7781" s="333" customFormat="1"/>
    <row r="7782" s="333" customFormat="1"/>
    <row r="7783" s="333" customFormat="1"/>
    <row r="7784" s="333" customFormat="1"/>
    <row r="7785" s="333" customFormat="1"/>
    <row r="7786" s="333" customFormat="1"/>
    <row r="7787" s="333" customFormat="1"/>
    <row r="7788" s="333" customFormat="1"/>
    <row r="7789" s="333" customFormat="1"/>
    <row r="7790" s="333" customFormat="1"/>
    <row r="7791" s="333" customFormat="1"/>
    <row r="7792" s="333" customFormat="1"/>
    <row r="7793" s="333" customFormat="1"/>
    <row r="7794" s="333" customFormat="1"/>
    <row r="7795" s="333" customFormat="1"/>
    <row r="7796" s="333" customFormat="1"/>
    <row r="7797" s="333" customFormat="1"/>
    <row r="7798" s="333" customFormat="1"/>
    <row r="7799" s="333" customFormat="1"/>
    <row r="7800" s="333" customFormat="1"/>
    <row r="7801" s="333" customFormat="1"/>
    <row r="7802" s="333" customFormat="1"/>
    <row r="7803" s="333" customFormat="1"/>
    <row r="7804" s="333" customFormat="1"/>
    <row r="7805" s="333" customFormat="1"/>
    <row r="7806" s="333" customFormat="1"/>
    <row r="7807" s="333" customFormat="1"/>
    <row r="7808" s="333" customFormat="1"/>
    <row r="7809" s="333" customFormat="1"/>
    <row r="7810" s="333" customFormat="1"/>
    <row r="7811" s="333" customFormat="1"/>
    <row r="7812" s="333" customFormat="1"/>
    <row r="7813" s="333" customFormat="1"/>
    <row r="7814" s="333" customFormat="1"/>
    <row r="7815" s="333" customFormat="1"/>
    <row r="7816" s="333" customFormat="1"/>
    <row r="7817" s="333" customFormat="1"/>
    <row r="7818" s="333" customFormat="1"/>
    <row r="7819" s="333" customFormat="1"/>
    <row r="7820" s="333" customFormat="1"/>
    <row r="7821" s="333" customFormat="1"/>
    <row r="7822" s="333" customFormat="1"/>
    <row r="7823" s="333" customFormat="1"/>
    <row r="7824" s="333" customFormat="1"/>
    <row r="7825" s="333" customFormat="1"/>
    <row r="7826" s="333" customFormat="1"/>
    <row r="7827" s="333" customFormat="1"/>
    <row r="7828" s="333" customFormat="1"/>
    <row r="7829" s="333" customFormat="1"/>
    <row r="7830" s="333" customFormat="1"/>
    <row r="7831" s="333" customFormat="1"/>
    <row r="7832" s="333" customFormat="1"/>
    <row r="7833" s="333" customFormat="1"/>
    <row r="7834" s="333" customFormat="1"/>
    <row r="7835" s="333" customFormat="1"/>
    <row r="7836" s="333" customFormat="1"/>
    <row r="7837" s="333" customFormat="1"/>
    <row r="7838" s="333" customFormat="1"/>
    <row r="7839" s="333" customFormat="1"/>
    <row r="7840" s="333" customFormat="1"/>
    <row r="7841" s="333" customFormat="1"/>
    <row r="7842" s="333" customFormat="1"/>
    <row r="7843" s="333" customFormat="1"/>
    <row r="7844" s="333" customFormat="1"/>
    <row r="7845" s="333" customFormat="1"/>
    <row r="7846" s="333" customFormat="1"/>
    <row r="7847" s="333" customFormat="1"/>
    <row r="7848" s="333" customFormat="1"/>
    <row r="7849" s="333" customFormat="1"/>
    <row r="7850" s="333" customFormat="1"/>
    <row r="7851" s="333" customFormat="1"/>
    <row r="7852" s="333" customFormat="1"/>
    <row r="7853" s="333" customFormat="1"/>
    <row r="7854" s="333" customFormat="1"/>
    <row r="7855" s="333" customFormat="1"/>
    <row r="7856" s="333" customFormat="1"/>
    <row r="7857" s="333" customFormat="1"/>
    <row r="7858" s="333" customFormat="1"/>
    <row r="7859" s="333" customFormat="1"/>
    <row r="7860" s="333" customFormat="1"/>
    <row r="7861" s="333" customFormat="1"/>
    <row r="7862" s="333" customFormat="1"/>
    <row r="7863" s="333" customFormat="1"/>
    <row r="7864" s="333" customFormat="1"/>
    <row r="7865" s="333" customFormat="1"/>
    <row r="7866" s="333" customFormat="1"/>
    <row r="7867" s="333" customFormat="1"/>
    <row r="7868" s="333" customFormat="1"/>
    <row r="7869" s="333" customFormat="1"/>
    <row r="7870" s="333" customFormat="1"/>
    <row r="7871" s="333" customFormat="1"/>
    <row r="7872" s="333" customFormat="1"/>
    <row r="7873" s="333" customFormat="1"/>
    <row r="7874" s="333" customFormat="1"/>
    <row r="7875" s="333" customFormat="1"/>
    <row r="7876" s="333" customFormat="1"/>
    <row r="7877" s="333" customFormat="1"/>
    <row r="7878" s="333" customFormat="1"/>
    <row r="7879" s="333" customFormat="1"/>
    <row r="7880" s="333" customFormat="1"/>
    <row r="7881" s="333" customFormat="1"/>
    <row r="7882" s="333" customFormat="1"/>
    <row r="7883" s="333" customFormat="1"/>
    <row r="7884" s="333" customFormat="1"/>
    <row r="7885" s="333" customFormat="1"/>
    <row r="7886" s="333" customFormat="1"/>
    <row r="7887" s="333" customFormat="1"/>
    <row r="7888" s="333" customFormat="1"/>
    <row r="7889" s="333" customFormat="1"/>
    <row r="7890" s="333" customFormat="1"/>
    <row r="7891" s="333" customFormat="1"/>
    <row r="7892" s="333" customFormat="1"/>
    <row r="7893" s="333" customFormat="1"/>
    <row r="7894" s="333" customFormat="1"/>
    <row r="7895" s="333" customFormat="1"/>
    <row r="7896" s="333" customFormat="1"/>
    <row r="7897" s="333" customFormat="1"/>
    <row r="7898" s="333" customFormat="1"/>
    <row r="7899" s="333" customFormat="1"/>
    <row r="7900" s="333" customFormat="1"/>
    <row r="7901" s="333" customFormat="1"/>
    <row r="7902" s="333" customFormat="1"/>
    <row r="7903" s="333" customFormat="1"/>
    <row r="7904" s="333" customFormat="1"/>
    <row r="7905" s="333" customFormat="1"/>
    <row r="7906" s="333" customFormat="1"/>
    <row r="7907" s="333" customFormat="1"/>
    <row r="7908" s="333" customFormat="1"/>
    <row r="7909" s="333" customFormat="1"/>
    <row r="7910" s="333" customFormat="1"/>
    <row r="7911" s="333" customFormat="1"/>
    <row r="7912" s="333" customFormat="1"/>
    <row r="7913" s="333" customFormat="1"/>
    <row r="7914" s="333" customFormat="1"/>
    <row r="7915" s="333" customFormat="1"/>
    <row r="7916" s="333" customFormat="1"/>
    <row r="7917" s="333" customFormat="1"/>
    <row r="7918" s="333" customFormat="1"/>
    <row r="7919" s="333" customFormat="1"/>
    <row r="7920" s="333" customFormat="1"/>
    <row r="7921" s="333" customFormat="1"/>
    <row r="7922" s="333" customFormat="1"/>
    <row r="7923" s="333" customFormat="1"/>
    <row r="7924" s="333" customFormat="1"/>
    <row r="7925" s="333" customFormat="1"/>
    <row r="7926" s="333" customFormat="1"/>
    <row r="7927" s="333" customFormat="1"/>
    <row r="7928" s="333" customFormat="1"/>
    <row r="7929" s="333" customFormat="1"/>
    <row r="7930" s="333" customFormat="1"/>
    <row r="7931" s="333" customFormat="1"/>
    <row r="7932" s="333" customFormat="1"/>
    <row r="7933" s="333" customFormat="1"/>
    <row r="7934" s="333" customFormat="1"/>
    <row r="7935" s="333" customFormat="1"/>
    <row r="7936" s="333" customFormat="1"/>
    <row r="7937" s="333" customFormat="1"/>
    <row r="7938" s="333" customFormat="1"/>
    <row r="7939" s="333" customFormat="1"/>
    <row r="7940" s="333" customFormat="1"/>
    <row r="7941" s="333" customFormat="1"/>
    <row r="7942" s="333" customFormat="1"/>
    <row r="7943" s="333" customFormat="1"/>
    <row r="7944" s="333" customFormat="1"/>
    <row r="7945" s="333" customFormat="1"/>
    <row r="7946" s="333" customFormat="1"/>
    <row r="7947" s="333" customFormat="1"/>
    <row r="7948" s="333" customFormat="1"/>
    <row r="7949" s="333" customFormat="1"/>
    <row r="7950" s="333" customFormat="1"/>
    <row r="7951" s="333" customFormat="1"/>
    <row r="7952" s="333" customFormat="1"/>
    <row r="7953" s="333" customFormat="1"/>
    <row r="7954" s="333" customFormat="1"/>
    <row r="7955" s="333" customFormat="1"/>
    <row r="7956" s="333" customFormat="1"/>
    <row r="7957" s="333" customFormat="1"/>
    <row r="7958" s="333" customFormat="1"/>
    <row r="7959" s="333" customFormat="1"/>
    <row r="7960" s="333" customFormat="1"/>
    <row r="7961" s="333" customFormat="1"/>
    <row r="7962" s="333" customFormat="1"/>
    <row r="7963" s="333" customFormat="1"/>
    <row r="7964" s="333" customFormat="1"/>
    <row r="7965" s="333" customFormat="1"/>
    <row r="7966" s="333" customFormat="1"/>
    <row r="7967" s="333" customFormat="1"/>
    <row r="7968" s="333" customFormat="1"/>
    <row r="7969" s="333" customFormat="1"/>
    <row r="7970" s="333" customFormat="1"/>
    <row r="7971" s="333" customFormat="1"/>
    <row r="7972" s="333" customFormat="1"/>
    <row r="7973" s="333" customFormat="1"/>
    <row r="7974" s="333" customFormat="1"/>
    <row r="7975" s="333" customFormat="1"/>
    <row r="7976" s="333" customFormat="1"/>
    <row r="7977" s="333" customFormat="1"/>
    <row r="7978" s="333" customFormat="1"/>
    <row r="7979" s="333" customFormat="1"/>
    <row r="7980" s="333" customFormat="1"/>
    <row r="7981" s="333" customFormat="1"/>
    <row r="7982" s="333" customFormat="1"/>
    <row r="7983" s="333" customFormat="1"/>
    <row r="7984" s="333" customFormat="1"/>
    <row r="7985" s="333" customFormat="1"/>
    <row r="7986" s="333" customFormat="1"/>
    <row r="7987" s="333" customFormat="1"/>
    <row r="7988" s="333" customFormat="1"/>
    <row r="7989" s="333" customFormat="1"/>
    <row r="7990" s="333" customFormat="1"/>
    <row r="7991" s="333" customFormat="1"/>
    <row r="7992" s="333" customFormat="1"/>
    <row r="7993" s="333" customFormat="1"/>
    <row r="7994" s="333" customFormat="1"/>
    <row r="7995" s="333" customFormat="1"/>
    <row r="7996" s="333" customFormat="1"/>
    <row r="7997" s="333" customFormat="1"/>
    <row r="7998" s="333" customFormat="1"/>
    <row r="7999" s="333" customFormat="1"/>
    <row r="8000" s="333" customFormat="1"/>
    <row r="8001" s="333" customFormat="1"/>
    <row r="8002" s="333" customFormat="1"/>
    <row r="8003" s="333" customFormat="1"/>
    <row r="8004" s="333" customFormat="1"/>
    <row r="8005" s="333" customFormat="1"/>
    <row r="8006" s="333" customFormat="1"/>
    <row r="8007" s="333" customFormat="1"/>
    <row r="8008" s="333" customFormat="1"/>
    <row r="8009" s="333" customFormat="1"/>
    <row r="8010" s="333" customFormat="1"/>
    <row r="8011" s="333" customFormat="1"/>
    <row r="8012" s="333" customFormat="1"/>
    <row r="8013" s="333" customFormat="1"/>
    <row r="8014" s="333" customFormat="1"/>
    <row r="8015" s="333" customFormat="1"/>
    <row r="8016" s="333" customFormat="1"/>
    <row r="8017" s="333" customFormat="1"/>
    <row r="8018" s="333" customFormat="1"/>
    <row r="8019" s="333" customFormat="1"/>
    <row r="8020" s="333" customFormat="1"/>
    <row r="8021" s="333" customFormat="1"/>
    <row r="8022" s="333" customFormat="1"/>
    <row r="8023" s="333" customFormat="1"/>
    <row r="8024" s="333" customFormat="1"/>
    <row r="8025" s="333" customFormat="1"/>
    <row r="8026" s="333" customFormat="1"/>
    <row r="8027" s="333" customFormat="1"/>
    <row r="8028" s="333" customFormat="1"/>
    <row r="8029" s="333" customFormat="1"/>
    <row r="8030" s="333" customFormat="1"/>
    <row r="8031" s="333" customFormat="1"/>
    <row r="8032" s="333" customFormat="1"/>
    <row r="8033" s="333" customFormat="1"/>
    <row r="8034" s="333" customFormat="1"/>
    <row r="8035" s="333" customFormat="1"/>
    <row r="8036" s="333" customFormat="1"/>
    <row r="8037" s="333" customFormat="1"/>
    <row r="8038" s="333" customFormat="1"/>
    <row r="8039" s="333" customFormat="1"/>
    <row r="8040" s="333" customFormat="1"/>
    <row r="8041" s="333" customFormat="1"/>
    <row r="8042" s="333" customFormat="1"/>
    <row r="8043" s="333" customFormat="1"/>
    <row r="8044" s="333" customFormat="1"/>
    <row r="8045" s="333" customFormat="1"/>
    <row r="8046" s="333" customFormat="1"/>
    <row r="8047" s="333" customFormat="1"/>
    <row r="8048" s="333" customFormat="1"/>
    <row r="8049" s="333" customFormat="1"/>
    <row r="8050" s="333" customFormat="1"/>
    <row r="8051" s="333" customFormat="1"/>
    <row r="8052" s="333" customFormat="1"/>
    <row r="8053" s="333" customFormat="1"/>
    <row r="8054" s="333" customFormat="1"/>
    <row r="8055" s="333" customFormat="1"/>
    <row r="8056" s="333" customFormat="1"/>
    <row r="8057" s="333" customFormat="1"/>
    <row r="8058" s="333" customFormat="1"/>
    <row r="8059" s="333" customFormat="1"/>
    <row r="8060" s="333" customFormat="1"/>
    <row r="8061" s="333" customFormat="1"/>
    <row r="8062" s="333" customFormat="1"/>
    <row r="8063" s="333" customFormat="1"/>
    <row r="8064" s="333" customFormat="1"/>
    <row r="8065" s="333" customFormat="1"/>
    <row r="8066" s="333" customFormat="1"/>
    <row r="8067" s="333" customFormat="1"/>
    <row r="8068" s="333" customFormat="1"/>
    <row r="8069" s="333" customFormat="1"/>
    <row r="8070" s="333" customFormat="1"/>
    <row r="8071" s="333" customFormat="1"/>
    <row r="8072" s="333" customFormat="1"/>
    <row r="8073" s="333" customFormat="1"/>
    <row r="8074" s="333" customFormat="1"/>
    <row r="8075" s="333" customFormat="1"/>
    <row r="8076" s="333" customFormat="1"/>
    <row r="8077" s="333" customFormat="1"/>
    <row r="8078" s="333" customFormat="1"/>
    <row r="8079" s="333" customFormat="1"/>
    <row r="8080" s="333" customFormat="1"/>
    <row r="8081" s="333" customFormat="1"/>
    <row r="8082" s="333" customFormat="1"/>
    <row r="8083" s="333" customFormat="1"/>
    <row r="8084" s="333" customFormat="1"/>
    <row r="8085" s="333" customFormat="1"/>
    <row r="8086" s="333" customFormat="1"/>
    <row r="8087" s="333" customFormat="1"/>
    <row r="8088" s="333" customFormat="1"/>
    <row r="8089" s="333" customFormat="1"/>
    <row r="8090" s="333" customFormat="1"/>
    <row r="8091" s="333" customFormat="1"/>
    <row r="8092" s="333" customFormat="1"/>
    <row r="8093" s="333" customFormat="1"/>
    <row r="8094" s="333" customFormat="1"/>
    <row r="8095" s="333" customFormat="1"/>
    <row r="8096" s="333" customFormat="1"/>
    <row r="8097" s="333" customFormat="1"/>
    <row r="8098" s="333" customFormat="1"/>
    <row r="8099" s="333" customFormat="1"/>
    <row r="8100" s="333" customFormat="1"/>
    <row r="8101" s="333" customFormat="1"/>
    <row r="8102" s="333" customFormat="1"/>
    <row r="8103" s="333" customFormat="1"/>
    <row r="8104" s="333" customFormat="1"/>
    <row r="8105" s="333" customFormat="1"/>
    <row r="8106" s="333" customFormat="1"/>
    <row r="8107" s="333" customFormat="1"/>
    <row r="8108" s="333" customFormat="1"/>
    <row r="8109" s="333" customFormat="1"/>
    <row r="8110" s="333" customFormat="1"/>
    <row r="8111" s="333" customFormat="1"/>
    <row r="8112" s="333" customFormat="1"/>
    <row r="8113" s="333" customFormat="1"/>
    <row r="8114" s="333" customFormat="1"/>
    <row r="8115" s="333" customFormat="1"/>
    <row r="8116" s="333" customFormat="1"/>
    <row r="8117" s="333" customFormat="1"/>
    <row r="8118" s="333" customFormat="1"/>
    <row r="8119" s="333" customFormat="1"/>
    <row r="8120" s="333" customFormat="1"/>
    <row r="8121" s="333" customFormat="1"/>
    <row r="8122" s="333" customFormat="1"/>
    <row r="8123" s="333" customFormat="1"/>
    <row r="8124" s="333" customFormat="1"/>
    <row r="8125" s="333" customFormat="1"/>
    <row r="8126" s="333" customFormat="1"/>
    <row r="8127" s="333" customFormat="1"/>
    <row r="8128" s="333" customFormat="1"/>
    <row r="8129" s="333" customFormat="1"/>
    <row r="8130" s="333" customFormat="1"/>
    <row r="8131" s="333" customFormat="1"/>
    <row r="8132" s="333" customFormat="1"/>
    <row r="8133" s="333" customFormat="1"/>
    <row r="8134" s="333" customFormat="1"/>
    <row r="8135" s="333" customFormat="1"/>
    <row r="8136" s="333" customFormat="1"/>
    <row r="8137" s="333" customFormat="1"/>
    <row r="8138" s="333" customFormat="1"/>
    <row r="8139" s="333" customFormat="1"/>
    <row r="8140" s="333" customFormat="1"/>
    <row r="8141" s="333" customFormat="1"/>
    <row r="8142" s="333" customFormat="1"/>
    <row r="8143" s="333" customFormat="1"/>
    <row r="8144" s="333" customFormat="1"/>
    <row r="8145" s="333" customFormat="1"/>
    <row r="8146" s="333" customFormat="1"/>
    <row r="8147" s="333" customFormat="1"/>
    <row r="8148" s="333" customFormat="1"/>
    <row r="8149" s="333" customFormat="1"/>
    <row r="8150" s="333" customFormat="1"/>
    <row r="8151" s="333" customFormat="1"/>
    <row r="8152" s="333" customFormat="1"/>
    <row r="8153" s="333" customFormat="1"/>
    <row r="8154" s="333" customFormat="1"/>
    <row r="8155" s="333" customFormat="1"/>
    <row r="8156" s="333" customFormat="1"/>
    <row r="8157" s="333" customFormat="1"/>
    <row r="8158" s="333" customFormat="1"/>
    <row r="8159" s="333" customFormat="1"/>
    <row r="8160" s="333" customFormat="1"/>
    <row r="8161" s="333" customFormat="1"/>
    <row r="8162" s="333" customFormat="1"/>
    <row r="8163" s="333" customFormat="1"/>
    <row r="8164" s="333" customFormat="1"/>
    <row r="8165" s="333" customFormat="1"/>
    <row r="8166" s="333" customFormat="1"/>
    <row r="8167" s="333" customFormat="1"/>
    <row r="8168" s="333" customFormat="1"/>
    <row r="8169" s="333" customFormat="1"/>
    <row r="8170" s="333" customFormat="1"/>
    <row r="8171" s="333" customFormat="1"/>
    <row r="8172" s="333" customFormat="1"/>
    <row r="8173" s="333" customFormat="1"/>
    <row r="8174" s="333" customFormat="1"/>
    <row r="8175" s="333" customFormat="1"/>
    <row r="8176" s="333" customFormat="1"/>
    <row r="8177" s="333" customFormat="1"/>
    <row r="8178" s="333" customFormat="1"/>
    <row r="8179" s="333" customFormat="1"/>
    <row r="8180" s="333" customFormat="1"/>
    <row r="8181" s="333" customFormat="1"/>
    <row r="8182" s="333" customFormat="1"/>
    <row r="8183" s="333" customFormat="1"/>
    <row r="8184" s="333" customFormat="1"/>
    <row r="8185" s="333" customFormat="1"/>
    <row r="8186" s="333" customFormat="1"/>
    <row r="8187" s="333" customFormat="1"/>
    <row r="8188" s="333" customFormat="1"/>
    <row r="8189" s="333" customFormat="1"/>
    <row r="8190" s="333" customFormat="1"/>
    <row r="8191" s="333" customFormat="1"/>
    <row r="8192" s="333" customFormat="1"/>
    <row r="8193" s="333" customFormat="1"/>
    <row r="8194" s="333" customFormat="1"/>
    <row r="8195" s="333" customFormat="1"/>
    <row r="8196" s="333" customFormat="1"/>
    <row r="8197" s="333" customFormat="1"/>
    <row r="8198" s="333" customFormat="1"/>
    <row r="8199" s="333" customFormat="1"/>
    <row r="8200" s="333" customFormat="1"/>
    <row r="8201" s="333" customFormat="1"/>
    <row r="8202" s="333" customFormat="1"/>
    <row r="8203" s="333" customFormat="1"/>
    <row r="8204" s="333" customFormat="1"/>
    <row r="8205" s="333" customFormat="1"/>
    <row r="8206" s="333" customFormat="1"/>
    <row r="8207" s="333" customFormat="1"/>
    <row r="8208" s="333" customFormat="1"/>
    <row r="8209" s="333" customFormat="1"/>
    <row r="8210" s="333" customFormat="1"/>
    <row r="8211" s="333" customFormat="1"/>
    <row r="8212" s="333" customFormat="1"/>
    <row r="8213" s="333" customFormat="1"/>
    <row r="8214" s="333" customFormat="1"/>
    <row r="8215" s="333" customFormat="1"/>
    <row r="8216" s="333" customFormat="1"/>
    <row r="8217" s="333" customFormat="1"/>
    <row r="8218" s="333" customFormat="1"/>
    <row r="8219" s="333" customFormat="1"/>
    <row r="8220" s="333" customFormat="1"/>
    <row r="8221" s="333" customFormat="1"/>
    <row r="8222" s="333" customFormat="1"/>
    <row r="8223" s="333" customFormat="1"/>
    <row r="8224" s="333" customFormat="1"/>
    <row r="8225" s="333" customFormat="1"/>
    <row r="8226" s="333" customFormat="1"/>
    <row r="8227" s="333" customFormat="1"/>
    <row r="8228" s="333" customFormat="1"/>
    <row r="8229" s="333" customFormat="1"/>
    <row r="8230" s="333" customFormat="1"/>
    <row r="8231" s="333" customFormat="1"/>
    <row r="8232" s="333" customFormat="1"/>
    <row r="8233" s="333" customFormat="1"/>
    <row r="8234" s="333" customFormat="1"/>
    <row r="8235" s="333" customFormat="1"/>
    <row r="8236" s="333" customFormat="1"/>
    <row r="8237" s="333" customFormat="1"/>
    <row r="8238" s="333" customFormat="1"/>
    <row r="8239" s="333" customFormat="1"/>
    <row r="8240" s="333" customFormat="1"/>
    <row r="8241" s="333" customFormat="1"/>
    <row r="8242" s="333" customFormat="1"/>
    <row r="8243" s="333" customFormat="1"/>
    <row r="8244" s="333" customFormat="1"/>
    <row r="8245" s="333" customFormat="1"/>
    <row r="8246" s="333" customFormat="1"/>
    <row r="8247" s="333" customFormat="1"/>
    <row r="8248" s="333" customFormat="1"/>
    <row r="8249" s="333" customFormat="1"/>
    <row r="8250" s="333" customFormat="1"/>
    <row r="8251" s="333" customFormat="1"/>
    <row r="8252" s="333" customFormat="1"/>
    <row r="8253" s="333" customFormat="1"/>
    <row r="8254" s="333" customFormat="1"/>
    <row r="8255" s="333" customFormat="1"/>
    <row r="8256" s="333" customFormat="1"/>
    <row r="8257" s="333" customFormat="1"/>
    <row r="8258" s="333" customFormat="1"/>
    <row r="8259" s="333" customFormat="1"/>
    <row r="8260" s="333" customFormat="1"/>
    <row r="8261" s="333" customFormat="1"/>
    <row r="8262" s="333" customFormat="1"/>
    <row r="8263" s="333" customFormat="1"/>
    <row r="8264" s="333" customFormat="1"/>
    <row r="8265" s="333" customFormat="1"/>
    <row r="8266" s="333" customFormat="1"/>
    <row r="8267" s="333" customFormat="1"/>
    <row r="8268" s="333" customFormat="1"/>
    <row r="8269" s="333" customFormat="1"/>
    <row r="8270" s="333" customFormat="1"/>
    <row r="8271" s="333" customFormat="1"/>
    <row r="8272" s="333" customFormat="1"/>
    <row r="8273" s="333" customFormat="1"/>
    <row r="8274" s="333" customFormat="1"/>
    <row r="8275" s="333" customFormat="1"/>
    <row r="8276" s="333" customFormat="1"/>
    <row r="8277" s="333" customFormat="1"/>
    <row r="8278" s="333" customFormat="1"/>
    <row r="8279" s="333" customFormat="1"/>
    <row r="8280" s="333" customFormat="1"/>
    <row r="8281" s="333" customFormat="1"/>
    <row r="8282" s="333" customFormat="1"/>
    <row r="8283" s="333" customFormat="1"/>
    <row r="8284" s="333" customFormat="1"/>
    <row r="8285" s="333" customFormat="1"/>
    <row r="8286" s="333" customFormat="1"/>
    <row r="8287" s="333" customFormat="1"/>
    <row r="8288" s="333" customFormat="1"/>
    <row r="8289" s="333" customFormat="1"/>
    <row r="8290" s="333" customFormat="1"/>
    <row r="8291" s="333" customFormat="1"/>
    <row r="8292" s="333" customFormat="1"/>
    <row r="8293" s="333" customFormat="1"/>
    <row r="8294" s="333" customFormat="1"/>
    <row r="8295" s="333" customFormat="1"/>
    <row r="8296" s="333" customFormat="1"/>
    <row r="8297" s="333" customFormat="1"/>
    <row r="8298" s="333" customFormat="1"/>
    <row r="8299" s="333" customFormat="1"/>
    <row r="8300" s="333" customFormat="1"/>
    <row r="8301" s="333" customFormat="1"/>
    <row r="8302" s="333" customFormat="1"/>
    <row r="8303" s="333" customFormat="1"/>
    <row r="8304" s="333" customFormat="1"/>
    <row r="8305" s="333" customFormat="1"/>
    <row r="8306" s="333" customFormat="1"/>
    <row r="8307" s="333" customFormat="1"/>
    <row r="8308" s="333" customFormat="1"/>
    <row r="8309" s="333" customFormat="1"/>
    <row r="8310" s="333" customFormat="1"/>
    <row r="8311" s="333" customFormat="1"/>
    <row r="8312" s="333" customFormat="1"/>
    <row r="8313" s="333" customFormat="1"/>
    <row r="8314" s="333" customFormat="1"/>
    <row r="8315" s="333" customFormat="1"/>
    <row r="8316" s="333" customFormat="1"/>
    <row r="8317" s="333" customFormat="1"/>
    <row r="8318" s="333" customFormat="1"/>
    <row r="8319" s="333" customFormat="1"/>
    <row r="8320" s="333" customFormat="1"/>
    <row r="8321" s="333" customFormat="1"/>
    <row r="8322" s="333" customFormat="1"/>
    <row r="8323" s="333" customFormat="1"/>
    <row r="8324" s="333" customFormat="1"/>
    <row r="8325" s="333" customFormat="1"/>
    <row r="8326" s="333" customFormat="1"/>
    <row r="8327" s="333" customFormat="1"/>
    <row r="8328" s="333" customFormat="1"/>
    <row r="8329" s="333" customFormat="1"/>
    <row r="8330" s="333" customFormat="1"/>
    <row r="8331" s="333" customFormat="1"/>
    <row r="8332" s="333" customFormat="1"/>
    <row r="8333" s="333" customFormat="1"/>
    <row r="8334" s="333" customFormat="1"/>
    <row r="8335" s="333" customFormat="1"/>
    <row r="8336" s="333" customFormat="1"/>
    <row r="8337" s="333" customFormat="1"/>
    <row r="8338" s="333" customFormat="1"/>
    <row r="8339" s="333" customFormat="1"/>
    <row r="8340" s="333" customFormat="1"/>
    <row r="8341" s="333" customFormat="1"/>
    <row r="8342" s="333" customFormat="1"/>
    <row r="8343" s="333" customFormat="1"/>
    <row r="8344" s="333" customFormat="1"/>
    <row r="8345" s="333" customFormat="1"/>
    <row r="8346" s="333" customFormat="1"/>
    <row r="8347" s="333" customFormat="1"/>
    <row r="8348" s="333" customFormat="1"/>
    <row r="8349" s="333" customFormat="1"/>
    <row r="8350" s="333" customFormat="1"/>
    <row r="8351" s="333" customFormat="1"/>
    <row r="8352" s="333" customFormat="1"/>
    <row r="8353" s="333" customFormat="1"/>
    <row r="8354" s="333" customFormat="1"/>
    <row r="8355" s="333" customFormat="1"/>
    <row r="8356" s="333" customFormat="1"/>
    <row r="8357" s="333" customFormat="1"/>
    <row r="8358" s="333" customFormat="1"/>
    <row r="8359" s="333" customFormat="1"/>
    <row r="8360" s="333" customFormat="1"/>
    <row r="8361" s="333" customFormat="1"/>
    <row r="8362" s="333" customFormat="1"/>
    <row r="8363" s="333" customFormat="1"/>
    <row r="8364" s="333" customFormat="1"/>
    <row r="8365" s="333" customFormat="1"/>
    <row r="8366" s="333" customFormat="1"/>
    <row r="8367" s="333" customFormat="1"/>
    <row r="8368" s="333" customFormat="1"/>
    <row r="8369" s="333" customFormat="1"/>
    <row r="8370" s="333" customFormat="1"/>
    <row r="8371" s="333" customFormat="1"/>
    <row r="8372" s="333" customFormat="1"/>
    <row r="8373" s="333" customFormat="1"/>
    <row r="8374" s="333" customFormat="1"/>
    <row r="8375" s="333" customFormat="1"/>
    <row r="8376" s="333" customFormat="1"/>
    <row r="8377" s="333" customFormat="1"/>
    <row r="8378" s="333" customFormat="1"/>
    <row r="8379" s="333" customFormat="1"/>
    <row r="8380" s="333" customFormat="1"/>
    <row r="8381" s="333" customFormat="1"/>
    <row r="8382" s="333" customFormat="1"/>
    <row r="8383" s="333" customFormat="1"/>
    <row r="8384" s="333" customFormat="1"/>
    <row r="8385" s="333" customFormat="1"/>
    <row r="8386" s="333" customFormat="1"/>
    <row r="8387" s="333" customFormat="1"/>
    <row r="8388" s="333" customFormat="1"/>
    <row r="8389" s="333" customFormat="1"/>
    <row r="8390" s="333" customFormat="1"/>
    <row r="8391" s="333" customFormat="1"/>
    <row r="8392" s="333" customFormat="1"/>
    <row r="8393" s="333" customFormat="1"/>
    <row r="8394" s="333" customFormat="1"/>
    <row r="8395" s="333" customFormat="1"/>
    <row r="8396" s="333" customFormat="1"/>
    <row r="8397" s="333" customFormat="1"/>
    <row r="8398" s="333" customFormat="1"/>
    <row r="8399" s="333" customFormat="1"/>
    <row r="8400" s="333" customFormat="1"/>
    <row r="8401" s="333" customFormat="1"/>
    <row r="8402" s="333" customFormat="1"/>
    <row r="8403" s="333" customFormat="1"/>
    <row r="8404" s="333" customFormat="1"/>
    <row r="8405" s="333" customFormat="1"/>
    <row r="8406" s="333" customFormat="1"/>
    <row r="8407" s="333" customFormat="1"/>
    <row r="8408" s="333" customFormat="1"/>
    <row r="8409" s="333" customFormat="1"/>
    <row r="8410" s="333" customFormat="1"/>
    <row r="8411" s="333" customFormat="1"/>
    <row r="8412" s="333" customFormat="1"/>
    <row r="8413" s="333" customFormat="1"/>
    <row r="8414" s="333" customFormat="1"/>
    <row r="8415" s="333" customFormat="1"/>
    <row r="8416" s="333" customFormat="1"/>
    <row r="8417" s="333" customFormat="1"/>
    <row r="8418" s="333" customFormat="1"/>
    <row r="8419" s="333" customFormat="1"/>
    <row r="8420" s="333" customFormat="1"/>
    <row r="8421" s="333" customFormat="1"/>
    <row r="8422" s="333" customFormat="1"/>
    <row r="8423" s="333" customFormat="1"/>
    <row r="8424" s="333" customFormat="1"/>
    <row r="8425" s="333" customFormat="1"/>
    <row r="8426" s="333" customFormat="1"/>
    <row r="8427" s="333" customFormat="1"/>
    <row r="8428" s="333" customFormat="1"/>
    <row r="8429" s="333" customFormat="1"/>
    <row r="8430" s="333" customFormat="1"/>
    <row r="8431" s="333" customFormat="1"/>
    <row r="8432" s="333" customFormat="1"/>
    <row r="8433" s="333" customFormat="1"/>
    <row r="8434" s="333" customFormat="1"/>
    <row r="8435" s="333" customFormat="1"/>
    <row r="8436" s="333" customFormat="1"/>
    <row r="8437" s="333" customFormat="1"/>
    <row r="8438" s="333" customFormat="1"/>
    <row r="8439" s="333" customFormat="1"/>
    <row r="8440" s="333" customFormat="1"/>
    <row r="8441" s="333" customFormat="1"/>
    <row r="8442" s="333" customFormat="1"/>
    <row r="8443" s="333" customFormat="1"/>
    <row r="8444" s="333" customFormat="1"/>
    <row r="8445" s="333" customFormat="1"/>
    <row r="8446" s="333" customFormat="1"/>
    <row r="8447" s="333" customFormat="1"/>
    <row r="8448" s="333" customFormat="1"/>
    <row r="8449" s="333" customFormat="1"/>
    <row r="8450" s="333" customFormat="1"/>
    <row r="8451" s="333" customFormat="1"/>
    <row r="8452" s="333" customFormat="1"/>
    <row r="8453" s="333" customFormat="1"/>
    <row r="8454" s="333" customFormat="1"/>
    <row r="8455" s="333" customFormat="1"/>
    <row r="8456" s="333" customFormat="1"/>
    <row r="8457" s="333" customFormat="1"/>
    <row r="8458" s="333" customFormat="1"/>
    <row r="8459" s="333" customFormat="1"/>
    <row r="8460" s="333" customFormat="1"/>
    <row r="8461" s="333" customFormat="1"/>
    <row r="8462" s="333" customFormat="1"/>
    <row r="8463" s="333" customFormat="1"/>
    <row r="8464" s="333" customFormat="1"/>
    <row r="8465" s="333" customFormat="1"/>
    <row r="8466" s="333" customFormat="1"/>
    <row r="8467" s="333" customFormat="1"/>
    <row r="8468" s="333" customFormat="1"/>
    <row r="8469" s="333" customFormat="1"/>
    <row r="8470" s="333" customFormat="1"/>
    <row r="8471" s="333" customFormat="1"/>
    <row r="8472" s="333" customFormat="1"/>
    <row r="8473" s="333" customFormat="1"/>
    <row r="8474" s="333" customFormat="1"/>
    <row r="8475" s="333" customFormat="1"/>
    <row r="8476" s="333" customFormat="1"/>
    <row r="8477" s="333" customFormat="1"/>
    <row r="8478" s="333" customFormat="1"/>
    <row r="8479" s="333" customFormat="1"/>
    <row r="8480" s="333" customFormat="1"/>
    <row r="8481" s="333" customFormat="1"/>
    <row r="8482" s="333" customFormat="1"/>
    <row r="8483" s="333" customFormat="1"/>
    <row r="8484" s="333" customFormat="1"/>
    <row r="8485" s="333" customFormat="1"/>
    <row r="8486" s="333" customFormat="1"/>
    <row r="8487" s="333" customFormat="1"/>
    <row r="8488" s="333" customFormat="1"/>
    <row r="8489" s="333" customFormat="1"/>
    <row r="8490" s="333" customFormat="1"/>
    <row r="8491" s="333" customFormat="1"/>
    <row r="8492" s="333" customFormat="1"/>
    <row r="8493" s="333" customFormat="1"/>
    <row r="8494" s="333" customFormat="1"/>
    <row r="8495" s="333" customFormat="1"/>
    <row r="8496" s="333" customFormat="1"/>
    <row r="8497" s="333" customFormat="1"/>
    <row r="8498" s="333" customFormat="1"/>
    <row r="8499" s="333" customFormat="1"/>
    <row r="8500" s="333" customFormat="1"/>
    <row r="8501" s="333" customFormat="1"/>
    <row r="8502" s="333" customFormat="1"/>
    <row r="8503" s="333" customFormat="1"/>
    <row r="8504" s="333" customFormat="1"/>
    <row r="8505" s="333" customFormat="1"/>
    <row r="8506" s="333" customFormat="1"/>
    <row r="8507" s="333" customFormat="1"/>
    <row r="8508" s="333" customFormat="1"/>
    <row r="8509" s="333" customFormat="1"/>
    <row r="8510" s="333" customFormat="1"/>
    <row r="8511" s="333" customFormat="1"/>
    <row r="8512" s="333" customFormat="1"/>
    <row r="8513" s="333" customFormat="1"/>
    <row r="8514" s="333" customFormat="1"/>
    <row r="8515" s="333" customFormat="1"/>
    <row r="8516" s="333" customFormat="1"/>
    <row r="8517" s="333" customFormat="1"/>
    <row r="8518" s="333" customFormat="1"/>
    <row r="8519" s="333" customFormat="1"/>
    <row r="8520" s="333" customFormat="1"/>
    <row r="8521" s="333" customFormat="1"/>
    <row r="8522" s="333" customFormat="1"/>
    <row r="8523" s="333" customFormat="1"/>
    <row r="8524" s="333" customFormat="1"/>
    <row r="8525" s="333" customFormat="1"/>
    <row r="8526" s="333" customFormat="1"/>
    <row r="8527" s="333" customFormat="1"/>
    <row r="8528" s="333" customFormat="1"/>
    <row r="8529" s="333" customFormat="1"/>
    <row r="8530" s="333" customFormat="1"/>
    <row r="8531" s="333" customFormat="1"/>
    <row r="8532" s="333" customFormat="1"/>
    <row r="8533" s="333" customFormat="1"/>
    <row r="8534" s="333" customFormat="1"/>
    <row r="8535" s="333" customFormat="1"/>
    <row r="8536" s="333" customFormat="1"/>
    <row r="8537" s="333" customFormat="1"/>
    <row r="8538" s="333" customFormat="1"/>
    <row r="8539" s="333" customFormat="1"/>
    <row r="8540" s="333" customFormat="1"/>
    <row r="8541" s="333" customFormat="1"/>
    <row r="8542" s="333" customFormat="1"/>
    <row r="8543" s="333" customFormat="1"/>
    <row r="8544" s="333" customFormat="1"/>
    <row r="8545" s="333" customFormat="1"/>
    <row r="8546" s="333" customFormat="1"/>
    <row r="8547" s="333" customFormat="1"/>
    <row r="8548" s="333" customFormat="1"/>
    <row r="8549" s="333" customFormat="1"/>
    <row r="8550" s="333" customFormat="1"/>
    <row r="8551" s="333" customFormat="1"/>
    <row r="8552" s="333" customFormat="1"/>
    <row r="8553" s="333" customFormat="1"/>
    <row r="8554" s="333" customFormat="1"/>
    <row r="8555" s="333" customFormat="1"/>
    <row r="8556" s="333" customFormat="1"/>
    <row r="8557" s="333" customFormat="1"/>
    <row r="8558" s="333" customFormat="1"/>
    <row r="8559" s="333" customFormat="1"/>
    <row r="8560" s="333" customFormat="1"/>
    <row r="8561" s="333" customFormat="1"/>
    <row r="8562" s="333" customFormat="1"/>
    <row r="8563" s="333" customFormat="1"/>
    <row r="8564" s="333" customFormat="1"/>
    <row r="8565" s="333" customFormat="1"/>
    <row r="8566" s="333" customFormat="1"/>
    <row r="8567" s="333" customFormat="1"/>
    <row r="8568" s="333" customFormat="1"/>
    <row r="8569" s="333" customFormat="1"/>
    <row r="8570" s="333" customFormat="1"/>
    <row r="8571" s="333" customFormat="1"/>
    <row r="8572" s="333" customFormat="1"/>
    <row r="8573" s="333" customFormat="1"/>
    <row r="8574" s="333" customFormat="1"/>
    <row r="8575" s="333" customFormat="1"/>
    <row r="8576" s="333" customFormat="1"/>
    <row r="8577" s="333" customFormat="1"/>
    <row r="8578" s="333" customFormat="1"/>
    <row r="8579" s="333" customFormat="1"/>
    <row r="8580" s="333" customFormat="1"/>
    <row r="8581" s="333" customFormat="1"/>
    <row r="8582" s="333" customFormat="1"/>
    <row r="8583" s="333" customFormat="1"/>
    <row r="8584" s="333" customFormat="1"/>
    <row r="8585" s="333" customFormat="1"/>
    <row r="8586" s="333" customFormat="1"/>
    <row r="8587" s="333" customFormat="1"/>
    <row r="8588" s="333" customFormat="1"/>
    <row r="8589" s="333" customFormat="1"/>
    <row r="8590" s="333" customFormat="1"/>
    <row r="8591" s="333" customFormat="1"/>
    <row r="8592" s="333" customFormat="1"/>
    <row r="8593" s="333" customFormat="1"/>
    <row r="8594" s="333" customFormat="1"/>
    <row r="8595" s="333" customFormat="1"/>
    <row r="8596" s="333" customFormat="1"/>
    <row r="8597" s="333" customFormat="1"/>
    <row r="8598" s="333" customFormat="1"/>
    <row r="8599" s="333" customFormat="1"/>
    <row r="8600" s="333" customFormat="1"/>
    <row r="8601" s="333" customFormat="1"/>
    <row r="8602" s="333" customFormat="1"/>
    <row r="8603" s="333" customFormat="1"/>
    <row r="8604" s="333" customFormat="1"/>
    <row r="8605" s="333" customFormat="1"/>
    <row r="8606" s="333" customFormat="1"/>
    <row r="8607" s="333" customFormat="1"/>
    <row r="8608" s="333" customFormat="1"/>
    <row r="8609" s="333" customFormat="1"/>
    <row r="8610" s="333" customFormat="1"/>
    <row r="8611" s="333" customFormat="1"/>
    <row r="8612" s="333" customFormat="1"/>
    <row r="8613" s="333" customFormat="1"/>
    <row r="8614" s="333" customFormat="1"/>
    <row r="8615" s="333" customFormat="1"/>
    <row r="8616" s="333" customFormat="1"/>
    <row r="8617" s="333" customFormat="1"/>
    <row r="8618" s="333" customFormat="1"/>
    <row r="8619" s="333" customFormat="1"/>
    <row r="8620" s="333" customFormat="1"/>
    <row r="8621" s="333" customFormat="1"/>
    <row r="8622" s="333" customFormat="1"/>
    <row r="8623" s="333" customFormat="1"/>
    <row r="8624" s="333" customFormat="1"/>
    <row r="8625" s="333" customFormat="1"/>
    <row r="8626" s="333" customFormat="1"/>
    <row r="8627" s="333" customFormat="1"/>
    <row r="8628" s="333" customFormat="1"/>
    <row r="8629" s="333" customFormat="1"/>
    <row r="8630" s="333" customFormat="1"/>
    <row r="8631" s="333" customFormat="1"/>
    <row r="8632" s="333" customFormat="1"/>
    <row r="8633" s="333" customFormat="1"/>
    <row r="8634" s="333" customFormat="1"/>
    <row r="8635" s="333" customFormat="1"/>
    <row r="8636" s="333" customFormat="1"/>
    <row r="8637" s="333" customFormat="1"/>
    <row r="8638" s="333" customFormat="1"/>
    <row r="8639" s="333" customFormat="1"/>
    <row r="8640" s="333" customFormat="1"/>
    <row r="8641" s="333" customFormat="1"/>
    <row r="8642" s="333" customFormat="1"/>
    <row r="8643" s="333" customFormat="1"/>
    <row r="8644" s="333" customFormat="1"/>
    <row r="8645" s="333" customFormat="1"/>
    <row r="8646" s="333" customFormat="1"/>
    <row r="8647" s="333" customFormat="1"/>
    <row r="8648" s="333" customFormat="1"/>
    <row r="8649" s="333" customFormat="1"/>
    <row r="8650" s="333" customFormat="1"/>
    <row r="8651" s="333" customFormat="1"/>
    <row r="8652" s="333" customFormat="1"/>
    <row r="8653" s="333" customFormat="1"/>
    <row r="8654" s="333" customFormat="1"/>
    <row r="8655" s="333" customFormat="1"/>
    <row r="8656" s="333" customFormat="1"/>
    <row r="8657" s="333" customFormat="1"/>
    <row r="8658" s="333" customFormat="1"/>
    <row r="8659" s="333" customFormat="1"/>
    <row r="8660" s="333" customFormat="1"/>
    <row r="8661" s="333" customFormat="1"/>
    <row r="8662" s="333" customFormat="1"/>
    <row r="8663" s="333" customFormat="1"/>
    <row r="8664" s="333" customFormat="1"/>
    <row r="8665" s="333" customFormat="1"/>
    <row r="8666" s="333" customFormat="1"/>
    <row r="8667" s="333" customFormat="1"/>
    <row r="8668" s="333" customFormat="1"/>
    <row r="8669" s="333" customFormat="1"/>
    <row r="8670" s="333" customFormat="1"/>
    <row r="8671" s="333" customFormat="1"/>
    <row r="8672" s="333" customFormat="1"/>
    <row r="8673" s="333" customFormat="1"/>
    <row r="8674" s="333" customFormat="1"/>
    <row r="8675" s="333" customFormat="1"/>
    <row r="8676" s="333" customFormat="1"/>
    <row r="8677" s="333" customFormat="1"/>
    <row r="8678" s="333" customFormat="1"/>
    <row r="8679" s="333" customFormat="1"/>
    <row r="8680" s="333" customFormat="1"/>
    <row r="8681" s="333" customFormat="1"/>
    <row r="8682" s="333" customFormat="1"/>
    <row r="8683" s="333" customFormat="1"/>
    <row r="8684" s="333" customFormat="1"/>
    <row r="8685" s="333" customFormat="1"/>
    <row r="8686" s="333" customFormat="1"/>
    <row r="8687" s="333" customFormat="1"/>
    <row r="8688" s="333" customFormat="1"/>
    <row r="8689" s="333" customFormat="1"/>
    <row r="8690" s="333" customFormat="1"/>
    <row r="8691" s="333" customFormat="1"/>
    <row r="8692" s="333" customFormat="1"/>
    <row r="8693" s="333" customFormat="1"/>
    <row r="8694" s="333" customFormat="1"/>
    <row r="8695" s="333" customFormat="1"/>
    <row r="8696" s="333" customFormat="1"/>
    <row r="8697" s="333" customFormat="1"/>
    <row r="8698" s="333" customFormat="1"/>
    <row r="8699" s="333" customFormat="1"/>
    <row r="8700" s="333" customFormat="1"/>
    <row r="8701" s="333" customFormat="1"/>
    <row r="8702" s="333" customFormat="1"/>
    <row r="8703" s="333" customFormat="1"/>
    <row r="8704" s="333" customFormat="1"/>
    <row r="8705" s="333" customFormat="1"/>
    <row r="8706" s="333" customFormat="1"/>
    <row r="8707" s="333" customFormat="1"/>
    <row r="8708" s="333" customFormat="1"/>
    <row r="8709" s="333" customFormat="1"/>
    <row r="8710" s="333" customFormat="1"/>
    <row r="8711" s="333" customFormat="1"/>
    <row r="8712" s="333" customFormat="1"/>
    <row r="8713" s="333" customFormat="1"/>
    <row r="8714" s="333" customFormat="1"/>
    <row r="8715" s="333" customFormat="1"/>
    <row r="8716" s="333" customFormat="1"/>
    <row r="8717" s="333" customFormat="1"/>
    <row r="8718" s="333" customFormat="1"/>
    <row r="8719" s="333" customFormat="1"/>
    <row r="8720" s="333" customFormat="1"/>
    <row r="8721" s="333" customFormat="1"/>
    <row r="8722" s="333" customFormat="1"/>
    <row r="8723" s="333" customFormat="1"/>
    <row r="8724" s="333" customFormat="1"/>
    <row r="8725" s="333" customFormat="1"/>
    <row r="8726" s="333" customFormat="1"/>
    <row r="8727" s="333" customFormat="1"/>
    <row r="8728" s="333" customFormat="1"/>
    <row r="8729" s="333" customFormat="1"/>
    <row r="8730" s="333" customFormat="1"/>
    <row r="8731" s="333" customFormat="1"/>
    <row r="8732" s="333" customFormat="1"/>
    <row r="8733" s="333" customFormat="1"/>
    <row r="8734" s="333" customFormat="1"/>
    <row r="8735" s="333" customFormat="1"/>
    <row r="8736" s="333" customFormat="1"/>
    <row r="8737" s="333" customFormat="1"/>
    <row r="8738" s="333" customFormat="1"/>
    <row r="8739" s="333" customFormat="1"/>
    <row r="8740" s="333" customFormat="1"/>
    <row r="8741" s="333" customFormat="1"/>
    <row r="8742" s="333" customFormat="1"/>
    <row r="8743" s="333" customFormat="1"/>
    <row r="8744" s="333" customFormat="1"/>
    <row r="8745" s="333" customFormat="1"/>
    <row r="8746" s="333" customFormat="1"/>
    <row r="8747" s="333" customFormat="1"/>
    <row r="8748" s="333" customFormat="1"/>
    <row r="8749" s="333" customFormat="1"/>
    <row r="8750" s="333" customFormat="1"/>
    <row r="8751" s="333" customFormat="1"/>
    <row r="8752" s="333" customFormat="1"/>
    <row r="8753" s="333" customFormat="1"/>
    <row r="8754" s="333" customFormat="1"/>
    <row r="8755" s="333" customFormat="1"/>
    <row r="8756" s="333" customFormat="1"/>
    <row r="8757" s="333" customFormat="1"/>
    <row r="8758" s="333" customFormat="1"/>
    <row r="8759" s="333" customFormat="1"/>
    <row r="8760" s="333" customFormat="1"/>
    <row r="8761" s="333" customFormat="1"/>
    <row r="8762" s="333" customFormat="1"/>
    <row r="8763" s="333" customFormat="1"/>
    <row r="8764" s="333" customFormat="1"/>
    <row r="8765" s="333" customFormat="1"/>
    <row r="8766" s="333" customFormat="1"/>
    <row r="8767" s="333" customFormat="1"/>
    <row r="8768" s="333" customFormat="1"/>
    <row r="8769" s="333" customFormat="1"/>
    <row r="8770" s="333" customFormat="1"/>
    <row r="8771" s="333" customFormat="1"/>
    <row r="8772" s="333" customFormat="1"/>
    <row r="8773" s="333" customFormat="1"/>
    <row r="8774" s="333" customFormat="1"/>
    <row r="8775" s="333" customFormat="1"/>
    <row r="8776" s="333" customFormat="1"/>
    <row r="8777" s="333" customFormat="1"/>
    <row r="8778" s="333" customFormat="1"/>
    <row r="8779" s="333" customFormat="1"/>
    <row r="8780" s="333" customFormat="1"/>
    <row r="8781" s="333" customFormat="1"/>
    <row r="8782" s="333" customFormat="1"/>
    <row r="8783" s="333" customFormat="1"/>
    <row r="8784" s="333" customFormat="1"/>
    <row r="8785" s="333" customFormat="1"/>
    <row r="8786" s="333" customFormat="1"/>
    <row r="8787" s="333" customFormat="1"/>
    <row r="8788" s="333" customFormat="1"/>
    <row r="8789" s="333" customFormat="1"/>
    <row r="8790" s="333" customFormat="1"/>
    <row r="8791" s="333" customFormat="1"/>
    <row r="8792" s="333" customFormat="1"/>
    <row r="8793" s="333" customFormat="1"/>
    <row r="8794" s="333" customFormat="1"/>
    <row r="8795" s="333" customFormat="1"/>
    <row r="8796" s="333" customFormat="1"/>
    <row r="8797" s="333" customFormat="1"/>
    <row r="8798" s="333" customFormat="1"/>
    <row r="8799" s="333" customFormat="1"/>
    <row r="8800" s="333" customFormat="1"/>
    <row r="8801" s="333" customFormat="1"/>
    <row r="8802" s="333" customFormat="1"/>
    <row r="8803" s="333" customFormat="1"/>
    <row r="8804" s="333" customFormat="1"/>
    <row r="8805" s="333" customFormat="1"/>
    <row r="8806" s="333" customFormat="1"/>
    <row r="8807" s="333" customFormat="1"/>
    <row r="8808" s="333" customFormat="1"/>
    <row r="8809" s="333" customFormat="1"/>
    <row r="8810" s="333" customFormat="1"/>
    <row r="8811" s="333" customFormat="1"/>
    <row r="8812" s="333" customFormat="1"/>
    <row r="8813" s="333" customFormat="1"/>
    <row r="8814" s="333" customFormat="1"/>
    <row r="8815" s="333" customFormat="1"/>
    <row r="8816" s="333" customFormat="1"/>
    <row r="8817" s="333" customFormat="1"/>
    <row r="8818" s="333" customFormat="1"/>
    <row r="8819" s="333" customFormat="1"/>
    <row r="8820" s="333" customFormat="1"/>
    <row r="8821" s="333" customFormat="1"/>
    <row r="8822" s="333" customFormat="1"/>
    <row r="8823" s="333" customFormat="1"/>
    <row r="8824" s="333" customFormat="1"/>
    <row r="8825" s="333" customFormat="1"/>
    <row r="8826" s="333" customFormat="1"/>
    <row r="8827" s="333" customFormat="1"/>
    <row r="8828" s="333" customFormat="1"/>
    <row r="8829" s="333" customFormat="1"/>
    <row r="8830" s="333" customFormat="1"/>
    <row r="8831" s="333" customFormat="1"/>
    <row r="8832" s="333" customFormat="1"/>
    <row r="8833" s="333" customFormat="1"/>
    <row r="8834" s="333" customFormat="1"/>
    <row r="8835" s="333" customFormat="1"/>
    <row r="8836" s="333" customFormat="1"/>
    <row r="8837" s="333" customFormat="1"/>
    <row r="8838" s="333" customFormat="1"/>
    <row r="8839" s="333" customFormat="1"/>
    <row r="8840" s="333" customFormat="1"/>
    <row r="8841" s="333" customFormat="1"/>
    <row r="8842" s="333" customFormat="1"/>
    <row r="8843" s="333" customFormat="1"/>
    <row r="8844" s="333" customFormat="1"/>
    <row r="8845" s="333" customFormat="1"/>
    <row r="8846" s="333" customFormat="1"/>
    <row r="8847" s="333" customFormat="1"/>
    <row r="8848" s="333" customFormat="1"/>
    <row r="8849" s="333" customFormat="1"/>
    <row r="8850" s="333" customFormat="1"/>
    <row r="8851" s="333" customFormat="1"/>
    <row r="8852" s="333" customFormat="1"/>
    <row r="8853" s="333" customFormat="1"/>
    <row r="8854" s="333" customFormat="1"/>
    <row r="8855" s="333" customFormat="1"/>
    <row r="8856" s="333" customFormat="1"/>
    <row r="8857" s="333" customFormat="1"/>
    <row r="8858" s="333" customFormat="1"/>
    <row r="8859" s="333" customFormat="1"/>
    <row r="8860" s="333" customFormat="1"/>
    <row r="8861" s="333" customFormat="1"/>
    <row r="8862" s="333" customFormat="1"/>
    <row r="8863" s="333" customFormat="1"/>
    <row r="8864" s="333" customFormat="1"/>
    <row r="8865" s="333" customFormat="1"/>
    <row r="8866" s="333" customFormat="1"/>
    <row r="8867" s="333" customFormat="1"/>
    <row r="8868" s="333" customFormat="1"/>
    <row r="8869" s="333" customFormat="1"/>
    <row r="8870" s="333" customFormat="1"/>
    <row r="8871" s="333" customFormat="1"/>
    <row r="8872" s="333" customFormat="1"/>
    <row r="8873" s="333" customFormat="1"/>
    <row r="8874" s="333" customFormat="1"/>
    <row r="8875" s="333" customFormat="1"/>
    <row r="8876" s="333" customFormat="1"/>
    <row r="8877" s="333" customFormat="1"/>
    <row r="8878" s="333" customFormat="1"/>
    <row r="8879" s="333" customFormat="1"/>
    <row r="8880" s="333" customFormat="1"/>
    <row r="8881" s="333" customFormat="1"/>
    <row r="8882" s="333" customFormat="1"/>
    <row r="8883" s="333" customFormat="1"/>
    <row r="8884" s="333" customFormat="1"/>
    <row r="8885" s="333" customFormat="1"/>
    <row r="8886" s="333" customFormat="1"/>
    <row r="8887" s="333" customFormat="1"/>
    <row r="8888" s="333" customFormat="1"/>
    <row r="8889" s="333" customFormat="1"/>
    <row r="8890" s="333" customFormat="1"/>
    <row r="8891" s="333" customFormat="1"/>
    <row r="8892" s="333" customFormat="1"/>
    <row r="8893" s="333" customFormat="1"/>
    <row r="8894" s="333" customFormat="1"/>
    <row r="8895" s="333" customFormat="1"/>
    <row r="8896" s="333" customFormat="1"/>
    <row r="8897" s="333" customFormat="1"/>
    <row r="8898" s="333" customFormat="1"/>
    <row r="8899" s="333" customFormat="1"/>
    <row r="8900" s="333" customFormat="1"/>
    <row r="8901" s="333" customFormat="1"/>
    <row r="8902" s="333" customFormat="1"/>
    <row r="8903" s="333" customFormat="1"/>
    <row r="8904" s="333" customFormat="1"/>
    <row r="8905" s="333" customFormat="1"/>
    <row r="8906" s="333" customFormat="1"/>
    <row r="8907" s="333" customFormat="1"/>
    <row r="8908" s="333" customFormat="1"/>
    <row r="8909" s="333" customFormat="1"/>
    <row r="8910" s="333" customFormat="1"/>
    <row r="8911" s="333" customFormat="1"/>
    <row r="8912" s="333" customFormat="1"/>
    <row r="8913" s="333" customFormat="1"/>
    <row r="8914" s="333" customFormat="1"/>
    <row r="8915" s="333" customFormat="1"/>
    <row r="8916" s="333" customFormat="1"/>
    <row r="8917" s="333" customFormat="1"/>
    <row r="8918" s="333" customFormat="1"/>
    <row r="8919" s="333" customFormat="1"/>
    <row r="8920" s="333" customFormat="1"/>
    <row r="8921" s="333" customFormat="1"/>
    <row r="8922" s="333" customFormat="1"/>
    <row r="8923" s="333" customFormat="1"/>
    <row r="8924" s="333" customFormat="1"/>
    <row r="8925" s="333" customFormat="1"/>
    <row r="8926" s="333" customFormat="1"/>
    <row r="8927" s="333" customFormat="1"/>
    <row r="8928" s="333" customFormat="1"/>
    <row r="8929" s="333" customFormat="1"/>
    <row r="8930" s="333" customFormat="1"/>
    <row r="8931" s="333" customFormat="1"/>
    <row r="8932" s="333" customFormat="1"/>
    <row r="8933" s="333" customFormat="1"/>
    <row r="8934" s="333" customFormat="1"/>
    <row r="8935" s="333" customFormat="1"/>
    <row r="8936" s="333" customFormat="1"/>
    <row r="8937" s="333" customFormat="1"/>
    <row r="8938" s="333" customFormat="1"/>
    <row r="8939" s="333" customFormat="1"/>
    <row r="8940" s="333" customFormat="1"/>
    <row r="8941" s="333" customFormat="1"/>
    <row r="8942" s="333" customFormat="1"/>
    <row r="8943" s="333" customFormat="1"/>
    <row r="8944" s="333" customFormat="1"/>
    <row r="8945" s="333" customFormat="1"/>
    <row r="8946" s="333" customFormat="1"/>
    <row r="8947" s="333" customFormat="1"/>
    <row r="8948" s="333" customFormat="1"/>
    <row r="8949" s="333" customFormat="1"/>
    <row r="8950" s="333" customFormat="1"/>
    <row r="8951" s="333" customFormat="1"/>
    <row r="8952" s="333" customFormat="1"/>
    <row r="8953" s="333" customFormat="1"/>
    <row r="8954" s="333" customFormat="1"/>
    <row r="8955" s="333" customFormat="1"/>
    <row r="8956" s="333" customFormat="1"/>
    <row r="8957" s="333" customFormat="1"/>
    <row r="8958" s="333" customFormat="1"/>
    <row r="8959" s="333" customFormat="1"/>
    <row r="8960" s="333" customFormat="1"/>
    <row r="8961" s="333" customFormat="1"/>
    <row r="8962" s="333" customFormat="1"/>
    <row r="8963" s="333" customFormat="1"/>
    <row r="8964" s="333" customFormat="1"/>
    <row r="8965" s="333" customFormat="1"/>
    <row r="8966" s="333" customFormat="1"/>
    <row r="8967" s="333" customFormat="1"/>
    <row r="8968" s="333" customFormat="1"/>
    <row r="8969" s="333" customFormat="1"/>
    <row r="8970" s="333" customFormat="1"/>
    <row r="8971" s="333" customFormat="1"/>
    <row r="8972" s="333" customFormat="1"/>
    <row r="8973" s="333" customFormat="1"/>
    <row r="8974" s="333" customFormat="1"/>
    <row r="8975" s="333" customFormat="1"/>
    <row r="8976" s="333" customFormat="1"/>
    <row r="8977" s="333" customFormat="1"/>
    <row r="8978" s="333" customFormat="1"/>
    <row r="8979" s="333" customFormat="1"/>
    <row r="8980" s="333" customFormat="1"/>
    <row r="8981" s="333" customFormat="1"/>
    <row r="8982" s="333" customFormat="1"/>
    <row r="8983" s="333" customFormat="1"/>
    <row r="8984" s="333" customFormat="1"/>
    <row r="8985" s="333" customFormat="1"/>
    <row r="8986" s="333" customFormat="1"/>
    <row r="8987" s="333" customFormat="1"/>
    <row r="8988" s="333" customFormat="1"/>
    <row r="8989" s="333" customFormat="1"/>
    <row r="8990" s="333" customFormat="1"/>
    <row r="8991" s="333" customFormat="1"/>
    <row r="8992" s="333" customFormat="1"/>
    <row r="8993" s="333" customFormat="1"/>
    <row r="8994" s="333" customFormat="1"/>
    <row r="8995" s="333" customFormat="1"/>
    <row r="8996" s="333" customFormat="1"/>
    <row r="8997" s="333" customFormat="1"/>
    <row r="8998" s="333" customFormat="1"/>
    <row r="8999" s="333" customFormat="1"/>
    <row r="9000" s="333" customFormat="1"/>
    <row r="9001" s="333" customFormat="1"/>
    <row r="9002" s="333" customFormat="1"/>
    <row r="9003" s="333" customFormat="1"/>
    <row r="9004" s="333" customFormat="1"/>
    <row r="9005" s="333" customFormat="1"/>
    <row r="9006" s="333" customFormat="1"/>
    <row r="9007" s="333" customFormat="1"/>
    <row r="9008" s="333" customFormat="1"/>
    <row r="9009" s="333" customFormat="1"/>
    <row r="9010" s="333" customFormat="1"/>
    <row r="9011" s="333" customFormat="1"/>
    <row r="9012" s="333" customFormat="1"/>
    <row r="9013" s="333" customFormat="1"/>
    <row r="9014" s="333" customFormat="1"/>
    <row r="9015" s="333" customFormat="1"/>
    <row r="9016" s="333" customFormat="1"/>
    <row r="9017" s="333" customFormat="1"/>
    <row r="9018" s="333" customFormat="1"/>
    <row r="9019" s="333" customFormat="1"/>
    <row r="9020" s="333" customFormat="1"/>
    <row r="9021" s="333" customFormat="1"/>
    <row r="9022" s="333" customFormat="1"/>
    <row r="9023" s="333" customFormat="1"/>
    <row r="9024" s="333" customFormat="1"/>
    <row r="9025" s="333" customFormat="1"/>
    <row r="9026" s="333" customFormat="1"/>
    <row r="9027" s="333" customFormat="1"/>
    <row r="9028" s="333" customFormat="1"/>
    <row r="9029" s="333" customFormat="1"/>
    <row r="9030" s="333" customFormat="1"/>
    <row r="9031" s="333" customFormat="1"/>
    <row r="9032" s="333" customFormat="1"/>
    <row r="9033" s="333" customFormat="1"/>
    <row r="9034" s="333" customFormat="1"/>
    <row r="9035" s="333" customFormat="1"/>
    <row r="9036" s="333" customFormat="1"/>
    <row r="9037" s="333" customFormat="1"/>
    <row r="9038" s="333" customFormat="1"/>
    <row r="9039" s="333" customFormat="1"/>
    <row r="9040" s="333" customFormat="1"/>
    <row r="9041" s="333" customFormat="1"/>
    <row r="9042" s="333" customFormat="1"/>
    <row r="9043" s="333" customFormat="1"/>
    <row r="9044" s="333" customFormat="1"/>
    <row r="9045" s="333" customFormat="1"/>
    <row r="9046" s="333" customFormat="1"/>
    <row r="9047" s="333" customFormat="1"/>
    <row r="9048" s="333" customFormat="1"/>
    <row r="9049" s="333" customFormat="1"/>
    <row r="9050" s="333" customFormat="1"/>
    <row r="9051" s="333" customFormat="1"/>
    <row r="9052" s="333" customFormat="1"/>
    <row r="9053" s="333" customFormat="1"/>
    <row r="9054" s="333" customFormat="1"/>
    <row r="9055" s="333" customFormat="1"/>
    <row r="9056" s="333" customFormat="1"/>
    <row r="9057" s="333" customFormat="1"/>
    <row r="9058" s="333" customFormat="1"/>
    <row r="9059" s="333" customFormat="1"/>
    <row r="9060" s="333" customFormat="1"/>
    <row r="9061" s="333" customFormat="1"/>
    <row r="9062" s="333" customFormat="1"/>
    <row r="9063" s="333" customFormat="1"/>
    <row r="9064" s="333" customFormat="1"/>
    <row r="9065" s="333" customFormat="1"/>
    <row r="9066" s="333" customFormat="1"/>
    <row r="9067" s="333" customFormat="1"/>
    <row r="9068" s="333" customFormat="1"/>
    <row r="9069" s="333" customFormat="1"/>
    <row r="9070" s="333" customFormat="1"/>
    <row r="9071" s="333" customFormat="1"/>
    <row r="9072" s="333" customFormat="1"/>
    <row r="9073" s="333" customFormat="1"/>
    <row r="9074" s="333" customFormat="1"/>
    <row r="9075" s="333" customFormat="1"/>
    <row r="9076" s="333" customFormat="1"/>
    <row r="9077" s="333" customFormat="1"/>
    <row r="9078" s="333" customFormat="1"/>
    <row r="9079" s="333" customFormat="1"/>
    <row r="9080" s="333" customFormat="1"/>
    <row r="9081" s="333" customFormat="1"/>
    <row r="9082" s="333" customFormat="1"/>
    <row r="9083" s="333" customFormat="1"/>
    <row r="9084" s="333" customFormat="1"/>
    <row r="9085" s="333" customFormat="1"/>
    <row r="9086" s="333" customFormat="1"/>
    <row r="9087" s="333" customFormat="1"/>
    <row r="9088" s="333" customFormat="1"/>
    <row r="9089" s="333" customFormat="1"/>
    <row r="9090" s="333" customFormat="1"/>
    <row r="9091" s="333" customFormat="1"/>
    <row r="9092" s="333" customFormat="1"/>
    <row r="9093" s="333" customFormat="1"/>
    <row r="9094" s="333" customFormat="1"/>
    <row r="9095" s="333" customFormat="1"/>
    <row r="9096" s="333" customFormat="1"/>
    <row r="9097" s="333" customFormat="1"/>
    <row r="9098" s="333" customFormat="1"/>
    <row r="9099" s="333" customFormat="1"/>
    <row r="9100" s="333" customFormat="1"/>
    <row r="9101" s="333" customFormat="1"/>
    <row r="9102" s="333" customFormat="1"/>
    <row r="9103" s="333" customFormat="1"/>
    <row r="9104" s="333" customFormat="1"/>
    <row r="9105" s="333" customFormat="1"/>
    <row r="9106" s="333" customFormat="1"/>
    <row r="9107" s="333" customFormat="1"/>
    <row r="9108" s="333" customFormat="1"/>
    <row r="9109" s="333" customFormat="1"/>
    <row r="9110" s="333" customFormat="1"/>
    <row r="9111" s="333" customFormat="1"/>
    <row r="9112" s="333" customFormat="1"/>
    <row r="9113" s="333" customFormat="1"/>
    <row r="9114" s="333" customFormat="1"/>
    <row r="9115" s="333" customFormat="1"/>
    <row r="9116" s="333" customFormat="1"/>
    <row r="9117" s="333" customFormat="1"/>
    <row r="9118" s="333" customFormat="1"/>
    <row r="9119" s="333" customFormat="1"/>
    <row r="9120" s="333" customFormat="1"/>
    <row r="9121" s="333" customFormat="1"/>
    <row r="9122" s="333" customFormat="1"/>
    <row r="9123" s="333" customFormat="1"/>
    <row r="9124" s="333" customFormat="1"/>
    <row r="9125" s="333" customFormat="1"/>
    <row r="9126" s="333" customFormat="1"/>
    <row r="9127" s="333" customFormat="1"/>
    <row r="9128" s="333" customFormat="1"/>
    <row r="9129" s="333" customFormat="1"/>
    <row r="9130" s="333" customFormat="1"/>
    <row r="9131" s="333" customFormat="1"/>
    <row r="9132" s="333" customFormat="1"/>
    <row r="9133" s="333" customFormat="1"/>
    <row r="9134" s="333" customFormat="1"/>
    <row r="9135" s="333" customFormat="1"/>
    <row r="9136" s="333" customFormat="1"/>
    <row r="9137" s="333" customFormat="1"/>
    <row r="9138" s="333" customFormat="1"/>
    <row r="9139" s="333" customFormat="1"/>
    <row r="9140" s="333" customFormat="1"/>
    <row r="9141" s="333" customFormat="1"/>
    <row r="9142" s="333" customFormat="1"/>
    <row r="9143" s="333" customFormat="1"/>
    <row r="9144" s="333" customFormat="1"/>
    <row r="9145" s="333" customFormat="1"/>
    <row r="9146" s="333" customFormat="1"/>
    <row r="9147" s="333" customFormat="1"/>
    <row r="9148" s="333" customFormat="1"/>
    <row r="9149" s="333" customFormat="1"/>
    <row r="9150" s="333" customFormat="1"/>
    <row r="9151" s="333" customFormat="1"/>
    <row r="9152" s="333" customFormat="1"/>
    <row r="9153" s="333" customFormat="1"/>
    <row r="9154" s="333" customFormat="1"/>
    <row r="9155" s="333" customFormat="1"/>
    <row r="9156" s="333" customFormat="1"/>
    <row r="9157" s="333" customFormat="1"/>
    <row r="9158" s="333" customFormat="1"/>
    <row r="9159" s="333" customFormat="1"/>
    <row r="9160" s="333" customFormat="1"/>
    <row r="9161" s="333" customFormat="1"/>
    <row r="9162" s="333" customFormat="1"/>
    <row r="9163" s="333" customFormat="1"/>
    <row r="9164" s="333" customFormat="1"/>
    <row r="9165" s="333" customFormat="1"/>
    <row r="9166" s="333" customFormat="1"/>
    <row r="9167" s="333" customFormat="1"/>
    <row r="9168" s="333" customFormat="1"/>
    <row r="9169" s="333" customFormat="1"/>
    <row r="9170" s="333" customFormat="1"/>
    <row r="9171" s="333" customFormat="1"/>
    <row r="9172" s="333" customFormat="1"/>
    <row r="9173" s="333" customFormat="1"/>
    <row r="9174" s="333" customFormat="1"/>
    <row r="9175" s="333" customFormat="1"/>
    <row r="9176" s="333" customFormat="1"/>
    <row r="9177" s="333" customFormat="1"/>
    <row r="9178" s="333" customFormat="1"/>
    <row r="9179" s="333" customFormat="1"/>
    <row r="9180" s="333" customFormat="1"/>
    <row r="9181" s="333" customFormat="1"/>
    <row r="9182" s="333" customFormat="1"/>
    <row r="9183" s="333" customFormat="1"/>
    <row r="9184" s="333" customFormat="1"/>
    <row r="9185" s="333" customFormat="1"/>
    <row r="9186" s="333" customFormat="1"/>
    <row r="9187" s="333" customFormat="1"/>
    <row r="9188" s="333" customFormat="1"/>
    <row r="9189" s="333" customFormat="1"/>
    <row r="9190" s="333" customFormat="1"/>
    <row r="9191" s="333" customFormat="1"/>
    <row r="9192" s="333" customFormat="1"/>
    <row r="9193" s="333" customFormat="1"/>
    <row r="9194" s="333" customFormat="1"/>
    <row r="9195" s="333" customFormat="1"/>
    <row r="9196" s="333" customFormat="1"/>
    <row r="9197" s="333" customFormat="1"/>
    <row r="9198" s="333" customFormat="1"/>
    <row r="9199" s="333" customFormat="1"/>
    <row r="9200" s="333" customFormat="1"/>
    <row r="9201" s="333" customFormat="1"/>
    <row r="9202" s="333" customFormat="1"/>
    <row r="9203" s="333" customFormat="1"/>
    <row r="9204" s="333" customFormat="1"/>
    <row r="9205" s="333" customFormat="1"/>
    <row r="9206" s="333" customFormat="1"/>
    <row r="9207" s="333" customFormat="1"/>
    <row r="9208" s="333" customFormat="1"/>
    <row r="9209" s="333" customFormat="1"/>
    <row r="9210" s="333" customFormat="1"/>
    <row r="9211" s="333" customFormat="1"/>
    <row r="9212" s="333" customFormat="1"/>
    <row r="9213" s="333" customFormat="1"/>
    <row r="9214" s="333" customFormat="1"/>
    <row r="9215" s="333" customFormat="1"/>
    <row r="9216" s="333" customFormat="1"/>
    <row r="9217" s="333" customFormat="1"/>
    <row r="9218" s="333" customFormat="1"/>
    <row r="9219" s="333" customFormat="1"/>
    <row r="9220" s="333" customFormat="1"/>
    <row r="9221" s="333" customFormat="1"/>
    <row r="9222" s="333" customFormat="1"/>
    <row r="9223" s="333" customFormat="1"/>
    <row r="9224" s="333" customFormat="1"/>
    <row r="9225" s="333" customFormat="1"/>
    <row r="9226" s="333" customFormat="1"/>
    <row r="9227" s="333" customFormat="1"/>
    <row r="9228" s="333" customFormat="1"/>
    <row r="9229" s="333" customFormat="1"/>
    <row r="9230" s="333" customFormat="1"/>
    <row r="9231" s="333" customFormat="1"/>
    <row r="9232" s="333" customFormat="1"/>
    <row r="9233" s="333" customFormat="1"/>
    <row r="9234" s="333" customFormat="1"/>
    <row r="9235" s="333" customFormat="1"/>
    <row r="9236" s="333" customFormat="1"/>
    <row r="9237" s="333" customFormat="1"/>
    <row r="9238" s="333" customFormat="1"/>
    <row r="9239" s="333" customFormat="1"/>
    <row r="9240" s="333" customFormat="1"/>
    <row r="9241" s="333" customFormat="1"/>
    <row r="9242" s="333" customFormat="1"/>
    <row r="9243" s="333" customFormat="1"/>
    <row r="9244" s="333" customFormat="1"/>
    <row r="9245" s="333" customFormat="1"/>
    <row r="9246" s="333" customFormat="1"/>
    <row r="9247" s="333" customFormat="1"/>
    <row r="9248" s="333" customFormat="1"/>
    <row r="9249" s="333" customFormat="1"/>
    <row r="9250" s="333" customFormat="1"/>
    <row r="9251" s="333" customFormat="1"/>
    <row r="9252" s="333" customFormat="1"/>
    <row r="9253" s="333" customFormat="1"/>
    <row r="9254" s="333" customFormat="1"/>
    <row r="9255" s="333" customFormat="1"/>
    <row r="9256" s="333" customFormat="1"/>
    <row r="9257" s="333" customFormat="1"/>
    <row r="9258" s="333" customFormat="1"/>
    <row r="9259" s="333" customFormat="1"/>
    <row r="9260" s="333" customFormat="1"/>
    <row r="9261" s="333" customFormat="1"/>
    <row r="9262" s="333" customFormat="1"/>
    <row r="9263" s="333" customFormat="1"/>
    <row r="9264" s="333" customFormat="1"/>
    <row r="9265" s="333" customFormat="1"/>
    <row r="9266" s="333" customFormat="1"/>
    <row r="9267" s="333" customFormat="1"/>
    <row r="9268" s="333" customFormat="1"/>
    <row r="9269" s="333" customFormat="1"/>
    <row r="9270" s="333" customFormat="1"/>
    <row r="9271" s="333" customFormat="1"/>
    <row r="9272" s="333" customFormat="1"/>
    <row r="9273" s="333" customFormat="1"/>
    <row r="9274" s="333" customFormat="1"/>
    <row r="9275" s="333" customFormat="1"/>
    <row r="9276" s="333" customFormat="1"/>
    <row r="9277" s="333" customFormat="1"/>
    <row r="9278" s="333" customFormat="1"/>
    <row r="9279" s="333" customFormat="1"/>
    <row r="9280" s="333" customFormat="1"/>
    <row r="9281" s="333" customFormat="1"/>
    <row r="9282" s="333" customFormat="1"/>
    <row r="9283" s="333" customFormat="1"/>
    <row r="9284" s="333" customFormat="1"/>
    <row r="9285" s="333" customFormat="1"/>
    <row r="9286" s="333" customFormat="1"/>
    <row r="9287" s="333" customFormat="1"/>
    <row r="9288" s="333" customFormat="1"/>
    <row r="9289" s="333" customFormat="1"/>
    <row r="9290" s="333" customFormat="1"/>
    <row r="9291" s="333" customFormat="1"/>
    <row r="9292" s="333" customFormat="1"/>
    <row r="9293" s="333" customFormat="1"/>
    <row r="9294" s="333" customFormat="1"/>
    <row r="9295" s="333" customFormat="1"/>
    <row r="9296" s="333" customFormat="1"/>
    <row r="9297" s="333" customFormat="1"/>
    <row r="9298" s="333" customFormat="1"/>
    <row r="9299" s="333" customFormat="1"/>
    <row r="9300" s="333" customFormat="1"/>
    <row r="9301" s="333" customFormat="1"/>
    <row r="9302" s="333" customFormat="1"/>
    <row r="9303" s="333" customFormat="1"/>
    <row r="9304" s="333" customFormat="1"/>
    <row r="9305" s="333" customFormat="1"/>
    <row r="9306" s="333" customFormat="1"/>
    <row r="9307" s="333" customFormat="1"/>
    <row r="9308" s="333" customFormat="1"/>
    <row r="9309" s="333" customFormat="1"/>
    <row r="9310" s="333" customFormat="1"/>
    <row r="9311" s="333" customFormat="1"/>
    <row r="9312" s="333" customFormat="1"/>
    <row r="9313" s="333" customFormat="1"/>
    <row r="9314" s="333" customFormat="1"/>
    <row r="9315" s="333" customFormat="1"/>
    <row r="9316" s="333" customFormat="1"/>
    <row r="9317" s="333" customFormat="1"/>
    <row r="9318" s="333" customFormat="1"/>
    <row r="9319" s="333" customFormat="1"/>
    <row r="9320" s="333" customFormat="1"/>
    <row r="9321" s="333" customFormat="1"/>
    <row r="9322" s="333" customFormat="1"/>
    <row r="9323" s="333" customFormat="1"/>
    <row r="9324" s="333" customFormat="1"/>
    <row r="9325" s="333" customFormat="1"/>
    <row r="9326" s="333" customFormat="1"/>
    <row r="9327" s="333" customFormat="1"/>
    <row r="9328" s="333" customFormat="1"/>
    <row r="9329" s="333" customFormat="1"/>
    <row r="9330" s="333" customFormat="1"/>
    <row r="9331" s="333" customFormat="1"/>
    <row r="9332" s="333" customFormat="1"/>
    <row r="9333" s="333" customFormat="1"/>
    <row r="9334" s="333" customFormat="1"/>
    <row r="9335" s="333" customFormat="1"/>
    <row r="9336" s="333" customFormat="1"/>
    <row r="9337" s="333" customFormat="1"/>
    <row r="9338" s="333" customFormat="1"/>
    <row r="9339" s="333" customFormat="1"/>
    <row r="9340" s="333" customFormat="1"/>
    <row r="9341" s="333" customFormat="1"/>
    <row r="9342" s="333" customFormat="1"/>
    <row r="9343" s="333" customFormat="1"/>
    <row r="9344" s="333" customFormat="1"/>
    <row r="9345" s="333" customFormat="1"/>
    <row r="9346" s="333" customFormat="1"/>
    <row r="9347" s="333" customFormat="1"/>
    <row r="9348" s="333" customFormat="1"/>
    <row r="9349" s="333" customFormat="1"/>
    <row r="9350" s="333" customFormat="1"/>
    <row r="9351" s="333" customFormat="1"/>
    <row r="9352" s="333" customFormat="1"/>
    <row r="9353" s="333" customFormat="1"/>
    <row r="9354" s="333" customFormat="1"/>
    <row r="9355" s="333" customFormat="1"/>
    <row r="9356" s="333" customFormat="1"/>
    <row r="9357" s="333" customFormat="1"/>
    <row r="9358" s="333" customFormat="1"/>
    <row r="9359" s="333" customFormat="1"/>
    <row r="9360" s="333" customFormat="1"/>
    <row r="9361" s="333" customFormat="1"/>
    <row r="9362" s="333" customFormat="1"/>
    <row r="9363" s="333" customFormat="1"/>
    <row r="9364" s="333" customFormat="1"/>
    <row r="9365" s="333" customFormat="1"/>
    <row r="9366" s="333" customFormat="1"/>
    <row r="9367" s="333" customFormat="1"/>
    <row r="9368" s="333" customFormat="1"/>
    <row r="9369" s="333" customFormat="1"/>
    <row r="9370" s="333" customFormat="1"/>
    <row r="9371" s="333" customFormat="1"/>
    <row r="9372" s="333" customFormat="1"/>
    <row r="9373" s="333" customFormat="1"/>
    <row r="9374" s="333" customFormat="1"/>
    <row r="9375" s="333" customFormat="1"/>
    <row r="9376" s="333" customFormat="1"/>
    <row r="9377" s="333" customFormat="1"/>
    <row r="9378" s="333" customFormat="1"/>
    <row r="9379" s="333" customFormat="1"/>
    <row r="9380" s="333" customFormat="1"/>
    <row r="9381" s="333" customFormat="1"/>
    <row r="9382" s="333" customFormat="1"/>
    <row r="9383" s="333" customFormat="1"/>
    <row r="9384" s="333" customFormat="1"/>
    <row r="9385" s="333" customFormat="1"/>
    <row r="9386" s="333" customFormat="1"/>
    <row r="9387" s="333" customFormat="1"/>
    <row r="9388" s="333" customFormat="1"/>
    <row r="9389" s="333" customFormat="1"/>
    <row r="9390" s="333" customFormat="1"/>
    <row r="9391" s="333" customFormat="1"/>
    <row r="9392" s="333" customFormat="1"/>
    <row r="9393" s="333" customFormat="1"/>
    <row r="9394" s="333" customFormat="1"/>
    <row r="9395" s="333" customFormat="1"/>
    <row r="9396" s="333" customFormat="1"/>
    <row r="9397" s="333" customFormat="1"/>
    <row r="9398" s="333" customFormat="1"/>
    <row r="9399" s="333" customFormat="1"/>
    <row r="9400" s="333" customFormat="1"/>
    <row r="9401" s="333" customFormat="1"/>
    <row r="9402" s="333" customFormat="1"/>
    <row r="9403" s="333" customFormat="1"/>
    <row r="9404" s="333" customFormat="1"/>
    <row r="9405" s="333" customFormat="1"/>
    <row r="9406" s="333" customFormat="1"/>
    <row r="9407" s="333" customFormat="1"/>
    <row r="9408" s="333" customFormat="1"/>
    <row r="9409" s="333" customFormat="1"/>
    <row r="9410" s="333" customFormat="1"/>
    <row r="9411" s="333" customFormat="1"/>
    <row r="9412" s="333" customFormat="1"/>
    <row r="9413" s="333" customFormat="1"/>
    <row r="9414" s="333" customFormat="1"/>
    <row r="9415" s="333" customFormat="1"/>
    <row r="9416" s="333" customFormat="1"/>
    <row r="9417" s="333" customFormat="1"/>
    <row r="9418" s="333" customFormat="1"/>
    <row r="9419" s="333" customFormat="1"/>
    <row r="9420" s="333" customFormat="1"/>
    <row r="9421" s="333" customFormat="1"/>
    <row r="9422" s="333" customFormat="1"/>
    <row r="9423" s="333" customFormat="1"/>
    <row r="9424" s="333" customFormat="1"/>
    <row r="9425" s="333" customFormat="1"/>
    <row r="9426" s="333" customFormat="1"/>
    <row r="9427" s="333" customFormat="1"/>
    <row r="9428" s="333" customFormat="1"/>
    <row r="9429" s="333" customFormat="1"/>
    <row r="9430" s="333" customFormat="1"/>
    <row r="9431" s="333" customFormat="1"/>
    <row r="9432" s="333" customFormat="1"/>
    <row r="9433" s="333" customFormat="1"/>
    <row r="9434" s="333" customFormat="1"/>
    <row r="9435" s="333" customFormat="1"/>
    <row r="9436" s="333" customFormat="1"/>
    <row r="9437" s="333" customFormat="1"/>
    <row r="9438" s="333" customFormat="1"/>
    <row r="9439" s="333" customFormat="1"/>
    <row r="9440" s="333" customFormat="1"/>
    <row r="9441" s="333" customFormat="1"/>
    <row r="9442" s="333" customFormat="1"/>
    <row r="9443" s="333" customFormat="1"/>
    <row r="9444" s="333" customFormat="1"/>
    <row r="9445" s="333" customFormat="1"/>
    <row r="9446" s="333" customFormat="1"/>
    <row r="9447" s="333" customFormat="1"/>
    <row r="9448" s="333" customFormat="1"/>
    <row r="9449" s="333" customFormat="1"/>
    <row r="9450" s="333" customFormat="1"/>
    <row r="9451" s="333" customFormat="1"/>
    <row r="9452" s="333" customFormat="1"/>
    <row r="9453" s="333" customFormat="1"/>
    <row r="9454" s="333" customFormat="1"/>
    <row r="9455" s="333" customFormat="1"/>
    <row r="9456" s="333" customFormat="1"/>
    <row r="9457" s="333" customFormat="1"/>
    <row r="9458" s="333" customFormat="1"/>
    <row r="9459" s="333" customFormat="1"/>
    <row r="9460" s="333" customFormat="1"/>
    <row r="9461" s="333" customFormat="1"/>
    <row r="9462" s="333" customFormat="1"/>
    <row r="9463" s="333" customFormat="1"/>
    <row r="9464" s="333" customFormat="1"/>
    <row r="9465" s="333" customFormat="1"/>
    <row r="9466" s="333" customFormat="1"/>
    <row r="9467" s="333" customFormat="1"/>
    <row r="9468" s="333" customFormat="1"/>
    <row r="9469" s="333" customFormat="1"/>
    <row r="9470" s="333" customFormat="1"/>
    <row r="9471" s="333" customFormat="1"/>
    <row r="9472" s="333" customFormat="1"/>
    <row r="9473" s="333" customFormat="1"/>
    <row r="9474" s="333" customFormat="1"/>
    <row r="9475" s="333" customFormat="1"/>
    <row r="9476" s="333" customFormat="1"/>
    <row r="9477" s="333" customFormat="1"/>
    <row r="9478" s="333" customFormat="1"/>
    <row r="9479" s="333" customFormat="1"/>
    <row r="9480" s="333" customFormat="1"/>
    <row r="9481" s="333" customFormat="1"/>
    <row r="9482" s="333" customFormat="1"/>
    <row r="9483" s="333" customFormat="1"/>
    <row r="9484" s="333" customFormat="1"/>
    <row r="9485" s="333" customFormat="1"/>
    <row r="9486" s="333" customFormat="1"/>
    <row r="9487" s="333" customFormat="1"/>
    <row r="9488" s="333" customFormat="1"/>
    <row r="9489" s="333" customFormat="1"/>
    <row r="9490" s="333" customFormat="1"/>
    <row r="9491" s="333" customFormat="1"/>
    <row r="9492" s="333" customFormat="1"/>
    <row r="9493" s="333" customFormat="1"/>
    <row r="9494" s="333" customFormat="1"/>
    <row r="9495" s="333" customFormat="1"/>
    <row r="9496" s="333" customFormat="1"/>
    <row r="9497" s="333" customFormat="1"/>
    <row r="9498" s="333" customFormat="1"/>
    <row r="9499" s="333" customFormat="1"/>
    <row r="9500" s="333" customFormat="1"/>
    <row r="9501" s="333" customFormat="1"/>
    <row r="9502" s="333" customFormat="1"/>
    <row r="9503" s="333" customFormat="1"/>
    <row r="9504" s="333" customFormat="1"/>
    <row r="9505" s="333" customFormat="1"/>
    <row r="9506" s="333" customFormat="1"/>
    <row r="9507" s="333" customFormat="1"/>
    <row r="9508" s="333" customFormat="1"/>
    <row r="9509" s="333" customFormat="1"/>
    <row r="9510" s="333" customFormat="1"/>
    <row r="9511" s="333" customFormat="1"/>
    <row r="9512" s="333" customFormat="1"/>
    <row r="9513" s="333" customFormat="1"/>
    <row r="9514" s="333" customFormat="1"/>
    <row r="9515" s="333" customFormat="1"/>
    <row r="9516" s="333" customFormat="1"/>
    <row r="9517" s="333" customFormat="1"/>
    <row r="9518" s="333" customFormat="1"/>
    <row r="9519" s="333" customFormat="1"/>
    <row r="9520" s="333" customFormat="1"/>
    <row r="9521" s="333" customFormat="1"/>
    <row r="9522" s="333" customFormat="1"/>
    <row r="9523" s="333" customFormat="1"/>
    <row r="9524" s="333" customFormat="1"/>
    <row r="9525" s="333" customFormat="1"/>
    <row r="9526" s="333" customFormat="1"/>
    <row r="9527" s="333" customFormat="1"/>
    <row r="9528" s="333" customFormat="1"/>
    <row r="9529" s="333" customFormat="1"/>
    <row r="9530" s="333" customFormat="1"/>
    <row r="9531" s="333" customFormat="1"/>
    <row r="9532" s="333" customFormat="1"/>
    <row r="9533" s="333" customFormat="1"/>
    <row r="9534" s="333" customFormat="1"/>
    <row r="9535" s="333" customFormat="1"/>
    <row r="9536" s="333" customFormat="1"/>
    <row r="9537" s="333" customFormat="1"/>
    <row r="9538" s="333" customFormat="1"/>
    <row r="9539" s="333" customFormat="1"/>
    <row r="9540" s="333" customFormat="1"/>
    <row r="9541" s="333" customFormat="1"/>
    <row r="9542" s="333" customFormat="1"/>
    <row r="9543" s="333" customFormat="1"/>
    <row r="9544" s="333" customFormat="1"/>
    <row r="9545" s="333" customFormat="1"/>
    <row r="9546" s="333" customFormat="1"/>
    <row r="9547" s="333" customFormat="1"/>
    <row r="9548" s="333" customFormat="1"/>
    <row r="9549" s="333" customFormat="1"/>
    <row r="9550" s="333" customFormat="1"/>
    <row r="9551" s="333" customFormat="1"/>
    <row r="9552" s="333" customFormat="1"/>
    <row r="9553" s="333" customFormat="1"/>
    <row r="9554" s="333" customFormat="1"/>
    <row r="9555" s="333" customFormat="1"/>
    <row r="9556" s="333" customFormat="1"/>
    <row r="9557" s="333" customFormat="1"/>
    <row r="9558" s="333" customFormat="1"/>
    <row r="9559" s="333" customFormat="1"/>
    <row r="9560" s="333" customFormat="1"/>
    <row r="9561" s="333" customFormat="1"/>
    <row r="9562" s="333" customFormat="1"/>
    <row r="9563" s="333" customFormat="1"/>
    <row r="9564" s="333" customFormat="1"/>
    <row r="9565" s="333" customFormat="1"/>
    <row r="9566" s="333" customFormat="1"/>
    <row r="9567" s="333" customFormat="1"/>
    <row r="9568" s="333" customFormat="1"/>
    <row r="9569" s="333" customFormat="1"/>
    <row r="9570" s="333" customFormat="1"/>
    <row r="9571" s="333" customFormat="1"/>
    <row r="9572" s="333" customFormat="1"/>
    <row r="9573" s="333" customFormat="1"/>
    <row r="9574" s="333" customFormat="1"/>
    <row r="9575" s="333" customFormat="1"/>
    <row r="9576" s="333" customFormat="1"/>
    <row r="9577" s="333" customFormat="1"/>
    <row r="9578" s="333" customFormat="1"/>
    <row r="9579" s="333" customFormat="1"/>
    <row r="9580" s="333" customFormat="1"/>
    <row r="9581" s="333" customFormat="1"/>
    <row r="9582" s="333" customFormat="1"/>
    <row r="9583" s="333" customFormat="1"/>
    <row r="9584" s="333" customFormat="1"/>
    <row r="9585" s="333" customFormat="1"/>
    <row r="9586" s="333" customFormat="1"/>
    <row r="9587" s="333" customFormat="1"/>
    <row r="9588" s="333" customFormat="1"/>
    <row r="9589" s="333" customFormat="1"/>
    <row r="9590" s="333" customFormat="1"/>
    <row r="9591" s="333" customFormat="1"/>
    <row r="9592" s="333" customFormat="1"/>
    <row r="9593" s="333" customFormat="1"/>
    <row r="9594" s="333" customFormat="1"/>
    <row r="9595" s="333" customFormat="1"/>
    <row r="9596" s="333" customFormat="1"/>
    <row r="9597" s="333" customFormat="1"/>
    <row r="9598" s="333" customFormat="1"/>
    <row r="9599" s="333" customFormat="1"/>
    <row r="9600" s="333" customFormat="1"/>
    <row r="9601" s="333" customFormat="1"/>
    <row r="9602" s="333" customFormat="1"/>
    <row r="9603" s="333" customFormat="1"/>
    <row r="9604" s="333" customFormat="1"/>
    <row r="9605" s="333" customFormat="1"/>
    <row r="9606" s="333" customFormat="1"/>
    <row r="9607" s="333" customFormat="1"/>
    <row r="9608" s="333" customFormat="1"/>
    <row r="9609" s="333" customFormat="1"/>
    <row r="9610" s="333" customFormat="1"/>
    <row r="9611" s="333" customFormat="1"/>
    <row r="9612" s="333" customFormat="1"/>
    <row r="9613" s="333" customFormat="1"/>
    <row r="9614" s="333" customFormat="1"/>
    <row r="9615" s="333" customFormat="1"/>
    <row r="9616" s="333" customFormat="1"/>
    <row r="9617" s="333" customFormat="1"/>
    <row r="9618" s="333" customFormat="1"/>
    <row r="9619" s="333" customFormat="1"/>
    <row r="9620" s="333" customFormat="1"/>
    <row r="9621" s="333" customFormat="1"/>
    <row r="9622" s="333" customFormat="1"/>
    <row r="9623" s="333" customFormat="1"/>
    <row r="9624" s="333" customFormat="1"/>
    <row r="9625" s="333" customFormat="1"/>
    <row r="9626" s="333" customFormat="1"/>
    <row r="9627" s="333" customFormat="1"/>
    <row r="9628" s="333" customFormat="1"/>
    <row r="9629" s="333" customFormat="1"/>
    <row r="9630" s="333" customFormat="1"/>
    <row r="9631" s="333" customFormat="1"/>
    <row r="9632" s="333" customFormat="1"/>
    <row r="9633" s="333" customFormat="1"/>
    <row r="9634" s="333" customFormat="1"/>
    <row r="9635" s="333" customFormat="1"/>
    <row r="9636" s="333" customFormat="1"/>
    <row r="9637" s="333" customFormat="1"/>
    <row r="9638" s="333" customFormat="1"/>
    <row r="9639" s="333" customFormat="1"/>
    <row r="9640" s="333" customFormat="1"/>
    <row r="9641" s="333" customFormat="1"/>
    <row r="9642" s="333" customFormat="1"/>
    <row r="9643" s="333" customFormat="1"/>
    <row r="9644" s="333" customFormat="1"/>
    <row r="9645" s="333" customFormat="1"/>
    <row r="9646" s="333" customFormat="1"/>
    <row r="9647" s="333" customFormat="1"/>
    <row r="9648" s="333" customFormat="1"/>
    <row r="9649" s="333" customFormat="1"/>
    <row r="9650" s="333" customFormat="1"/>
    <row r="9651" s="333" customFormat="1"/>
    <row r="9652" s="333" customFormat="1"/>
    <row r="9653" s="333" customFormat="1"/>
    <row r="9654" s="333" customFormat="1"/>
    <row r="9655" s="333" customFormat="1"/>
    <row r="9656" s="333" customFormat="1"/>
    <row r="9657" s="333" customFormat="1"/>
    <row r="9658" s="333" customFormat="1"/>
    <row r="9659" s="333" customFormat="1"/>
    <row r="9660" s="333" customFormat="1"/>
    <row r="9661" s="333" customFormat="1"/>
    <row r="9662" s="333" customFormat="1"/>
    <row r="9663" s="333" customFormat="1"/>
    <row r="9664" s="333" customFormat="1"/>
    <row r="9665" s="333" customFormat="1"/>
    <row r="9666" s="333" customFormat="1"/>
    <row r="9667" s="333" customFormat="1"/>
    <row r="9668" s="333" customFormat="1"/>
    <row r="9669" s="333" customFormat="1"/>
    <row r="9670" s="333" customFormat="1"/>
    <row r="9671" s="333" customFormat="1"/>
    <row r="9672" s="333" customFormat="1"/>
    <row r="9673" s="333" customFormat="1"/>
    <row r="9674" s="333" customFormat="1"/>
    <row r="9675" s="333" customFormat="1"/>
    <row r="9676" s="333" customFormat="1"/>
    <row r="9677" s="333" customFormat="1"/>
    <row r="9678" s="333" customFormat="1"/>
    <row r="9679" s="333" customFormat="1"/>
    <row r="9680" s="333" customFormat="1"/>
    <row r="9681" s="333" customFormat="1"/>
    <row r="9682" s="333" customFormat="1"/>
    <row r="9683" s="333" customFormat="1"/>
    <row r="9684" s="333" customFormat="1"/>
    <row r="9685" s="333" customFormat="1"/>
    <row r="9686" s="333" customFormat="1"/>
    <row r="9687" s="333" customFormat="1"/>
    <row r="9688" s="333" customFormat="1"/>
    <row r="9689" s="333" customFormat="1"/>
    <row r="9690" s="333" customFormat="1"/>
    <row r="9691" s="333" customFormat="1"/>
    <row r="9692" s="333" customFormat="1"/>
    <row r="9693" s="333" customFormat="1"/>
    <row r="9694" s="333" customFormat="1"/>
    <row r="9695" s="333" customFormat="1"/>
    <row r="9696" s="333" customFormat="1"/>
    <row r="9697" s="333" customFormat="1"/>
    <row r="9698" s="333" customFormat="1"/>
    <row r="9699" s="333" customFormat="1"/>
    <row r="9700" s="333" customFormat="1"/>
    <row r="9701" s="333" customFormat="1"/>
    <row r="9702" s="333" customFormat="1"/>
    <row r="9703" s="333" customFormat="1"/>
    <row r="9704" s="333" customFormat="1"/>
    <row r="9705" s="333" customFormat="1"/>
    <row r="9706" s="333" customFormat="1"/>
    <row r="9707" s="333" customFormat="1"/>
    <row r="9708" s="333" customFormat="1"/>
    <row r="9709" s="333" customFormat="1"/>
    <row r="9710" s="333" customFormat="1"/>
    <row r="9711" s="333" customFormat="1"/>
    <row r="9712" s="333" customFormat="1"/>
    <row r="9713" s="333" customFormat="1"/>
    <row r="9714" s="333" customFormat="1"/>
    <row r="9715" s="333" customFormat="1"/>
    <row r="9716" s="333" customFormat="1"/>
    <row r="9717" s="333" customFormat="1"/>
    <row r="9718" s="333" customFormat="1"/>
    <row r="9719" s="333" customFormat="1"/>
    <row r="9720" s="333" customFormat="1"/>
    <row r="9721" s="333" customFormat="1"/>
    <row r="9722" s="333" customFormat="1"/>
    <row r="9723" s="333" customFormat="1"/>
    <row r="9724" s="333" customFormat="1"/>
    <row r="9725" s="333" customFormat="1"/>
    <row r="9726" s="333" customFormat="1"/>
    <row r="9727" s="333" customFormat="1"/>
    <row r="9728" s="333" customFormat="1"/>
    <row r="9729" s="333" customFormat="1"/>
    <row r="9730" s="333" customFormat="1"/>
    <row r="9731" s="333" customFormat="1"/>
    <row r="9732" s="333" customFormat="1"/>
    <row r="9733" s="333" customFormat="1"/>
    <row r="9734" s="333" customFormat="1"/>
    <row r="9735" s="333" customFormat="1"/>
    <row r="9736" s="333" customFormat="1"/>
    <row r="9737" s="333" customFormat="1"/>
    <row r="9738" s="333" customFormat="1"/>
    <row r="9739" s="333" customFormat="1"/>
    <row r="9740" s="333" customFormat="1"/>
    <row r="9741" s="333" customFormat="1"/>
    <row r="9742" s="333" customFormat="1"/>
    <row r="9743" s="333" customFormat="1"/>
    <row r="9744" s="333" customFormat="1"/>
    <row r="9745" s="333" customFormat="1"/>
    <row r="9746" s="333" customFormat="1"/>
    <row r="9747" s="333" customFormat="1"/>
    <row r="9748" s="333" customFormat="1"/>
    <row r="9749" s="333" customFormat="1"/>
    <row r="9750" s="333" customFormat="1"/>
    <row r="9751" s="333" customFormat="1"/>
    <row r="9752" s="333" customFormat="1"/>
    <row r="9753" s="333" customFormat="1"/>
    <row r="9754" s="333" customFormat="1"/>
    <row r="9755" s="333" customFormat="1"/>
    <row r="9756" s="333" customFormat="1"/>
    <row r="9757" s="333" customFormat="1"/>
    <row r="9758" s="333" customFormat="1"/>
    <row r="9759" s="333" customFormat="1"/>
    <row r="9760" s="333" customFormat="1"/>
    <row r="9761" s="333" customFormat="1"/>
    <row r="9762" s="333" customFormat="1"/>
    <row r="9763" s="333" customFormat="1"/>
    <row r="9764" s="333" customFormat="1"/>
    <row r="9765" s="333" customFormat="1"/>
    <row r="9766" s="333" customFormat="1"/>
    <row r="9767" s="333" customFormat="1"/>
    <row r="9768" s="333" customFormat="1"/>
    <row r="9769" s="333" customFormat="1"/>
    <row r="9770" s="333" customFormat="1"/>
    <row r="9771" s="333" customFormat="1"/>
    <row r="9772" s="333" customFormat="1"/>
    <row r="9773" s="333" customFormat="1"/>
    <row r="9774" s="333" customFormat="1"/>
    <row r="9775" s="333" customFormat="1"/>
    <row r="9776" s="333" customFormat="1"/>
    <row r="9777" s="333" customFormat="1"/>
    <row r="9778" s="333" customFormat="1"/>
    <row r="9779" s="333" customFormat="1"/>
    <row r="9780" s="333" customFormat="1"/>
    <row r="9781" s="333" customFormat="1"/>
    <row r="9782" s="333" customFormat="1"/>
    <row r="9783" s="333" customFormat="1"/>
    <row r="9784" s="333" customFormat="1"/>
    <row r="9785" s="333" customFormat="1"/>
    <row r="9786" s="333" customFormat="1"/>
    <row r="9787" s="333" customFormat="1"/>
    <row r="9788" s="333" customFormat="1"/>
    <row r="9789" s="333" customFormat="1"/>
    <row r="9790" s="333" customFormat="1"/>
    <row r="9791" s="333" customFormat="1"/>
    <row r="9792" s="333" customFormat="1"/>
    <row r="9793" s="333" customFormat="1"/>
    <row r="9794" s="333" customFormat="1"/>
    <row r="9795" s="333" customFormat="1"/>
    <row r="9796" s="333" customFormat="1"/>
    <row r="9797" s="333" customFormat="1"/>
    <row r="9798" s="333" customFormat="1"/>
    <row r="9799" s="333" customFormat="1"/>
    <row r="9800" s="333" customFormat="1"/>
    <row r="9801" s="333" customFormat="1"/>
    <row r="9802" s="333" customFormat="1"/>
    <row r="9803" s="333" customFormat="1"/>
    <row r="9804" s="333" customFormat="1"/>
    <row r="9805" s="333" customFormat="1"/>
    <row r="9806" s="333" customFormat="1"/>
    <row r="9807" s="333" customFormat="1"/>
    <row r="9808" s="333" customFormat="1"/>
    <row r="9809" s="333" customFormat="1"/>
    <row r="9810" s="333" customFormat="1"/>
    <row r="9811" s="333" customFormat="1"/>
    <row r="9812" s="333" customFormat="1"/>
    <row r="9813" s="333" customFormat="1"/>
    <row r="9814" s="333" customFormat="1"/>
    <row r="9815" s="333" customFormat="1"/>
    <row r="9816" s="333" customFormat="1"/>
    <row r="9817" s="333" customFormat="1"/>
    <row r="9818" s="333" customFormat="1"/>
    <row r="9819" s="333" customFormat="1"/>
    <row r="9820" s="333" customFormat="1"/>
    <row r="9821" s="333" customFormat="1"/>
    <row r="9822" s="333" customFormat="1"/>
    <row r="9823" s="333" customFormat="1"/>
    <row r="9824" s="333" customFormat="1"/>
    <row r="9825" s="333" customFormat="1"/>
    <row r="9826" s="333" customFormat="1"/>
    <row r="9827" s="333" customFormat="1"/>
    <row r="9828" s="333" customFormat="1"/>
    <row r="9829" s="333" customFormat="1"/>
    <row r="9830" s="333" customFormat="1"/>
    <row r="9831" s="333" customFormat="1"/>
    <row r="9832" s="333" customFormat="1"/>
    <row r="9833" s="333" customFormat="1"/>
    <row r="9834" s="333" customFormat="1"/>
    <row r="9835" s="333" customFormat="1"/>
    <row r="9836" s="333" customFormat="1"/>
    <row r="9837" s="333" customFormat="1"/>
    <row r="9838" s="333" customFormat="1"/>
    <row r="9839" s="333" customFormat="1"/>
    <row r="9840" s="333" customFormat="1"/>
    <row r="9841" s="333" customFormat="1"/>
    <row r="9842" s="333" customFormat="1"/>
    <row r="9843" s="333" customFormat="1"/>
    <row r="9844" s="333" customFormat="1"/>
    <row r="9845" s="333" customFormat="1"/>
    <row r="9846" s="333" customFormat="1"/>
    <row r="9847" s="333" customFormat="1"/>
    <row r="9848" s="333" customFormat="1"/>
    <row r="9849" s="333" customFormat="1"/>
    <row r="9850" s="333" customFormat="1"/>
    <row r="9851" s="333" customFormat="1"/>
    <row r="9852" s="333" customFormat="1"/>
    <row r="9853" s="333" customFormat="1"/>
    <row r="9854" s="333" customFormat="1"/>
    <row r="9855" s="333" customFormat="1"/>
    <row r="9856" s="333" customFormat="1"/>
    <row r="9857" s="333" customFormat="1"/>
    <row r="9858" s="333" customFormat="1"/>
    <row r="9859" s="333" customFormat="1"/>
    <row r="9860" s="333" customFormat="1"/>
    <row r="9861" s="333" customFormat="1"/>
    <row r="9862" s="333" customFormat="1"/>
    <row r="9863" s="333" customFormat="1"/>
    <row r="9864" s="333" customFormat="1"/>
    <row r="9865" s="333" customFormat="1"/>
    <row r="9866" s="333" customFormat="1"/>
    <row r="9867" s="333" customFormat="1"/>
    <row r="9868" s="333" customFormat="1"/>
    <row r="9869" s="333" customFormat="1"/>
    <row r="9870" s="333" customFormat="1"/>
    <row r="9871" s="333" customFormat="1"/>
    <row r="9872" s="333" customFormat="1"/>
    <row r="9873" s="333" customFormat="1"/>
    <row r="9874" s="333" customFormat="1"/>
    <row r="9875" s="333" customFormat="1"/>
    <row r="9876" s="333" customFormat="1"/>
    <row r="9877" s="333" customFormat="1"/>
    <row r="9878" s="333" customFormat="1"/>
    <row r="9879" s="333" customFormat="1"/>
    <row r="9880" s="333" customFormat="1"/>
    <row r="9881" s="333" customFormat="1"/>
    <row r="9882" s="333" customFormat="1"/>
    <row r="9883" s="333" customFormat="1"/>
    <row r="9884" s="333" customFormat="1"/>
    <row r="9885" s="333" customFormat="1"/>
    <row r="9886" s="333" customFormat="1"/>
    <row r="9887" s="333" customFormat="1"/>
    <row r="9888" s="333" customFormat="1"/>
    <row r="9889" s="333" customFormat="1"/>
    <row r="9890" s="333" customFormat="1"/>
    <row r="9891" s="333" customFormat="1"/>
    <row r="9892" s="333" customFormat="1"/>
    <row r="9893" s="333" customFormat="1"/>
    <row r="9894" s="333" customFormat="1"/>
    <row r="9895" s="333" customFormat="1"/>
    <row r="9896" s="333" customFormat="1"/>
    <row r="9897" s="333" customFormat="1"/>
    <row r="9898" s="333" customFormat="1"/>
    <row r="9899" s="333" customFormat="1"/>
    <row r="9900" s="333" customFormat="1"/>
    <row r="9901" s="333" customFormat="1"/>
    <row r="9902" s="333" customFormat="1"/>
    <row r="9903" s="333" customFormat="1"/>
    <row r="9904" s="333" customFormat="1"/>
    <row r="9905" s="333" customFormat="1"/>
    <row r="9906" s="333" customFormat="1"/>
    <row r="9907" s="333" customFormat="1"/>
    <row r="9908" s="333" customFormat="1"/>
    <row r="9909" s="333" customFormat="1"/>
    <row r="9910" s="333" customFormat="1"/>
    <row r="9911" s="333" customFormat="1"/>
    <row r="9912" s="333" customFormat="1"/>
    <row r="9913" s="333" customFormat="1"/>
    <row r="9914" s="333" customFormat="1"/>
    <row r="9915" s="333" customFormat="1"/>
    <row r="9916" s="333" customFormat="1"/>
    <row r="9917" s="333" customFormat="1"/>
    <row r="9918" s="333" customFormat="1"/>
    <row r="9919" s="333" customFormat="1"/>
    <row r="9920" s="333" customFormat="1"/>
    <row r="9921" s="333" customFormat="1"/>
    <row r="9922" s="333" customFormat="1"/>
    <row r="9923" s="333" customFormat="1"/>
    <row r="9924" s="333" customFormat="1"/>
    <row r="9925" s="333" customFormat="1"/>
    <row r="9926" s="333" customFormat="1"/>
    <row r="9927" s="333" customFormat="1"/>
    <row r="9928" s="333" customFormat="1"/>
    <row r="9929" s="333" customFormat="1"/>
    <row r="9930" s="333" customFormat="1"/>
    <row r="9931" s="333" customFormat="1"/>
    <row r="9932" s="333" customFormat="1"/>
    <row r="9933" s="333" customFormat="1"/>
    <row r="9934" s="333" customFormat="1"/>
    <row r="9935" s="333" customFormat="1"/>
  </sheetData>
  <mergeCells count="28">
    <mergeCell ref="C6:L6"/>
    <mergeCell ref="C334:J334"/>
    <mergeCell ref="B353:K353"/>
    <mergeCell ref="B354:K354"/>
    <mergeCell ref="B358:K358"/>
    <mergeCell ref="B228:K228"/>
    <mergeCell ref="C268:J268"/>
    <mergeCell ref="B287:K287"/>
    <mergeCell ref="B288:K288"/>
    <mergeCell ref="B292:K292"/>
    <mergeCell ref="C233:J233"/>
    <mergeCell ref="C299:J299"/>
    <mergeCell ref="C1:J1"/>
    <mergeCell ref="C3:J3"/>
    <mergeCell ref="B28:M28"/>
    <mergeCell ref="B224:K224"/>
    <mergeCell ref="C33:J33"/>
    <mergeCell ref="B84:K84"/>
    <mergeCell ref="B85:K85"/>
    <mergeCell ref="B89:K89"/>
    <mergeCell ref="C129:J129"/>
    <mergeCell ref="B150:K150"/>
    <mergeCell ref="B151:K151"/>
    <mergeCell ref="B155:K155"/>
    <mergeCell ref="C201:J201"/>
    <mergeCell ref="B223:K223"/>
    <mergeCell ref="C160:J160"/>
    <mergeCell ref="C5:L5"/>
  </mergeCells>
  <printOptions horizontalCentered="1"/>
  <pageMargins left="0.5" right="0" top="1" bottom="0.5" header="0.5" footer="0.5"/>
  <pageSetup scale="37" fitToHeight="0" orientation="landscape" r:id="rId1"/>
  <headerFooter alignWithMargins="0"/>
  <rowBreaks count="5" manualBreakCount="5">
    <brk id="31" max="12" man="1"/>
    <brk id="90" max="12" man="1"/>
    <brk id="157" max="12" man="1"/>
    <brk id="231" max="12" man="1"/>
    <brk id="296"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tabColor theme="5"/>
  </sheetPr>
  <dimension ref="A1:S35"/>
  <sheetViews>
    <sheetView view="pageBreakPreview" zoomScaleNormal="80" zoomScaleSheetLayoutView="100" workbookViewId="0">
      <selection activeCell="B42" sqref="B42:K44"/>
    </sheetView>
  </sheetViews>
  <sheetFormatPr defaultColWidth="8.90625" defaultRowHeight="15.05"/>
  <cols>
    <col min="1" max="1" width="15.81640625" style="606" customWidth="1"/>
    <col min="2" max="2" width="3.08984375" style="607" customWidth="1"/>
    <col min="3" max="9" width="13.81640625" style="606" customWidth="1"/>
    <col min="10" max="10" width="12.453125" style="606" customWidth="1"/>
    <col min="11" max="11" width="3.08984375" style="606" customWidth="1"/>
    <col min="12" max="12" width="13.453125" style="606" customWidth="1"/>
    <col min="13" max="13" width="20.81640625" style="606" customWidth="1"/>
    <col min="14" max="14" width="1.81640625" style="624" customWidth="1"/>
    <col min="15" max="15" width="13.81640625" style="624" customWidth="1"/>
    <col min="16" max="16" width="2" style="624" customWidth="1"/>
    <col min="17" max="17" width="11.90625" style="624" bestFit="1" customWidth="1"/>
    <col min="18" max="18" width="11.453125" style="624" customWidth="1"/>
    <col min="19" max="19" width="10.453125" style="624" bestFit="1" customWidth="1"/>
    <col min="20" max="16384" width="8.90625" style="624"/>
  </cols>
  <sheetData>
    <row r="1" spans="1:19" ht="15.65">
      <c r="A1" s="55" t="str">
        <f ca="1">RIGHT(CELL("filename",D2),LEN(CELL("filename",D2))-FIND("]",CELL("filename",D2)))</f>
        <v>Attach 5a - ADIT Norm JC-T</v>
      </c>
    </row>
    <row r="2" spans="1:19" ht="15.65" thickBot="1"/>
    <row r="3" spans="1:19" ht="105.85" thickBot="1">
      <c r="A3" s="649"/>
      <c r="B3" s="608"/>
      <c r="C3" s="1330" t="s">
        <v>607</v>
      </c>
      <c r="D3" s="1331"/>
      <c r="E3" s="1331"/>
      <c r="F3" s="1331"/>
      <c r="G3" s="1331"/>
      <c r="H3" s="1331"/>
      <c r="I3" s="1331"/>
      <c r="J3" s="1332"/>
      <c r="L3" s="1350" t="s">
        <v>633</v>
      </c>
      <c r="M3" s="1351"/>
      <c r="O3" s="650" t="s">
        <v>707</v>
      </c>
      <c r="Q3" s="650" t="s">
        <v>634</v>
      </c>
      <c r="R3" s="650" t="s">
        <v>708</v>
      </c>
      <c r="S3" s="650" t="s">
        <v>709</v>
      </c>
    </row>
    <row r="4" spans="1:19">
      <c r="A4" s="673"/>
      <c r="C4" s="609"/>
      <c r="D4" s="610"/>
      <c r="E4" s="610"/>
      <c r="F4" s="610"/>
      <c r="G4" s="610"/>
      <c r="H4" s="610"/>
      <c r="I4" s="610"/>
      <c r="J4" s="611"/>
    </row>
    <row r="5" spans="1:19">
      <c r="A5" s="674" t="s">
        <v>608</v>
      </c>
      <c r="B5" s="613"/>
      <c r="C5" s="614" t="s">
        <v>629</v>
      </c>
      <c r="D5" s="632" t="s">
        <v>609</v>
      </c>
      <c r="E5" s="612" t="s">
        <v>630</v>
      </c>
      <c r="F5" s="632" t="s">
        <v>610</v>
      </c>
      <c r="G5" s="612" t="s">
        <v>631</v>
      </c>
      <c r="H5" s="632" t="s">
        <v>611</v>
      </c>
      <c r="I5" s="612" t="s">
        <v>632</v>
      </c>
      <c r="J5" s="634" t="s">
        <v>612</v>
      </c>
      <c r="K5" s="615"/>
      <c r="L5" s="612" t="s">
        <v>633</v>
      </c>
      <c r="M5" s="616" t="s">
        <v>613</v>
      </c>
    </row>
    <row r="6" spans="1:19" ht="15.65" thickBot="1">
      <c r="A6" s="675">
        <v>0</v>
      </c>
      <c r="B6" s="622"/>
      <c r="C6" s="631">
        <v>0</v>
      </c>
      <c r="D6" s="622">
        <f>SUM(A6:C6)</f>
        <v>0</v>
      </c>
      <c r="E6" s="630">
        <v>0</v>
      </c>
      <c r="F6" s="622">
        <f>SUM(D6:E6)</f>
        <v>0</v>
      </c>
      <c r="G6" s="630">
        <v>0</v>
      </c>
      <c r="H6" s="622">
        <f>SUM(F6:G6)</f>
        <v>0</v>
      </c>
      <c r="I6" s="630">
        <v>0</v>
      </c>
      <c r="J6" s="636">
        <f>SUM(H6:I6)</f>
        <v>0</v>
      </c>
      <c r="K6" s="621"/>
      <c r="L6" s="630">
        <v>0</v>
      </c>
      <c r="M6" s="622">
        <f>A6+L6</f>
        <v>0</v>
      </c>
      <c r="N6" s="620"/>
      <c r="O6" s="620"/>
    </row>
    <row r="7" spans="1:19">
      <c r="A7" s="635"/>
      <c r="B7" s="618"/>
      <c r="C7" s="619"/>
      <c r="D7" s="625"/>
      <c r="E7" s="620"/>
      <c r="F7" s="625"/>
      <c r="G7" s="620"/>
      <c r="H7" s="625"/>
      <c r="I7" s="620"/>
      <c r="J7" s="635"/>
      <c r="K7" s="617"/>
      <c r="L7" s="617"/>
      <c r="M7" s="618"/>
      <c r="N7" s="620"/>
      <c r="O7" s="620"/>
    </row>
    <row r="8" spans="1:19">
      <c r="A8" s="676" t="s">
        <v>619</v>
      </c>
      <c r="B8" s="618"/>
      <c r="C8" s="627" t="s">
        <v>614</v>
      </c>
      <c r="D8" s="625"/>
      <c r="E8" s="626" t="s">
        <v>615</v>
      </c>
      <c r="F8" s="625"/>
      <c r="G8" s="626" t="s">
        <v>616</v>
      </c>
      <c r="H8" s="625"/>
      <c r="I8" s="626" t="s">
        <v>617</v>
      </c>
      <c r="J8" s="635"/>
      <c r="K8" s="617"/>
      <c r="L8" s="640" t="s">
        <v>618</v>
      </c>
      <c r="M8" s="640" t="s">
        <v>623</v>
      </c>
      <c r="N8" s="620"/>
      <c r="O8" s="620"/>
    </row>
    <row r="9" spans="1:19">
      <c r="A9" s="676">
        <f>A6</f>
        <v>0</v>
      </c>
      <c r="B9" s="618"/>
      <c r="C9" s="627">
        <f>(276/365)*C6</f>
        <v>0</v>
      </c>
      <c r="D9" s="625"/>
      <c r="E9" s="626">
        <f>(185/365)*E6</f>
        <v>0</v>
      </c>
      <c r="F9" s="625"/>
      <c r="G9" s="626">
        <f>(93/365)*G6</f>
        <v>0</v>
      </c>
      <c r="H9" s="625"/>
      <c r="I9" s="626">
        <f>(1/365)*I6</f>
        <v>0</v>
      </c>
      <c r="J9" s="635"/>
      <c r="K9" s="617"/>
      <c r="L9" s="640">
        <f>C9+E9+G9+I9</f>
        <v>0</v>
      </c>
      <c r="M9" s="640">
        <f>A9+L9</f>
        <v>0</v>
      </c>
      <c r="N9" s="620"/>
      <c r="O9" s="625">
        <f>'WP03-A ADIT Summary'!H14+'WP03-A ADIT Summary'!J40</f>
        <v>0</v>
      </c>
      <c r="Q9" s="620">
        <f>O9-M9</f>
        <v>0</v>
      </c>
      <c r="R9" s="624">
        <f>SUM('WP03-A ADIT Summary'!F40:H40)</f>
        <v>0</v>
      </c>
      <c r="S9" s="651">
        <f>Q9-R9</f>
        <v>0</v>
      </c>
    </row>
    <row r="10" spans="1:19">
      <c r="A10" s="635"/>
      <c r="B10" s="618"/>
      <c r="C10" s="638">
        <v>0</v>
      </c>
      <c r="D10" s="625"/>
      <c r="E10" s="639">
        <v>0</v>
      </c>
      <c r="F10" s="625"/>
      <c r="G10" s="639">
        <v>0</v>
      </c>
      <c r="H10" s="625"/>
      <c r="I10" s="639">
        <v>0</v>
      </c>
      <c r="J10" s="635"/>
      <c r="K10" s="617"/>
      <c r="L10" s="646">
        <v>0</v>
      </c>
      <c r="M10" s="618"/>
      <c r="N10" s="620"/>
      <c r="O10" s="620"/>
    </row>
    <row r="11" spans="1:19" ht="15.65" thickBot="1">
      <c r="A11" s="675">
        <v>0</v>
      </c>
      <c r="B11" s="622"/>
      <c r="C11" s="642">
        <f>SUM(C10:C10)</f>
        <v>0</v>
      </c>
      <c r="D11" s="622">
        <f>SUM(A11:C11)</f>
        <v>0</v>
      </c>
      <c r="E11" s="622">
        <f>SUM(E10:E10)</f>
        <v>0</v>
      </c>
      <c r="F11" s="622">
        <f>SUM(D11:E11)</f>
        <v>0</v>
      </c>
      <c r="G11" s="622">
        <f>SUM(G10:G10)</f>
        <v>0</v>
      </c>
      <c r="H11" s="622">
        <f>SUM(F11:G11)</f>
        <v>0</v>
      </c>
      <c r="I11" s="622">
        <f>SUM(I10:I10)</f>
        <v>0</v>
      </c>
      <c r="J11" s="636">
        <f>SUM(H11:I11)</f>
        <v>0</v>
      </c>
      <c r="K11" s="621"/>
      <c r="L11" s="622">
        <f>SUM(L10:L10)</f>
        <v>0</v>
      </c>
      <c r="M11" s="622">
        <f>A11+L11</f>
        <v>0</v>
      </c>
      <c r="N11" s="620"/>
      <c r="O11" s="625"/>
    </row>
    <row r="12" spans="1:19">
      <c r="A12" s="635"/>
      <c r="B12" s="618"/>
      <c r="C12" s="643"/>
      <c r="D12" s="625"/>
      <c r="E12" s="625"/>
      <c r="F12" s="625"/>
      <c r="G12" s="625"/>
      <c r="H12" s="625"/>
      <c r="I12" s="625"/>
      <c r="J12" s="635"/>
      <c r="K12" s="617"/>
      <c r="L12" s="617"/>
      <c r="M12" s="618"/>
      <c r="N12" s="620"/>
      <c r="O12" s="620"/>
    </row>
    <row r="13" spans="1:19">
      <c r="A13" s="676" t="s">
        <v>620</v>
      </c>
      <c r="B13" s="618"/>
      <c r="C13" s="627" t="s">
        <v>614</v>
      </c>
      <c r="D13" s="625"/>
      <c r="E13" s="626" t="s">
        <v>615</v>
      </c>
      <c r="F13" s="625"/>
      <c r="G13" s="626" t="s">
        <v>616</v>
      </c>
      <c r="H13" s="625"/>
      <c r="I13" s="626" t="s">
        <v>617</v>
      </c>
      <c r="J13" s="635"/>
      <c r="K13" s="617"/>
      <c r="L13" s="640" t="s">
        <v>618</v>
      </c>
      <c r="M13" s="640" t="s">
        <v>624</v>
      </c>
      <c r="N13" s="620"/>
      <c r="O13" s="620"/>
    </row>
    <row r="14" spans="1:19">
      <c r="A14" s="676">
        <f>A11</f>
        <v>0</v>
      </c>
      <c r="B14" s="618"/>
      <c r="C14" s="627">
        <f>(276/365)*C11</f>
        <v>0</v>
      </c>
      <c r="D14" s="625"/>
      <c r="E14" s="626">
        <f>(185/365)*E11</f>
        <v>0</v>
      </c>
      <c r="F14" s="625"/>
      <c r="G14" s="626">
        <f>(93/365)*G11</f>
        <v>0</v>
      </c>
      <c r="H14" s="625"/>
      <c r="I14" s="626">
        <f>(1/365)*I11</f>
        <v>0</v>
      </c>
      <c r="J14" s="635"/>
      <c r="K14" s="617"/>
      <c r="L14" s="640">
        <f>C14+E14+G14+I14</f>
        <v>0</v>
      </c>
      <c r="M14" s="640">
        <f>A14+L14</f>
        <v>0</v>
      </c>
      <c r="N14" s="620"/>
      <c r="O14" s="625">
        <f>'WP03-A ADIT Summary'!F14+'WP03-A ADIT Summary'!J27</f>
        <v>0</v>
      </c>
      <c r="Q14" s="620">
        <f>O14-M14</f>
        <v>0</v>
      </c>
      <c r="R14" s="624">
        <f>SUM('WP03-A ADIT Summary'!F27:H27)</f>
        <v>0</v>
      </c>
      <c r="S14" s="651">
        <f>Q14-R14</f>
        <v>0</v>
      </c>
    </row>
    <row r="15" spans="1:19" ht="15.65" thickBot="1">
      <c r="A15" s="675">
        <v>0</v>
      </c>
      <c r="B15" s="622"/>
      <c r="C15" s="631">
        <v>0</v>
      </c>
      <c r="D15" s="622">
        <f>SUM(A15:C15)</f>
        <v>0</v>
      </c>
      <c r="E15" s="630">
        <v>0</v>
      </c>
      <c r="F15" s="622">
        <f>SUM(D15:E15)</f>
        <v>0</v>
      </c>
      <c r="G15" s="630">
        <v>0</v>
      </c>
      <c r="H15" s="622">
        <f>SUM(F15:G15)</f>
        <v>0</v>
      </c>
      <c r="I15" s="630">
        <v>0</v>
      </c>
      <c r="J15" s="636">
        <f>SUM(H15:I15)</f>
        <v>0</v>
      </c>
      <c r="K15" s="623"/>
      <c r="L15" s="630">
        <v>0</v>
      </c>
      <c r="M15" s="622">
        <f>A15+L15</f>
        <v>0</v>
      </c>
      <c r="O15" s="633"/>
    </row>
    <row r="16" spans="1:19">
      <c r="A16" s="635"/>
      <c r="B16" s="625"/>
      <c r="C16" s="619"/>
      <c r="D16" s="625"/>
      <c r="E16" s="620"/>
      <c r="F16" s="625"/>
      <c r="G16" s="620"/>
      <c r="H16" s="625"/>
      <c r="I16" s="620"/>
      <c r="J16" s="635"/>
      <c r="K16" s="624"/>
      <c r="L16" s="620"/>
      <c r="M16" s="625"/>
    </row>
    <row r="17" spans="1:19">
      <c r="A17" s="676" t="s">
        <v>621</v>
      </c>
      <c r="B17" s="625"/>
      <c r="C17" s="627" t="s">
        <v>614</v>
      </c>
      <c r="D17" s="625"/>
      <c r="E17" s="626" t="s">
        <v>615</v>
      </c>
      <c r="F17" s="625"/>
      <c r="G17" s="626" t="s">
        <v>616</v>
      </c>
      <c r="H17" s="625"/>
      <c r="I17" s="626" t="s">
        <v>617</v>
      </c>
      <c r="J17" s="635"/>
      <c r="K17" s="624"/>
      <c r="L17" s="626" t="s">
        <v>618</v>
      </c>
      <c r="M17" s="626" t="s">
        <v>625</v>
      </c>
    </row>
    <row r="18" spans="1:19">
      <c r="A18" s="676">
        <f>A15</f>
        <v>0</v>
      </c>
      <c r="B18" s="625"/>
      <c r="C18" s="627">
        <f>(276/365)*C15</f>
        <v>0</v>
      </c>
      <c r="D18" s="625"/>
      <c r="E18" s="626">
        <f>(185/365)*E15</f>
        <v>0</v>
      </c>
      <c r="F18" s="625"/>
      <c r="G18" s="626">
        <f>(93/365)*G15</f>
        <v>0</v>
      </c>
      <c r="H18" s="625"/>
      <c r="I18" s="626">
        <f>(1/365)*I15</f>
        <v>0</v>
      </c>
      <c r="J18" s="635"/>
      <c r="K18" s="624"/>
      <c r="L18" s="626">
        <f>C18+E18+G18+I18</f>
        <v>0</v>
      </c>
      <c r="M18" s="626">
        <f>A18+L18</f>
        <v>0</v>
      </c>
      <c r="O18" s="633">
        <f>'WP03-A ADIT Summary'!G14+'WP03-A ADIT Summary'!J34</f>
        <v>0</v>
      </c>
      <c r="Q18" s="620">
        <f>O18-M18</f>
        <v>0</v>
      </c>
      <c r="R18" s="624">
        <f>SUM('WP03-A ADIT Summary'!F34:H34)</f>
        <v>0</v>
      </c>
      <c r="S18" s="651">
        <f>Q18-R18</f>
        <v>0</v>
      </c>
    </row>
    <row r="19" spans="1:19" ht="15.65" thickBot="1">
      <c r="A19" s="677">
        <f>A6+A11+A15</f>
        <v>0</v>
      </c>
      <c r="B19" s="629"/>
      <c r="C19" s="644">
        <f t="shared" ref="C19:I19" si="0">C6+C11+C15</f>
        <v>0</v>
      </c>
      <c r="D19" s="629">
        <f t="shared" si="0"/>
        <v>0</v>
      </c>
      <c r="E19" s="629">
        <f t="shared" si="0"/>
        <v>0</v>
      </c>
      <c r="F19" s="629">
        <f t="shared" si="0"/>
        <v>0</v>
      </c>
      <c r="G19" s="629">
        <f t="shared" si="0"/>
        <v>0</v>
      </c>
      <c r="H19" s="629">
        <f t="shared" si="0"/>
        <v>0</v>
      </c>
      <c r="I19" s="629">
        <f t="shared" si="0"/>
        <v>0</v>
      </c>
      <c r="J19" s="637"/>
      <c r="K19" s="628"/>
      <c r="L19" s="629">
        <f>L6+L11+L15</f>
        <v>0</v>
      </c>
      <c r="M19" s="648">
        <f>A19+L19</f>
        <v>0</v>
      </c>
      <c r="O19" s="633"/>
      <c r="S19" s="652"/>
    </row>
    <row r="20" spans="1:19" ht="15.65" thickTop="1">
      <c r="A20" s="607"/>
      <c r="M20" s="607"/>
    </row>
    <row r="21" spans="1:19" ht="30.05" hidden="1">
      <c r="A21" s="641" t="s">
        <v>622</v>
      </c>
      <c r="C21" s="645" t="s">
        <v>614</v>
      </c>
      <c r="D21" s="607"/>
      <c r="E21" s="645" t="s">
        <v>615</v>
      </c>
      <c r="F21" s="607"/>
      <c r="G21" s="645" t="s">
        <v>616</v>
      </c>
      <c r="H21" s="607"/>
      <c r="I21" s="645" t="s">
        <v>617</v>
      </c>
      <c r="J21" s="607"/>
      <c r="L21" s="647" t="s">
        <v>618</v>
      </c>
      <c r="M21" s="647" t="s">
        <v>626</v>
      </c>
    </row>
    <row r="22" spans="1:19" hidden="1">
      <c r="A22" s="640">
        <f>A19</f>
        <v>0</v>
      </c>
      <c r="B22" s="618"/>
      <c r="C22" s="640">
        <f>(276/365)*C19</f>
        <v>0</v>
      </c>
      <c r="D22" s="618"/>
      <c r="E22" s="640">
        <f>(185/365)*E19</f>
        <v>0</v>
      </c>
      <c r="F22" s="618"/>
      <c r="G22" s="640">
        <f>(93/365)*G19</f>
        <v>0</v>
      </c>
      <c r="H22" s="618"/>
      <c r="I22" s="640">
        <f>(1/365)*I19</f>
        <v>0</v>
      </c>
      <c r="J22" s="618"/>
      <c r="K22" s="617"/>
      <c r="L22" s="640">
        <f>C22+E22+G22+I22</f>
        <v>0</v>
      </c>
      <c r="M22" s="640">
        <f>M9+M14+M18</f>
        <v>0</v>
      </c>
      <c r="N22" s="620"/>
      <c r="O22" s="620"/>
    </row>
    <row r="23" spans="1:19" hidden="1">
      <c r="A23" s="618"/>
      <c r="B23" s="618"/>
      <c r="C23" s="617"/>
      <c r="D23" s="617"/>
      <c r="E23" s="617"/>
      <c r="F23" s="617"/>
      <c r="G23" s="617"/>
      <c r="H23" s="617"/>
      <c r="I23" s="617"/>
      <c r="J23" s="617"/>
      <c r="K23" s="617"/>
      <c r="L23" s="617"/>
      <c r="M23" s="618"/>
      <c r="N23" s="620"/>
      <c r="O23" s="620"/>
    </row>
    <row r="24" spans="1:19" hidden="1">
      <c r="A24" s="618"/>
      <c r="B24" s="618"/>
      <c r="C24" s="617"/>
      <c r="D24" s="617"/>
      <c r="E24" s="617"/>
      <c r="F24" s="617"/>
      <c r="G24" s="617"/>
      <c r="H24" s="617"/>
      <c r="I24" s="617"/>
      <c r="J24" s="617"/>
      <c r="K24" s="617"/>
      <c r="L24" s="617"/>
      <c r="M24" s="640" t="s">
        <v>627</v>
      </c>
      <c r="N24" s="620"/>
      <c r="O24" s="620"/>
    </row>
    <row r="25" spans="1:19" hidden="1">
      <c r="A25" s="618"/>
      <c r="B25" s="618"/>
      <c r="C25" s="617"/>
      <c r="D25" s="617"/>
      <c r="E25" s="617"/>
      <c r="F25" s="617"/>
      <c r="G25" s="617"/>
      <c r="H25" s="617"/>
      <c r="I25" s="617"/>
      <c r="J25" s="617"/>
      <c r="K25" s="617"/>
      <c r="L25" s="617"/>
      <c r="M25" s="640">
        <f>A22</f>
        <v>0</v>
      </c>
      <c r="N25" s="620"/>
      <c r="O25" s="620"/>
    </row>
    <row r="26" spans="1:19" hidden="1">
      <c r="A26" s="618"/>
      <c r="B26" s="618"/>
      <c r="C26" s="617"/>
      <c r="D26" s="617"/>
      <c r="E26" s="617"/>
      <c r="F26" s="617"/>
      <c r="G26" s="617"/>
      <c r="H26" s="617"/>
      <c r="I26" s="617"/>
      <c r="J26" s="617"/>
      <c r="K26" s="617"/>
      <c r="L26" s="617"/>
      <c r="M26" s="618"/>
      <c r="N26" s="620"/>
      <c r="O26" s="620"/>
    </row>
    <row r="27" spans="1:19" hidden="1">
      <c r="A27" s="618"/>
      <c r="B27" s="618"/>
      <c r="C27" s="617"/>
      <c r="D27" s="617"/>
      <c r="E27" s="617"/>
      <c r="F27" s="617"/>
      <c r="G27" s="617"/>
      <c r="H27" s="617"/>
      <c r="I27" s="617"/>
      <c r="J27" s="617"/>
      <c r="K27" s="617"/>
      <c r="L27" s="617"/>
      <c r="M27" s="640" t="s">
        <v>628</v>
      </c>
      <c r="N27" s="620"/>
      <c r="O27" s="620"/>
    </row>
    <row r="28" spans="1:19" hidden="1">
      <c r="A28" s="618"/>
      <c r="B28" s="618"/>
      <c r="C28" s="617"/>
      <c r="D28" s="617"/>
      <c r="E28" s="617"/>
      <c r="F28" s="617"/>
      <c r="G28" s="617"/>
      <c r="H28" s="617"/>
      <c r="I28" s="617"/>
      <c r="J28" s="617"/>
      <c r="K28" s="617"/>
      <c r="L28" s="617"/>
      <c r="M28" s="640">
        <f>(M25+M22)/2</f>
        <v>0</v>
      </c>
      <c r="N28" s="620"/>
      <c r="O28" s="620"/>
    </row>
    <row r="29" spans="1:19">
      <c r="A29" s="607"/>
    </row>
    <row r="30" spans="1:19">
      <c r="A30" s="607"/>
    </row>
    <row r="31" spans="1:19">
      <c r="A31" s="607"/>
    </row>
    <row r="32" spans="1:19">
      <c r="A32" s="607"/>
    </row>
    <row r="33" spans="1:1">
      <c r="A33" s="607"/>
    </row>
    <row r="34" spans="1:1">
      <c r="A34" s="607"/>
    </row>
    <row r="35" spans="1:1">
      <c r="A35" s="607"/>
    </row>
  </sheetData>
  <mergeCells count="2">
    <mergeCell ref="C3:J3"/>
    <mergeCell ref="L3:M3"/>
  </mergeCells>
  <pageMargins left="0.7" right="0.7" top="0.75" bottom="0.75" header="0.3" footer="0.3"/>
  <pageSetup scale="80" orientation="landscape" r:id="rId1"/>
  <colBreaks count="1" manualBreakCount="1">
    <brk id="10" max="28"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21"/>
  <dimension ref="A1:J21"/>
  <sheetViews>
    <sheetView view="pageBreakPreview" zoomScaleNormal="100" zoomScaleSheetLayoutView="100" workbookViewId="0">
      <selection activeCell="L80" sqref="L80"/>
    </sheetView>
  </sheetViews>
  <sheetFormatPr defaultRowHeight="15.05"/>
  <cols>
    <col min="1" max="1" width="3" customWidth="1"/>
    <col min="2" max="2" width="1.81640625" customWidth="1"/>
    <col min="3" max="3" width="46.54296875" customWidth="1"/>
    <col min="4" max="4" width="4" customWidth="1"/>
    <col min="5" max="5" width="13.36328125" customWidth="1"/>
    <col min="6" max="6" width="2" customWidth="1"/>
    <col min="10" max="10" width="4.08984375" customWidth="1"/>
  </cols>
  <sheetData>
    <row r="1" spans="1:10" ht="15.65">
      <c r="E1" s="6"/>
      <c r="I1" s="6"/>
      <c r="J1" s="6" t="s">
        <v>795</v>
      </c>
    </row>
    <row r="2" spans="1:10" ht="15.65">
      <c r="E2" s="6"/>
      <c r="I2" s="6"/>
      <c r="J2" s="6" t="s">
        <v>221</v>
      </c>
    </row>
    <row r="3" spans="1:10" ht="15.65">
      <c r="A3" s="55"/>
      <c r="B3" s="131"/>
      <c r="C3" s="131"/>
      <c r="D3" s="131"/>
      <c r="E3" s="9"/>
      <c r="I3" s="9"/>
      <c r="J3" s="9" t="str">
        <f>'Attachment 1 - Sched 1A'!$J$3</f>
        <v>For the 12 months ended 12/31/2019</v>
      </c>
    </row>
    <row r="4" spans="1:10" ht="15.65">
      <c r="A4" s="55"/>
      <c r="B4" s="131"/>
      <c r="C4" s="131"/>
      <c r="D4" s="131"/>
      <c r="E4" s="131"/>
    </row>
    <row r="5" spans="1:10">
      <c r="A5" s="284">
        <v>1</v>
      </c>
      <c r="B5" s="281"/>
      <c r="C5" s="282" t="s">
        <v>404</v>
      </c>
      <c r="D5" s="283"/>
      <c r="E5" s="284"/>
    </row>
    <row r="6" spans="1:10">
      <c r="A6" s="284"/>
      <c r="B6" s="281"/>
      <c r="C6" s="282"/>
      <c r="D6" s="283"/>
      <c r="E6" s="284"/>
    </row>
    <row r="7" spans="1:10">
      <c r="A7" s="284">
        <f>+A5+1</f>
        <v>2</v>
      </c>
      <c r="B7" s="285"/>
      <c r="C7" s="286" t="s">
        <v>869</v>
      </c>
      <c r="D7" s="287"/>
      <c r="E7" s="977" t="s">
        <v>8</v>
      </c>
      <c r="F7" s="976"/>
      <c r="G7" s="976" t="s">
        <v>375</v>
      </c>
    </row>
    <row r="8" spans="1:10">
      <c r="A8" s="284">
        <f>+A7+1</f>
        <v>3</v>
      </c>
      <c r="B8" s="281"/>
      <c r="C8" s="291" t="s">
        <v>926</v>
      </c>
      <c r="D8" s="291"/>
      <c r="E8" s="856">
        <v>-108686300</v>
      </c>
      <c r="F8" s="666"/>
      <c r="G8" s="666" t="s">
        <v>1172</v>
      </c>
    </row>
    <row r="9" spans="1:10">
      <c r="A9" s="284">
        <f>+A8+1</f>
        <v>4</v>
      </c>
      <c r="B9" s="285"/>
      <c r="C9" s="291" t="s">
        <v>927</v>
      </c>
      <c r="D9" s="291"/>
      <c r="E9" s="856">
        <v>2024261894</v>
      </c>
      <c r="F9" s="666"/>
      <c r="G9" s="666" t="s">
        <v>1173</v>
      </c>
    </row>
    <row r="10" spans="1:10">
      <c r="A10" s="284">
        <f t="shared" ref="A10:A14" si="0">+A9+1</f>
        <v>5</v>
      </c>
      <c r="B10" s="284"/>
      <c r="C10" s="288" t="s">
        <v>902</v>
      </c>
      <c r="D10" s="288"/>
      <c r="E10" s="293">
        <f>E8/E9</f>
        <v>-5.3691817408681605E-2</v>
      </c>
      <c r="F10" s="666"/>
      <c r="G10" s="666"/>
    </row>
    <row r="11" spans="1:10">
      <c r="A11" s="284">
        <f t="shared" si="0"/>
        <v>6</v>
      </c>
      <c r="B11" s="284"/>
      <c r="C11" s="288" t="s">
        <v>406</v>
      </c>
      <c r="D11" s="288"/>
      <c r="E11" s="672">
        <v>19757511</v>
      </c>
      <c r="F11" s="666"/>
      <c r="G11" s="666" t="s">
        <v>1174</v>
      </c>
    </row>
    <row r="12" spans="1:10">
      <c r="A12" s="284">
        <f t="shared" si="0"/>
        <v>7</v>
      </c>
      <c r="B12" s="284"/>
      <c r="C12" s="288" t="s">
        <v>903</v>
      </c>
      <c r="D12" s="289"/>
      <c r="E12" s="292">
        <f>E10*E11</f>
        <v>-1060816.6730620184</v>
      </c>
      <c r="F12" s="666"/>
    </row>
    <row r="13" spans="1:10">
      <c r="A13" s="284">
        <f t="shared" si="0"/>
        <v>8</v>
      </c>
      <c r="B13" s="284"/>
      <c r="C13" s="288" t="s">
        <v>1175</v>
      </c>
      <c r="D13" s="288"/>
      <c r="E13" s="672">
        <v>-301416</v>
      </c>
      <c r="F13" s="666"/>
      <c r="G13" s="666" t="s">
        <v>1176</v>
      </c>
    </row>
    <row r="14" spans="1:10">
      <c r="A14" s="284">
        <f t="shared" si="0"/>
        <v>9</v>
      </c>
      <c r="B14" s="284"/>
      <c r="C14" s="288" t="s">
        <v>904</v>
      </c>
      <c r="D14" s="288"/>
      <c r="E14" s="292">
        <f>E12-E13</f>
        <v>-759400.67306201835</v>
      </c>
      <c r="F14" s="666"/>
    </row>
    <row r="15" spans="1:10">
      <c r="A15" s="284"/>
      <c r="B15" s="284"/>
      <c r="C15" s="288"/>
      <c r="D15" s="288"/>
      <c r="E15" s="294"/>
    </row>
    <row r="16" spans="1:10">
      <c r="A16" s="284"/>
      <c r="B16" s="284"/>
      <c r="C16" s="291"/>
      <c r="D16" s="291"/>
      <c r="E16" s="292"/>
    </row>
    <row r="17" spans="1:5">
      <c r="A17" s="284">
        <v>10</v>
      </c>
      <c r="B17" s="284"/>
      <c r="C17" s="288" t="s">
        <v>1202</v>
      </c>
      <c r="D17" s="288"/>
      <c r="E17" s="291"/>
    </row>
    <row r="21" spans="1:5">
      <c r="C21" s="604"/>
      <c r="D21" s="604"/>
      <c r="E21" s="604"/>
    </row>
  </sheetData>
  <pageMargins left="0.7" right="0.7" top="0.75" bottom="0.75" header="0.3" footer="0.3"/>
  <pageSetup scale="57"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5"/>
  <dimension ref="A1:I40"/>
  <sheetViews>
    <sheetView view="pageBreakPreview" zoomScale="85" zoomScaleNormal="85" zoomScaleSheetLayoutView="85" workbookViewId="0">
      <selection activeCell="L80" sqref="L80"/>
    </sheetView>
  </sheetViews>
  <sheetFormatPr defaultColWidth="8.90625" defaultRowHeight="20.05" customHeight="1"/>
  <cols>
    <col min="1" max="1" width="3.90625" style="52" customWidth="1"/>
    <col min="2" max="2" width="40.81640625" style="46" customWidth="1"/>
    <col min="3" max="3" width="10.81640625" style="51" customWidth="1"/>
    <col min="4" max="4" width="12.81640625" style="63" customWidth="1"/>
    <col min="5" max="7" width="12.81640625" style="52" customWidth="1"/>
    <col min="8" max="16384" width="8.90625" style="46"/>
  </cols>
  <sheetData>
    <row r="1" spans="1:9" ht="20.05" customHeight="1">
      <c r="A1" s="808"/>
      <c r="D1" s="6" t="s">
        <v>796</v>
      </c>
      <c r="E1" s="808"/>
      <c r="F1" s="808"/>
      <c r="G1" s="808"/>
    </row>
    <row r="2" spans="1:9" ht="20.05" customHeight="1">
      <c r="A2" s="808"/>
      <c r="D2" s="6" t="s">
        <v>221</v>
      </c>
      <c r="E2" s="808"/>
      <c r="F2" s="808"/>
      <c r="G2" s="808"/>
    </row>
    <row r="3" spans="1:9" ht="20.05" customHeight="1">
      <c r="A3" s="808"/>
      <c r="D3" s="9" t="str">
        <f>'Attachment 1 - Sched 1A'!$J$3</f>
        <v>For the 12 months ended 12/31/2019</v>
      </c>
      <c r="E3" s="808"/>
      <c r="F3" s="808"/>
      <c r="G3" s="808"/>
    </row>
    <row r="4" spans="1:9" ht="20.05" customHeight="1">
      <c r="A4" s="55"/>
      <c r="B4" s="809" t="s">
        <v>797</v>
      </c>
    </row>
    <row r="5" spans="1:9" ht="20.05" customHeight="1">
      <c r="C5" s="136"/>
    </row>
    <row r="6" spans="1:9" ht="20.05" customHeight="1">
      <c r="B6" s="51"/>
      <c r="C6" s="53" t="s">
        <v>260</v>
      </c>
      <c r="D6" s="662" t="s">
        <v>1396</v>
      </c>
      <c r="E6" s="61"/>
      <c r="F6" s="54"/>
      <c r="G6" s="54"/>
      <c r="I6" s="54"/>
    </row>
    <row r="7" spans="1:9" ht="20.05" customHeight="1">
      <c r="A7" s="67">
        <v>1</v>
      </c>
      <c r="B7" s="57" t="s">
        <v>279</v>
      </c>
      <c r="C7" s="63"/>
      <c r="D7" s="62"/>
      <c r="F7" s="54"/>
      <c r="G7" s="54"/>
    </row>
    <row r="8" spans="1:9" ht="20.05" customHeight="1">
      <c r="A8" s="67" t="s">
        <v>736</v>
      </c>
      <c r="B8" s="995" t="s">
        <v>1356</v>
      </c>
      <c r="C8" s="63" t="s">
        <v>67</v>
      </c>
      <c r="D8" s="123">
        <v>585815</v>
      </c>
      <c r="F8" s="54"/>
      <c r="G8" s="54"/>
    </row>
    <row r="9" spans="1:9" ht="20.05" customHeight="1">
      <c r="A9" s="67" t="s">
        <v>737</v>
      </c>
      <c r="B9" s="995"/>
      <c r="C9" s="63" t="s">
        <v>67</v>
      </c>
      <c r="D9" s="123">
        <v>0</v>
      </c>
      <c r="F9" s="53"/>
      <c r="G9" s="53"/>
    </row>
    <row r="10" spans="1:9" ht="20.05" customHeight="1" thickBot="1">
      <c r="A10" s="67" t="s">
        <v>738</v>
      </c>
      <c r="B10" s="995"/>
      <c r="C10" s="63" t="s">
        <v>67</v>
      </c>
      <c r="D10" s="128">
        <v>0</v>
      </c>
      <c r="F10" s="61"/>
      <c r="G10" s="61"/>
      <c r="I10" s="47"/>
    </row>
    <row r="11" spans="1:9" ht="20.05" customHeight="1">
      <c r="A11" s="67" t="s">
        <v>745</v>
      </c>
      <c r="B11" s="64" t="s">
        <v>282</v>
      </c>
      <c r="C11" s="63"/>
      <c r="D11" s="129">
        <f>SUM(D8:D10)</f>
        <v>585815</v>
      </c>
      <c r="F11" s="61"/>
      <c r="G11" s="61"/>
      <c r="I11" s="47"/>
    </row>
    <row r="12" spans="1:9" ht="20.05" customHeight="1">
      <c r="A12" s="67"/>
      <c r="B12" s="57"/>
      <c r="C12" s="63"/>
      <c r="D12" s="129"/>
    </row>
    <row r="13" spans="1:9" ht="20.05" customHeight="1">
      <c r="A13" s="67" t="s">
        <v>739</v>
      </c>
      <c r="B13" s="57" t="s">
        <v>278</v>
      </c>
      <c r="C13" s="63"/>
      <c r="D13" s="129"/>
      <c r="F13" s="58"/>
      <c r="G13" s="58"/>
      <c r="H13" s="58"/>
      <c r="I13" s="58"/>
    </row>
    <row r="14" spans="1:9" ht="20.05" customHeight="1" thickBot="1">
      <c r="A14" s="67" t="s">
        <v>640</v>
      </c>
      <c r="B14" s="995"/>
      <c r="C14" s="63" t="s">
        <v>67</v>
      </c>
      <c r="D14" s="128">
        <v>0</v>
      </c>
      <c r="F14" s="58"/>
      <c r="G14" s="58"/>
      <c r="H14" s="58"/>
      <c r="I14" s="58"/>
    </row>
    <row r="15" spans="1:9" ht="20.05" customHeight="1">
      <c r="A15" s="67" t="s">
        <v>746</v>
      </c>
      <c r="B15" s="65" t="s">
        <v>278</v>
      </c>
      <c r="C15" s="63"/>
      <c r="D15" s="129">
        <f>SUM(D14)</f>
        <v>0</v>
      </c>
      <c r="F15" s="58"/>
      <c r="G15" s="58"/>
      <c r="H15" s="58"/>
      <c r="I15" s="58"/>
    </row>
    <row r="16" spans="1:9" ht="20.05" customHeight="1">
      <c r="A16" s="67"/>
      <c r="B16" s="57"/>
      <c r="C16" s="63"/>
      <c r="D16" s="129"/>
      <c r="F16" s="58"/>
      <c r="G16" s="58"/>
      <c r="H16" s="58"/>
      <c r="I16" s="58"/>
    </row>
    <row r="17" spans="1:9" ht="20.05" customHeight="1">
      <c r="A17" s="67" t="s">
        <v>245</v>
      </c>
      <c r="B17" s="57" t="s">
        <v>276</v>
      </c>
      <c r="C17" s="63"/>
      <c r="D17" s="129"/>
      <c r="F17" s="58"/>
      <c r="G17" s="58"/>
      <c r="H17" s="58"/>
      <c r="I17" s="58"/>
    </row>
    <row r="18" spans="1:9" ht="20.05" customHeight="1">
      <c r="A18" s="67" t="s">
        <v>840</v>
      </c>
      <c r="B18" s="995" t="s">
        <v>984</v>
      </c>
      <c r="C18" s="63" t="s">
        <v>67</v>
      </c>
      <c r="D18" s="1011">
        <v>97165</v>
      </c>
      <c r="F18" s="58"/>
      <c r="G18" s="58"/>
      <c r="H18" s="58"/>
      <c r="I18" s="58"/>
    </row>
    <row r="19" spans="1:9" ht="20.05" customHeight="1">
      <c r="A19" s="67" t="s">
        <v>740</v>
      </c>
      <c r="B19" s="995"/>
      <c r="C19" s="63"/>
      <c r="D19" s="123">
        <v>0</v>
      </c>
      <c r="F19" s="58"/>
      <c r="G19" s="58"/>
      <c r="H19" s="58"/>
      <c r="I19" s="58"/>
    </row>
    <row r="20" spans="1:9" ht="20.05" customHeight="1" thickBot="1">
      <c r="A20" s="67" t="s">
        <v>741</v>
      </c>
      <c r="B20" s="995"/>
      <c r="C20" s="63"/>
      <c r="D20" s="128">
        <v>0</v>
      </c>
      <c r="F20" s="58"/>
      <c r="G20" s="58"/>
      <c r="H20" s="58"/>
      <c r="I20" s="58"/>
    </row>
    <row r="21" spans="1:9" ht="20.05" customHeight="1">
      <c r="A21" s="67" t="s">
        <v>747</v>
      </c>
      <c r="B21" s="65" t="s">
        <v>276</v>
      </c>
      <c r="C21" s="63"/>
      <c r="D21" s="129">
        <f>SUM(D18:D20)</f>
        <v>97165</v>
      </c>
      <c r="F21" s="58"/>
      <c r="G21" s="58"/>
      <c r="H21" s="58"/>
      <c r="I21" s="58"/>
    </row>
    <row r="22" spans="1:9" ht="20.05" customHeight="1">
      <c r="A22" s="67"/>
      <c r="B22" s="57"/>
      <c r="C22" s="63"/>
      <c r="D22" s="129"/>
      <c r="F22" s="58"/>
      <c r="G22" s="58"/>
      <c r="H22" s="58"/>
      <c r="I22" s="58"/>
    </row>
    <row r="23" spans="1:9" ht="20.05" customHeight="1">
      <c r="A23" s="67" t="s">
        <v>246</v>
      </c>
      <c r="B23" s="57" t="s">
        <v>277</v>
      </c>
      <c r="C23" s="46"/>
      <c r="D23" s="129"/>
      <c r="F23" s="58"/>
      <c r="G23" s="58"/>
      <c r="H23" s="58"/>
      <c r="I23" s="58"/>
    </row>
    <row r="24" spans="1:9" ht="20.05" customHeight="1" thickBot="1">
      <c r="A24" s="67" t="s">
        <v>650</v>
      </c>
      <c r="B24" s="995"/>
      <c r="C24" s="63" t="s">
        <v>67</v>
      </c>
      <c r="D24" s="128">
        <v>0</v>
      </c>
      <c r="F24" s="58"/>
      <c r="G24" s="58"/>
      <c r="H24" s="58"/>
      <c r="I24" s="58"/>
    </row>
    <row r="25" spans="1:9" ht="20.05" customHeight="1">
      <c r="A25" s="67" t="s">
        <v>748</v>
      </c>
      <c r="B25" s="65" t="s">
        <v>277</v>
      </c>
      <c r="C25" s="46"/>
      <c r="D25" s="124">
        <f>SUM(D24:D24)</f>
        <v>0</v>
      </c>
      <c r="F25" s="58"/>
      <c r="G25" s="58"/>
      <c r="H25" s="58"/>
      <c r="I25" s="58"/>
    </row>
    <row r="26" spans="1:9" ht="20.05" customHeight="1">
      <c r="A26" s="67"/>
      <c r="B26" s="57"/>
      <c r="C26" s="63"/>
      <c r="D26" s="129"/>
      <c r="F26" s="58"/>
      <c r="G26" s="58"/>
      <c r="H26" s="58"/>
      <c r="I26" s="58"/>
    </row>
    <row r="27" spans="1:9" ht="20.05" customHeight="1">
      <c r="A27" s="67" t="s">
        <v>197</v>
      </c>
      <c r="B27" s="57" t="s">
        <v>280</v>
      </c>
      <c r="C27" s="63"/>
      <c r="D27" s="129"/>
      <c r="F27" s="58"/>
      <c r="G27" s="58"/>
      <c r="H27" s="58"/>
      <c r="I27" s="58"/>
    </row>
    <row r="28" spans="1:9" ht="20.05" customHeight="1">
      <c r="A28" s="67" t="s">
        <v>742</v>
      </c>
      <c r="B28" s="996" t="s">
        <v>281</v>
      </c>
      <c r="C28" s="63" t="s">
        <v>67</v>
      </c>
      <c r="D28" s="123">
        <v>24</v>
      </c>
      <c r="F28" s="58"/>
      <c r="G28" s="58"/>
      <c r="H28" s="58"/>
      <c r="I28" s="58"/>
    </row>
    <row r="29" spans="1:9" ht="20.05" customHeight="1">
      <c r="A29" s="67" t="s">
        <v>743</v>
      </c>
      <c r="B29" s="996"/>
      <c r="C29" s="63" t="s">
        <v>67</v>
      </c>
      <c r="D29" s="123">
        <v>0</v>
      </c>
      <c r="F29" s="58"/>
      <c r="G29" s="58"/>
      <c r="H29" s="58"/>
      <c r="I29" s="58"/>
    </row>
    <row r="30" spans="1:9" ht="20.05" customHeight="1" thickBot="1">
      <c r="A30" s="67" t="s">
        <v>744</v>
      </c>
      <c r="B30" s="996"/>
      <c r="C30" s="63"/>
      <c r="D30" s="128">
        <v>0</v>
      </c>
    </row>
    <row r="31" spans="1:9" ht="20.05" customHeight="1">
      <c r="A31" s="67" t="s">
        <v>749</v>
      </c>
      <c r="B31" s="65" t="s">
        <v>280</v>
      </c>
      <c r="C31" s="63"/>
      <c r="D31" s="129">
        <f>SUM(D28:D30)</f>
        <v>24</v>
      </c>
    </row>
    <row r="32" spans="1:9" ht="20.05" customHeight="1">
      <c r="A32" s="67"/>
      <c r="B32" s="51"/>
      <c r="C32" s="63"/>
      <c r="D32" s="129"/>
    </row>
    <row r="33" spans="1:9" ht="20.05" customHeight="1">
      <c r="A33" s="67" t="s">
        <v>750</v>
      </c>
      <c r="B33" s="57" t="s">
        <v>283</v>
      </c>
      <c r="C33" s="63"/>
      <c r="D33" s="123"/>
    </row>
    <row r="34" spans="1:9" ht="20.05" customHeight="1">
      <c r="E34" s="61"/>
    </row>
    <row r="35" spans="1:9" ht="31.5" customHeight="1">
      <c r="A35" s="67" t="s">
        <v>200</v>
      </c>
      <c r="B35" s="1352" t="s">
        <v>751</v>
      </c>
      <c r="C35" s="1352"/>
      <c r="D35" s="1236">
        <f>D11+D15+D21+D25+D31+D33</f>
        <v>683004</v>
      </c>
      <c r="E35" s="61"/>
    </row>
    <row r="36" spans="1:9" ht="20.05" customHeight="1">
      <c r="E36" s="61"/>
    </row>
    <row r="37" spans="1:9" ht="20.05" customHeight="1">
      <c r="E37" s="61"/>
    </row>
    <row r="38" spans="1:9" ht="20.05" customHeight="1">
      <c r="E38" s="61"/>
    </row>
    <row r="39" spans="1:9" ht="20.05" customHeight="1">
      <c r="A39" s="46" t="s">
        <v>261</v>
      </c>
      <c r="B39" s="51"/>
    </row>
    <row r="40" spans="1:9" s="63" customFormat="1" ht="20.05" customHeight="1">
      <c r="A40" s="52" t="s">
        <v>260</v>
      </c>
      <c r="B40" s="46" t="s">
        <v>262</v>
      </c>
      <c r="E40" s="52"/>
      <c r="F40" s="52"/>
      <c r="G40" s="52"/>
      <c r="H40" s="46"/>
      <c r="I40" s="46"/>
    </row>
  </sheetData>
  <customSheetViews>
    <customSheetView guid="{E1861F40-EBD5-44AE-868B-FDE0ED504D72}" scale="85">
      <selection activeCell="E9" sqref="E9"/>
      <pageMargins left="0.7" right="0.7" top="0.75" bottom="0.75" header="0.3" footer="0.3"/>
      <pageSetup scale="55" orientation="portrait" r:id="rId1"/>
    </customSheetView>
  </customSheetViews>
  <mergeCells count="1">
    <mergeCell ref="B35:C35"/>
  </mergeCells>
  <pageMargins left="0.7" right="0.7" top="0.75" bottom="0.75" header="0.3" footer="0.3"/>
  <pageSetup scale="60" orientation="portrait" r:id="rId2"/>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6"/>
  <dimension ref="A1:M27"/>
  <sheetViews>
    <sheetView view="pageBreakPreview" zoomScale="60" zoomScaleNormal="85" workbookViewId="0">
      <selection activeCell="L80" sqref="L80"/>
    </sheetView>
  </sheetViews>
  <sheetFormatPr defaultColWidth="8.90625" defaultRowHeight="20.05" customHeight="1"/>
  <cols>
    <col min="1" max="1" width="2.81640625" style="52" customWidth="1"/>
    <col min="2" max="2" width="10.81640625" style="46" customWidth="1"/>
    <col min="3" max="3" width="8.90625" style="46"/>
    <col min="4" max="4" width="2.81640625" style="46" customWidth="1"/>
    <col min="5" max="5" width="13.1796875" style="52" bestFit="1" customWidth="1"/>
    <col min="6" max="7" width="12.81640625" style="52" customWidth="1"/>
    <col min="8" max="8" width="12.81640625" style="404" customWidth="1"/>
    <col min="9" max="9" width="12.81640625" style="654" customWidth="1"/>
    <col min="10" max="10" width="12.1796875" style="52" customWidth="1"/>
    <col min="11" max="11" width="14.90625" style="52" customWidth="1"/>
    <col min="12" max="13" width="8.90625" style="46"/>
    <col min="14" max="15" width="13.54296875" style="46" bestFit="1" customWidth="1"/>
    <col min="16" max="16384" width="8.90625" style="46"/>
  </cols>
  <sheetData>
    <row r="1" spans="1:13" ht="20.05" customHeight="1">
      <c r="A1" s="808"/>
      <c r="E1" s="808"/>
      <c r="F1" s="808"/>
      <c r="G1" s="808"/>
      <c r="H1" s="808"/>
      <c r="I1" s="808"/>
      <c r="J1" s="808"/>
      <c r="K1" s="808"/>
      <c r="M1" s="6" t="s">
        <v>798</v>
      </c>
    </row>
    <row r="2" spans="1:13" ht="20.05" customHeight="1">
      <c r="A2" s="808"/>
      <c r="E2" s="808"/>
      <c r="F2" s="808"/>
      <c r="G2" s="808"/>
      <c r="H2" s="808"/>
      <c r="I2" s="808"/>
      <c r="J2" s="808"/>
      <c r="K2" s="808"/>
      <c r="M2" s="6" t="s">
        <v>221</v>
      </c>
    </row>
    <row r="3" spans="1:13" ht="20.05" customHeight="1">
      <c r="A3" s="808"/>
      <c r="E3" s="808"/>
      <c r="F3" s="808"/>
      <c r="G3" s="808"/>
      <c r="H3" s="809" t="s">
        <v>799</v>
      </c>
      <c r="I3" s="808"/>
      <c r="J3" s="808"/>
      <c r="K3" s="808"/>
      <c r="M3" s="9" t="str">
        <f>'Attachment 1 - Sched 1A'!$J$3</f>
        <v>For the 12 months ended 12/31/2019</v>
      </c>
    </row>
    <row r="4" spans="1:13" ht="20.05" customHeight="1">
      <c r="A4" s="55"/>
    </row>
    <row r="5" spans="1:13" ht="20.05" customHeight="1">
      <c r="C5" s="135"/>
      <c r="E5" s="66" t="s">
        <v>718</v>
      </c>
      <c r="F5" s="66" t="s">
        <v>719</v>
      </c>
      <c r="G5" s="66" t="s">
        <v>720</v>
      </c>
      <c r="H5" s="66" t="s">
        <v>721</v>
      </c>
      <c r="I5" s="66" t="s">
        <v>722</v>
      </c>
      <c r="J5" s="66" t="s">
        <v>723</v>
      </c>
      <c r="K5" s="66" t="s">
        <v>724</v>
      </c>
    </row>
    <row r="6" spans="1:13" ht="20.05" customHeight="1">
      <c r="E6" s="54" t="s">
        <v>284</v>
      </c>
      <c r="F6" s="54" t="s">
        <v>286</v>
      </c>
      <c r="G6" s="54" t="s">
        <v>287</v>
      </c>
      <c r="H6" s="385" t="s">
        <v>594</v>
      </c>
      <c r="I6" s="655" t="s">
        <v>663</v>
      </c>
      <c r="J6" s="54" t="s">
        <v>107</v>
      </c>
      <c r="K6" s="54" t="s">
        <v>288</v>
      </c>
    </row>
    <row r="7" spans="1:13" ht="20.05" customHeight="1">
      <c r="E7" s="54" t="s">
        <v>285</v>
      </c>
      <c r="F7" s="54"/>
      <c r="G7" s="54"/>
      <c r="H7" s="385"/>
      <c r="I7" s="655"/>
      <c r="J7" s="54"/>
      <c r="K7" s="54"/>
    </row>
    <row r="8" spans="1:13" ht="20.05" customHeight="1">
      <c r="D8" s="50" t="s">
        <v>260</v>
      </c>
      <c r="E8" s="53" t="s">
        <v>289</v>
      </c>
      <c r="F8" s="53" t="s">
        <v>290</v>
      </c>
      <c r="G8" s="53" t="s">
        <v>291</v>
      </c>
      <c r="H8" s="53" t="s">
        <v>593</v>
      </c>
      <c r="I8" s="53" t="s">
        <v>664</v>
      </c>
      <c r="J8" s="53" t="s">
        <v>665</v>
      </c>
      <c r="K8" s="56" t="s">
        <v>879</v>
      </c>
    </row>
    <row r="9" spans="1:13" ht="20.05" customHeight="1">
      <c r="A9" s="56">
        <v>1</v>
      </c>
      <c r="B9" s="46" t="s">
        <v>234</v>
      </c>
      <c r="C9" s="49">
        <v>2018</v>
      </c>
      <c r="D9" s="50"/>
      <c r="E9" s="1296">
        <v>927028530</v>
      </c>
      <c r="F9" s="123"/>
      <c r="G9" s="123"/>
      <c r="H9" s="123"/>
      <c r="I9" s="1296">
        <v>223591970</v>
      </c>
      <c r="J9" s="129">
        <f>E9-F9-G9-H9-I9</f>
        <v>703436560</v>
      </c>
      <c r="K9" s="1296">
        <v>449894709</v>
      </c>
    </row>
    <row r="10" spans="1:13" ht="20.05" customHeight="1">
      <c r="A10" s="56">
        <v>2</v>
      </c>
      <c r="B10" s="46" t="s">
        <v>235</v>
      </c>
      <c r="C10" s="122">
        <f>C9+1</f>
        <v>2019</v>
      </c>
      <c r="E10" s="1296">
        <v>933714572</v>
      </c>
      <c r="F10" s="123"/>
      <c r="G10" s="123"/>
      <c r="H10" s="123"/>
      <c r="I10" s="1296">
        <v>223591970</v>
      </c>
      <c r="J10" s="129">
        <f t="shared" ref="J10:J21" si="0">E10-F10-G10-H10-I10</f>
        <v>710122602</v>
      </c>
      <c r="K10" s="1296">
        <v>449895645</v>
      </c>
    </row>
    <row r="11" spans="1:13" ht="20.05" customHeight="1">
      <c r="A11" s="56">
        <v>3</v>
      </c>
      <c r="B11" s="46" t="s">
        <v>236</v>
      </c>
      <c r="C11" s="48">
        <f>C10</f>
        <v>2019</v>
      </c>
      <c r="E11" s="1296">
        <v>938355093</v>
      </c>
      <c r="F11" s="123"/>
      <c r="G11" s="123"/>
      <c r="H11" s="123"/>
      <c r="I11" s="1296">
        <v>223591970</v>
      </c>
      <c r="J11" s="129">
        <f t="shared" si="0"/>
        <v>714763123</v>
      </c>
      <c r="K11" s="1296">
        <v>449896581</v>
      </c>
    </row>
    <row r="12" spans="1:13" ht="20.05" customHeight="1">
      <c r="A12" s="56">
        <v>4</v>
      </c>
      <c r="B12" s="46" t="s">
        <v>237</v>
      </c>
      <c r="C12" s="48">
        <f t="shared" ref="C12:C21" si="1">C11</f>
        <v>2019</v>
      </c>
      <c r="E12" s="1296">
        <v>945609776</v>
      </c>
      <c r="F12" s="123"/>
      <c r="G12" s="123"/>
      <c r="H12" s="123"/>
      <c r="I12" s="1296">
        <v>223591970</v>
      </c>
      <c r="J12" s="129">
        <f t="shared" si="0"/>
        <v>722017806</v>
      </c>
      <c r="K12" s="1296">
        <v>449897517</v>
      </c>
    </row>
    <row r="13" spans="1:13" ht="20.05" customHeight="1">
      <c r="A13" s="56">
        <v>5</v>
      </c>
      <c r="B13" s="46" t="s">
        <v>238</v>
      </c>
      <c r="C13" s="48">
        <f t="shared" si="1"/>
        <v>2019</v>
      </c>
      <c r="E13" s="1296">
        <v>951714505</v>
      </c>
      <c r="F13" s="123"/>
      <c r="G13" s="123"/>
      <c r="H13" s="123"/>
      <c r="I13" s="1296">
        <v>223591970</v>
      </c>
      <c r="J13" s="129">
        <f t="shared" si="0"/>
        <v>728122535</v>
      </c>
      <c r="K13" s="1296">
        <v>449898454</v>
      </c>
    </row>
    <row r="14" spans="1:13" ht="20.05" customHeight="1">
      <c r="A14" s="56">
        <v>6</v>
      </c>
      <c r="B14" s="46" t="s">
        <v>239</v>
      </c>
      <c r="C14" s="48">
        <f t="shared" si="1"/>
        <v>2019</v>
      </c>
      <c r="E14" s="1296">
        <v>956273545</v>
      </c>
      <c r="F14" s="123"/>
      <c r="G14" s="123"/>
      <c r="H14" s="123"/>
      <c r="I14" s="1296">
        <v>223591970</v>
      </c>
      <c r="J14" s="129">
        <f t="shared" si="0"/>
        <v>732681575</v>
      </c>
      <c r="K14" s="1296">
        <v>449899390</v>
      </c>
    </row>
    <row r="15" spans="1:13" ht="20.05" customHeight="1">
      <c r="A15" s="56">
        <v>7</v>
      </c>
      <c r="B15" s="46" t="s">
        <v>250</v>
      </c>
      <c r="C15" s="48">
        <f t="shared" si="1"/>
        <v>2019</v>
      </c>
      <c r="E15" s="1296">
        <v>961706111</v>
      </c>
      <c r="F15" s="123"/>
      <c r="G15" s="123"/>
      <c r="H15" s="123"/>
      <c r="I15" s="1296">
        <v>223591970</v>
      </c>
      <c r="J15" s="129">
        <f t="shared" si="0"/>
        <v>738114141</v>
      </c>
      <c r="K15" s="1296">
        <v>449900326</v>
      </c>
    </row>
    <row r="16" spans="1:13" ht="20.05" customHeight="1">
      <c r="A16" s="56">
        <v>8</v>
      </c>
      <c r="B16" s="46" t="s">
        <v>240</v>
      </c>
      <c r="C16" s="48">
        <f t="shared" si="1"/>
        <v>2019</v>
      </c>
      <c r="E16" s="1296">
        <v>968166382</v>
      </c>
      <c r="F16" s="123"/>
      <c r="G16" s="123"/>
      <c r="H16" s="123"/>
      <c r="I16" s="1296">
        <v>223591970</v>
      </c>
      <c r="J16" s="129">
        <f t="shared" si="0"/>
        <v>744574412</v>
      </c>
      <c r="K16" s="1296">
        <v>449901262</v>
      </c>
    </row>
    <row r="17" spans="1:11" ht="20.05" customHeight="1">
      <c r="A17" s="56">
        <v>9</v>
      </c>
      <c r="B17" s="46" t="s">
        <v>241</v>
      </c>
      <c r="C17" s="48">
        <f t="shared" si="1"/>
        <v>2019</v>
      </c>
      <c r="E17" s="1296">
        <v>974614100</v>
      </c>
      <c r="F17" s="123"/>
      <c r="G17" s="123"/>
      <c r="H17" s="123"/>
      <c r="I17" s="1296">
        <v>223591970</v>
      </c>
      <c r="J17" s="129">
        <f t="shared" si="0"/>
        <v>751022130</v>
      </c>
      <c r="K17" s="1296">
        <v>449902198</v>
      </c>
    </row>
    <row r="18" spans="1:11" ht="20.05" customHeight="1">
      <c r="A18" s="56">
        <v>10</v>
      </c>
      <c r="B18" s="46" t="s">
        <v>242</v>
      </c>
      <c r="C18" s="48">
        <f t="shared" si="1"/>
        <v>2019</v>
      </c>
      <c r="E18" s="1296">
        <v>923033373</v>
      </c>
      <c r="F18" s="123"/>
      <c r="G18" s="123"/>
      <c r="H18" s="123"/>
      <c r="I18" s="1296">
        <v>223591970</v>
      </c>
      <c r="J18" s="129">
        <f t="shared" si="0"/>
        <v>699441403</v>
      </c>
      <c r="K18" s="1296">
        <v>449903135</v>
      </c>
    </row>
    <row r="19" spans="1:11" ht="20.05" customHeight="1">
      <c r="A19" s="56">
        <v>11</v>
      </c>
      <c r="B19" s="46" t="s">
        <v>244</v>
      </c>
      <c r="C19" s="48">
        <f t="shared" si="1"/>
        <v>2019</v>
      </c>
      <c r="E19" s="1296">
        <v>928734062</v>
      </c>
      <c r="F19" s="123"/>
      <c r="G19" s="123"/>
      <c r="H19" s="123"/>
      <c r="I19" s="1296">
        <v>223591970</v>
      </c>
      <c r="J19" s="129">
        <f t="shared" si="0"/>
        <v>705142092</v>
      </c>
      <c r="K19" s="1296">
        <v>449904071</v>
      </c>
    </row>
    <row r="20" spans="1:11" ht="20.05" customHeight="1">
      <c r="A20" s="56">
        <v>12</v>
      </c>
      <c r="B20" s="46" t="s">
        <v>243</v>
      </c>
      <c r="C20" s="48">
        <f t="shared" si="1"/>
        <v>2019</v>
      </c>
      <c r="E20" s="1296">
        <v>934821003</v>
      </c>
      <c r="F20" s="123"/>
      <c r="G20" s="123"/>
      <c r="H20" s="123"/>
      <c r="I20" s="1296">
        <v>223591970</v>
      </c>
      <c r="J20" s="129">
        <f t="shared" si="0"/>
        <v>711229033</v>
      </c>
      <c r="K20" s="1296">
        <v>449905007</v>
      </c>
    </row>
    <row r="21" spans="1:11" ht="20.05" customHeight="1">
      <c r="A21" s="56">
        <v>13</v>
      </c>
      <c r="B21" s="46" t="s">
        <v>234</v>
      </c>
      <c r="C21" s="48">
        <f t="shared" si="1"/>
        <v>2019</v>
      </c>
      <c r="E21" s="1296">
        <v>922899009</v>
      </c>
      <c r="F21" s="123">
        <v>0</v>
      </c>
      <c r="G21" s="123">
        <v>0</v>
      </c>
      <c r="H21" s="123">
        <v>0</v>
      </c>
      <c r="I21" s="1296">
        <v>223591970</v>
      </c>
      <c r="J21" s="129">
        <f t="shared" si="0"/>
        <v>699307039</v>
      </c>
      <c r="K21" s="1296">
        <v>449905943</v>
      </c>
    </row>
    <row r="22" spans="1:11" ht="20.05" customHeight="1">
      <c r="A22" s="46"/>
      <c r="E22" s="125"/>
      <c r="F22" s="125"/>
      <c r="G22" s="125"/>
      <c r="H22" s="125"/>
      <c r="I22" s="125"/>
      <c r="J22" s="125"/>
      <c r="K22" s="125"/>
    </row>
    <row r="23" spans="1:11" ht="20.05" customHeight="1">
      <c r="A23" s="56">
        <v>14</v>
      </c>
      <c r="B23" s="46" t="s">
        <v>259</v>
      </c>
      <c r="E23" s="125">
        <f t="shared" ref="E23:K23" si="2">SUM(E9:E21)/13</f>
        <v>943590004.69230771</v>
      </c>
      <c r="F23" s="125">
        <f t="shared" si="2"/>
        <v>0</v>
      </c>
      <c r="G23" s="125">
        <f t="shared" si="2"/>
        <v>0</v>
      </c>
      <c r="H23" s="125">
        <f t="shared" si="2"/>
        <v>0</v>
      </c>
      <c r="I23" s="125">
        <f t="shared" si="2"/>
        <v>223591970</v>
      </c>
      <c r="J23" s="125">
        <f t="shared" si="2"/>
        <v>719998034.69230771</v>
      </c>
      <c r="K23" s="125">
        <f t="shared" si="2"/>
        <v>449900326</v>
      </c>
    </row>
    <row r="24" spans="1:11" ht="20.05" customHeight="1">
      <c r="A24" s="56"/>
    </row>
    <row r="26" spans="1:11" ht="20.05" customHeight="1">
      <c r="A26" s="46" t="s">
        <v>261</v>
      </c>
    </row>
    <row r="27" spans="1:11" ht="20.05" customHeight="1">
      <c r="A27" s="52" t="s">
        <v>260</v>
      </c>
      <c r="B27" s="46" t="s">
        <v>262</v>
      </c>
      <c r="J27" s="68"/>
    </row>
  </sheetData>
  <customSheetViews>
    <customSheetView guid="{E1861F40-EBD5-44AE-868B-FDE0ED504D72}" scale="85">
      <selection activeCell="E9" sqref="E9"/>
      <pageMargins left="0.7" right="0.7" top="0.75" bottom="0.75" header="0.3" footer="0.3"/>
      <pageSetup scale="55" orientation="portrait" r:id="rId1"/>
    </customSheetView>
  </customSheetViews>
  <pageMargins left="0.7" right="0.7" top="0.75" bottom="0.75" header="0.3" footer="0.3"/>
  <pageSetup scale="56" orientation="portrait" r:id="rId2"/>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7"/>
  <dimension ref="A1:O48"/>
  <sheetViews>
    <sheetView view="pageBreakPreview" zoomScale="85" zoomScaleNormal="100" zoomScaleSheetLayoutView="85" workbookViewId="0">
      <selection activeCell="L80" sqref="L80"/>
    </sheetView>
  </sheetViews>
  <sheetFormatPr defaultColWidth="8.90625" defaultRowHeight="12.55"/>
  <cols>
    <col min="1" max="1" width="8.90625" style="131"/>
    <col min="2" max="2" width="14.81640625" style="131" customWidth="1"/>
    <col min="3" max="3" width="12" style="131" customWidth="1"/>
    <col min="4" max="16384" width="8.90625" style="131"/>
  </cols>
  <sheetData>
    <row r="1" spans="1:9" ht="15.65">
      <c r="A1" s="55"/>
      <c r="I1" s="6" t="s">
        <v>800</v>
      </c>
    </row>
    <row r="2" spans="1:9" ht="15.65">
      <c r="A2" s="55"/>
      <c r="I2" s="6" t="s">
        <v>221</v>
      </c>
    </row>
    <row r="3" spans="1:9" ht="15.65">
      <c r="A3" s="55"/>
      <c r="D3" s="132" t="s">
        <v>801</v>
      </c>
      <c r="I3" s="9" t="str">
        <f>'Attachment 1 - Sched 1A'!$J$3</f>
        <v>For the 12 months ended 12/31/2019</v>
      </c>
    </row>
    <row r="4" spans="1:9" ht="15.65">
      <c r="A4" s="55"/>
    </row>
    <row r="5" spans="1:9" ht="13.15">
      <c r="A5" s="132"/>
      <c r="C5" s="134"/>
    </row>
    <row r="6" spans="1:9" ht="13.15">
      <c r="A6" s="132" t="s">
        <v>346</v>
      </c>
    </row>
    <row r="7" spans="1:9" ht="13.15">
      <c r="A7" s="148" t="s">
        <v>363</v>
      </c>
    </row>
    <row r="8" spans="1:9" ht="13.15">
      <c r="A8" s="132"/>
    </row>
    <row r="10" spans="1:9" ht="13.15">
      <c r="A10" s="132" t="s">
        <v>347</v>
      </c>
    </row>
    <row r="12" spans="1:9" ht="15.05" customHeight="1">
      <c r="A12" s="1353" t="s">
        <v>1212</v>
      </c>
      <c r="B12" s="1354"/>
      <c r="C12" s="1354"/>
      <c r="D12" s="1354"/>
      <c r="E12" s="1354"/>
      <c r="F12" s="1354"/>
      <c r="G12" s="1354"/>
      <c r="H12" s="1354"/>
      <c r="I12" s="1354"/>
    </row>
    <row r="15" spans="1:9" ht="13.15">
      <c r="A15" s="864" t="s">
        <v>348</v>
      </c>
      <c r="B15" s="134"/>
      <c r="C15" s="134"/>
      <c r="D15" s="134"/>
      <c r="E15" s="134"/>
      <c r="F15" s="134"/>
      <c r="G15" s="134"/>
      <c r="H15" s="134"/>
      <c r="I15" s="134"/>
    </row>
    <row r="16" spans="1:9" ht="13.15">
      <c r="A16" s="864"/>
      <c r="B16" s="865" t="s">
        <v>349</v>
      </c>
      <c r="C16" s="134"/>
      <c r="D16" s="134"/>
      <c r="E16" s="134"/>
      <c r="F16" s="134"/>
      <c r="G16" s="134"/>
      <c r="H16" s="134"/>
      <c r="I16" s="134"/>
    </row>
    <row r="17" spans="1:15" s="133" customFormat="1" ht="15.05" customHeight="1">
      <c r="A17" s="291" t="s">
        <v>926</v>
      </c>
      <c r="B17" s="291"/>
      <c r="C17" s="856">
        <v>-108686300</v>
      </c>
      <c r="D17" s="291"/>
      <c r="E17" s="291"/>
      <c r="F17" s="856"/>
      <c r="G17" s="291"/>
      <c r="H17" s="291"/>
      <c r="I17" s="856"/>
      <c r="J17" s="139"/>
      <c r="K17" s="139"/>
      <c r="L17" s="158"/>
      <c r="M17" s="139"/>
      <c r="N17" s="139"/>
      <c r="O17" s="139"/>
    </row>
    <row r="18" spans="1:15" ht="14.25" customHeight="1">
      <c r="A18" s="291" t="s">
        <v>927</v>
      </c>
      <c r="B18" s="291"/>
      <c r="C18" s="856">
        <v>2024261894</v>
      </c>
      <c r="D18" s="291"/>
      <c r="E18" s="291"/>
      <c r="F18" s="856"/>
      <c r="G18" s="291"/>
      <c r="H18" s="291"/>
      <c r="I18" s="856"/>
    </row>
    <row r="20" spans="1:15" ht="13.15">
      <c r="A20" s="132" t="s">
        <v>350</v>
      </c>
    </row>
    <row r="21" spans="1:15" ht="13.15">
      <c r="A21" s="132"/>
    </row>
    <row r="22" spans="1:15">
      <c r="A22" s="131" t="s">
        <v>351</v>
      </c>
      <c r="C22" s="863" t="s">
        <v>352</v>
      </c>
    </row>
    <row r="23" spans="1:15" ht="15.05">
      <c r="A23" s="805">
        <v>352</v>
      </c>
      <c r="C23" s="862">
        <v>1.2800000000000001E-2</v>
      </c>
      <c r="J23" s="804"/>
    </row>
    <row r="24" spans="1:15" ht="15.05">
      <c r="A24" s="805">
        <v>353</v>
      </c>
      <c r="C24" s="862">
        <v>2.0499999999999997E-2</v>
      </c>
      <c r="J24" s="804"/>
    </row>
    <row r="25" spans="1:15" ht="15.05">
      <c r="A25" s="805">
        <v>354</v>
      </c>
      <c r="C25" s="862">
        <v>1.3899999999999999E-2</v>
      </c>
      <c r="J25" s="804"/>
    </row>
    <row r="26" spans="1:15" ht="15.05">
      <c r="A26" s="805">
        <v>355</v>
      </c>
      <c r="C26" s="862">
        <v>2.3199999999999998E-2</v>
      </c>
      <c r="J26" s="804"/>
    </row>
    <row r="27" spans="1:15" ht="15.05">
      <c r="A27" s="805">
        <v>356</v>
      </c>
      <c r="C27" s="862">
        <v>2.6800000000000001E-2</v>
      </c>
      <c r="J27" s="804"/>
    </row>
    <row r="28" spans="1:15" ht="15.05">
      <c r="A28" s="805">
        <v>356.1</v>
      </c>
      <c r="C28" s="862">
        <v>1.2699999999999999E-2</v>
      </c>
      <c r="J28" s="804"/>
    </row>
    <row r="29" spans="1:15" ht="15.05">
      <c r="A29" s="805">
        <v>358</v>
      </c>
      <c r="C29" s="862">
        <v>2.52E-2</v>
      </c>
      <c r="J29" s="804"/>
    </row>
    <row r="30" spans="1:15" ht="15.05">
      <c r="A30" s="805">
        <v>359</v>
      </c>
      <c r="C30" s="862">
        <v>8.6999999999999994E-3</v>
      </c>
      <c r="J30" s="804"/>
    </row>
    <row r="31" spans="1:15" ht="15.05">
      <c r="A31" s="989">
        <v>390.1</v>
      </c>
      <c r="B31" s="990"/>
      <c r="C31" s="991">
        <v>2.9000000000000001E-2</v>
      </c>
      <c r="J31" s="804"/>
    </row>
    <row r="32" spans="1:15" ht="15.05">
      <c r="A32" s="989">
        <v>390.2</v>
      </c>
      <c r="B32" s="990"/>
      <c r="C32" s="991">
        <v>1.24E-2</v>
      </c>
      <c r="J32" s="804"/>
    </row>
    <row r="33" spans="1:10" ht="15.05">
      <c r="A33" s="989">
        <v>391.1</v>
      </c>
      <c r="B33" s="990"/>
      <c r="C33" s="991">
        <v>6.3E-3</v>
      </c>
      <c r="J33" s="804"/>
    </row>
    <row r="34" spans="1:10" ht="15.05">
      <c r="A34" s="989">
        <v>391.2</v>
      </c>
      <c r="B34" s="990"/>
      <c r="C34" s="991">
        <v>0.18820000000000001</v>
      </c>
      <c r="J34" s="804"/>
    </row>
    <row r="35" spans="1:10" ht="15.05">
      <c r="A35" s="989">
        <v>392</v>
      </c>
      <c r="B35" s="990"/>
      <c r="C35" s="991">
        <v>4.8399999999999999E-2</v>
      </c>
      <c r="J35" s="804"/>
    </row>
    <row r="36" spans="1:10" ht="15.05">
      <c r="A36" s="989">
        <v>393</v>
      </c>
      <c r="B36" s="990"/>
      <c r="C36" s="991">
        <v>1E-4</v>
      </c>
      <c r="J36" s="804"/>
    </row>
    <row r="37" spans="1:10" ht="15.05">
      <c r="A37" s="989">
        <v>394</v>
      </c>
      <c r="B37" s="990"/>
      <c r="C37" s="991">
        <v>4.6199999999999998E-2</v>
      </c>
      <c r="J37" s="804"/>
    </row>
    <row r="38" spans="1:10" ht="15.05">
      <c r="A38" s="989">
        <v>395</v>
      </c>
      <c r="B38" s="990"/>
      <c r="C38" s="991">
        <v>0</v>
      </c>
      <c r="J38" s="804"/>
    </row>
    <row r="39" spans="1:10" ht="15.05">
      <c r="A39" s="989">
        <v>396</v>
      </c>
      <c r="B39" s="990"/>
      <c r="C39" s="991">
        <v>4.7000000000000002E-3</v>
      </c>
      <c r="J39" s="804"/>
    </row>
    <row r="40" spans="1:10" ht="15.05">
      <c r="A40" s="989">
        <v>397</v>
      </c>
      <c r="B40" s="990"/>
      <c r="C40" s="991">
        <v>1.7999999999999999E-2</v>
      </c>
      <c r="J40" s="804"/>
    </row>
    <row r="41" spans="1:10" ht="15.05">
      <c r="A41" s="989">
        <v>398</v>
      </c>
      <c r="B41" s="990"/>
      <c r="C41" s="991">
        <v>3.2000000000000002E-3</v>
      </c>
      <c r="J41" s="804"/>
    </row>
    <row r="42" spans="1:10" ht="15.05">
      <c r="A42" s="992">
        <v>303</v>
      </c>
      <c r="B42" s="993"/>
      <c r="C42" s="994">
        <v>0.1429</v>
      </c>
      <c r="J42" s="804"/>
    </row>
    <row r="43" spans="1:10" ht="13.15">
      <c r="A43" s="864"/>
      <c r="B43" s="134"/>
      <c r="C43" s="134"/>
      <c r="D43" s="134"/>
      <c r="E43" s="134"/>
      <c r="F43" s="134"/>
      <c r="G43" s="134"/>
      <c r="H43" s="134"/>
      <c r="I43" s="134"/>
    </row>
    <row r="44" spans="1:10" ht="13.15">
      <c r="A44" s="864" t="s">
        <v>1180</v>
      </c>
      <c r="B44" s="134"/>
      <c r="C44" s="134"/>
      <c r="D44" s="134"/>
      <c r="E44" s="134"/>
      <c r="F44" s="134"/>
      <c r="G44" s="134"/>
      <c r="H44" s="134"/>
      <c r="I44" s="134"/>
    </row>
    <row r="45" spans="1:10" ht="27.7" customHeight="1">
      <c r="A45" s="1353" t="s">
        <v>1213</v>
      </c>
      <c r="B45" s="1353"/>
      <c r="C45" s="1353"/>
      <c r="D45" s="1353"/>
      <c r="E45" s="1353"/>
      <c r="F45" s="1353"/>
      <c r="G45" s="1353"/>
      <c r="H45" s="1353"/>
      <c r="I45" s="1353"/>
    </row>
    <row r="47" spans="1:10" ht="13.15">
      <c r="A47" s="864" t="s">
        <v>1209</v>
      </c>
    </row>
    <row r="48" spans="1:10">
      <c r="A48" s="131" t="s">
        <v>1210</v>
      </c>
    </row>
  </sheetData>
  <mergeCells count="2">
    <mergeCell ref="A12:I12"/>
    <mergeCell ref="A45:I45"/>
  </mergeCells>
  <pageMargins left="0.7" right="0.7" top="0.75" bottom="0.75" header="0.3" footer="0.3"/>
  <pageSetup scale="60"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3">
    <pageSetUpPr fitToPage="1"/>
  </sheetPr>
  <dimension ref="A1:AZ149"/>
  <sheetViews>
    <sheetView view="pageBreakPreview" zoomScale="70" zoomScaleNormal="70" zoomScaleSheetLayoutView="70" workbookViewId="0">
      <selection activeCell="L80" sqref="L80"/>
    </sheetView>
  </sheetViews>
  <sheetFormatPr defaultColWidth="13.36328125" defaultRowHeight="12.55"/>
  <cols>
    <col min="1" max="1" width="3.1796875" style="419" customWidth="1"/>
    <col min="2" max="2" width="14.453125" style="419" customWidth="1"/>
    <col min="3" max="3" width="13.453125" style="419" bestFit="1" customWidth="1"/>
    <col min="4" max="4" width="14.36328125" style="419" bestFit="1" customWidth="1"/>
    <col min="5" max="6" width="3.1796875" style="419" customWidth="1"/>
    <col min="7" max="7" width="13.453125" style="419" bestFit="1" customWidth="1"/>
    <col min="8" max="8" width="4.453125" style="419" customWidth="1"/>
    <col min="9" max="9" width="13.453125" style="419" bestFit="1" customWidth="1"/>
    <col min="10" max="10" width="4.453125" style="419" customWidth="1"/>
    <col min="11" max="11" width="13.453125" style="419" bestFit="1" customWidth="1"/>
    <col min="12" max="12" width="4.453125" style="419" customWidth="1"/>
    <col min="13" max="13" width="13.453125" style="419" bestFit="1" customWidth="1"/>
    <col min="14" max="14" width="4.453125" style="419" customWidth="1"/>
    <col min="15" max="15" width="13.453125" style="419" bestFit="1" customWidth="1"/>
    <col min="16" max="16" width="4.453125" style="419" customWidth="1"/>
    <col min="17" max="17" width="15.54296875" style="419" customWidth="1"/>
    <col min="18" max="18" width="4.453125" style="419" customWidth="1"/>
    <col min="19" max="19" width="13.453125" style="419" bestFit="1" customWidth="1"/>
    <col min="20" max="20" width="4.453125" style="419" customWidth="1"/>
    <col min="21" max="21" width="13.36328125" style="419"/>
    <col min="22" max="22" width="4.453125" style="419" customWidth="1"/>
    <col min="23" max="23" width="13.36328125" style="419"/>
    <col min="24" max="24" width="4.453125" style="419" customWidth="1"/>
    <col min="25" max="25" width="13.36328125" style="419"/>
    <col min="26" max="26" width="4.453125" style="419" customWidth="1"/>
    <col min="27" max="257" width="13.36328125" style="419"/>
    <col min="258" max="258" width="14.453125" style="419" customWidth="1"/>
    <col min="259" max="259" width="13.453125" style="419" bestFit="1" customWidth="1"/>
    <col min="260" max="260" width="14.36328125" style="419" bestFit="1" customWidth="1"/>
    <col min="261" max="262" width="13.36328125" style="419"/>
    <col min="263" max="263" width="13.453125" style="419" bestFit="1" customWidth="1"/>
    <col min="264" max="264" width="13.36328125" style="419"/>
    <col min="265" max="265" width="13.453125" style="419" bestFit="1" customWidth="1"/>
    <col min="266" max="266" width="13.36328125" style="419"/>
    <col min="267" max="269" width="13.453125" style="419" bestFit="1" customWidth="1"/>
    <col min="270" max="270" width="13.36328125" style="419"/>
    <col min="271" max="271" width="13.453125" style="419" bestFit="1" customWidth="1"/>
    <col min="272" max="272" width="13.36328125" style="419"/>
    <col min="273" max="273" width="14.1796875" style="419" bestFit="1" customWidth="1"/>
    <col min="274" max="274" width="13.36328125" style="419"/>
    <col min="275" max="275" width="13.453125" style="419" bestFit="1" customWidth="1"/>
    <col min="276" max="513" width="13.36328125" style="419"/>
    <col min="514" max="514" width="14.453125" style="419" customWidth="1"/>
    <col min="515" max="515" width="13.453125" style="419" bestFit="1" customWidth="1"/>
    <col min="516" max="516" width="14.36328125" style="419" bestFit="1" customWidth="1"/>
    <col min="517" max="518" width="13.36328125" style="419"/>
    <col min="519" max="519" width="13.453125" style="419" bestFit="1" customWidth="1"/>
    <col min="520" max="520" width="13.36328125" style="419"/>
    <col min="521" max="521" width="13.453125" style="419" bestFit="1" customWidth="1"/>
    <col min="522" max="522" width="13.36328125" style="419"/>
    <col min="523" max="525" width="13.453125" style="419" bestFit="1" customWidth="1"/>
    <col min="526" max="526" width="13.36328125" style="419"/>
    <col min="527" max="527" width="13.453125" style="419" bestFit="1" customWidth="1"/>
    <col min="528" max="528" width="13.36328125" style="419"/>
    <col min="529" max="529" width="14.1796875" style="419" bestFit="1" customWidth="1"/>
    <col min="530" max="530" width="13.36328125" style="419"/>
    <col min="531" max="531" width="13.453125" style="419" bestFit="1" customWidth="1"/>
    <col min="532" max="769" width="13.36328125" style="419"/>
    <col min="770" max="770" width="14.453125" style="419" customWidth="1"/>
    <col min="771" max="771" width="13.453125" style="419" bestFit="1" customWidth="1"/>
    <col min="772" max="772" width="14.36328125" style="419" bestFit="1" customWidth="1"/>
    <col min="773" max="774" width="13.36328125" style="419"/>
    <col min="775" max="775" width="13.453125" style="419" bestFit="1" customWidth="1"/>
    <col min="776" max="776" width="13.36328125" style="419"/>
    <col min="777" max="777" width="13.453125" style="419" bestFit="1" customWidth="1"/>
    <col min="778" max="778" width="13.36328125" style="419"/>
    <col min="779" max="781" width="13.453125" style="419" bestFit="1" customWidth="1"/>
    <col min="782" max="782" width="13.36328125" style="419"/>
    <col min="783" max="783" width="13.453125" style="419" bestFit="1" customWidth="1"/>
    <col min="784" max="784" width="13.36328125" style="419"/>
    <col min="785" max="785" width="14.1796875" style="419" bestFit="1" customWidth="1"/>
    <col min="786" max="786" width="13.36328125" style="419"/>
    <col min="787" max="787" width="13.453125" style="419" bestFit="1" customWidth="1"/>
    <col min="788" max="1025" width="13.36328125" style="419"/>
    <col min="1026" max="1026" width="14.453125" style="419" customWidth="1"/>
    <col min="1027" max="1027" width="13.453125" style="419" bestFit="1" customWidth="1"/>
    <col min="1028" max="1028" width="14.36328125" style="419" bestFit="1" customWidth="1"/>
    <col min="1029" max="1030" width="13.36328125" style="419"/>
    <col min="1031" max="1031" width="13.453125" style="419" bestFit="1" customWidth="1"/>
    <col min="1032" max="1032" width="13.36328125" style="419"/>
    <col min="1033" max="1033" width="13.453125" style="419" bestFit="1" customWidth="1"/>
    <col min="1034" max="1034" width="13.36328125" style="419"/>
    <col min="1035" max="1037" width="13.453125" style="419" bestFit="1" customWidth="1"/>
    <col min="1038" max="1038" width="13.36328125" style="419"/>
    <col min="1039" max="1039" width="13.453125" style="419" bestFit="1" customWidth="1"/>
    <col min="1040" max="1040" width="13.36328125" style="419"/>
    <col min="1041" max="1041" width="14.1796875" style="419" bestFit="1" customWidth="1"/>
    <col min="1042" max="1042" width="13.36328125" style="419"/>
    <col min="1043" max="1043" width="13.453125" style="419" bestFit="1" customWidth="1"/>
    <col min="1044" max="1281" width="13.36328125" style="419"/>
    <col min="1282" max="1282" width="14.453125" style="419" customWidth="1"/>
    <col min="1283" max="1283" width="13.453125" style="419" bestFit="1" customWidth="1"/>
    <col min="1284" max="1284" width="14.36328125" style="419" bestFit="1" customWidth="1"/>
    <col min="1285" max="1286" width="13.36328125" style="419"/>
    <col min="1287" max="1287" width="13.453125" style="419" bestFit="1" customWidth="1"/>
    <col min="1288" max="1288" width="13.36328125" style="419"/>
    <col min="1289" max="1289" width="13.453125" style="419" bestFit="1" customWidth="1"/>
    <col min="1290" max="1290" width="13.36328125" style="419"/>
    <col min="1291" max="1293" width="13.453125" style="419" bestFit="1" customWidth="1"/>
    <col min="1294" max="1294" width="13.36328125" style="419"/>
    <col min="1295" max="1295" width="13.453125" style="419" bestFit="1" customWidth="1"/>
    <col min="1296" max="1296" width="13.36328125" style="419"/>
    <col min="1297" max="1297" width="14.1796875" style="419" bestFit="1" customWidth="1"/>
    <col min="1298" max="1298" width="13.36328125" style="419"/>
    <col min="1299" max="1299" width="13.453125" style="419" bestFit="1" customWidth="1"/>
    <col min="1300" max="1537" width="13.36328125" style="419"/>
    <col min="1538" max="1538" width="14.453125" style="419" customWidth="1"/>
    <col min="1539" max="1539" width="13.453125" style="419" bestFit="1" customWidth="1"/>
    <col min="1540" max="1540" width="14.36328125" style="419" bestFit="1" customWidth="1"/>
    <col min="1541" max="1542" width="13.36328125" style="419"/>
    <col min="1543" max="1543" width="13.453125" style="419" bestFit="1" customWidth="1"/>
    <col min="1544" max="1544" width="13.36328125" style="419"/>
    <col min="1545" max="1545" width="13.453125" style="419" bestFit="1" customWidth="1"/>
    <col min="1546" max="1546" width="13.36328125" style="419"/>
    <col min="1547" max="1549" width="13.453125" style="419" bestFit="1" customWidth="1"/>
    <col min="1550" max="1550" width="13.36328125" style="419"/>
    <col min="1551" max="1551" width="13.453125" style="419" bestFit="1" customWidth="1"/>
    <col min="1552" max="1552" width="13.36328125" style="419"/>
    <col min="1553" max="1553" width="14.1796875" style="419" bestFit="1" customWidth="1"/>
    <col min="1554" max="1554" width="13.36328125" style="419"/>
    <col min="1555" max="1555" width="13.453125" style="419" bestFit="1" customWidth="1"/>
    <col min="1556" max="1793" width="13.36328125" style="419"/>
    <col min="1794" max="1794" width="14.453125" style="419" customWidth="1"/>
    <col min="1795" max="1795" width="13.453125" style="419" bestFit="1" customWidth="1"/>
    <col min="1796" max="1796" width="14.36328125" style="419" bestFit="1" customWidth="1"/>
    <col min="1797" max="1798" width="13.36328125" style="419"/>
    <col min="1799" max="1799" width="13.453125" style="419" bestFit="1" customWidth="1"/>
    <col min="1800" max="1800" width="13.36328125" style="419"/>
    <col min="1801" max="1801" width="13.453125" style="419" bestFit="1" customWidth="1"/>
    <col min="1802" max="1802" width="13.36328125" style="419"/>
    <col min="1803" max="1805" width="13.453125" style="419" bestFit="1" customWidth="1"/>
    <col min="1806" max="1806" width="13.36328125" style="419"/>
    <col min="1807" max="1807" width="13.453125" style="419" bestFit="1" customWidth="1"/>
    <col min="1808" max="1808" width="13.36328125" style="419"/>
    <col min="1809" max="1809" width="14.1796875" style="419" bestFit="1" customWidth="1"/>
    <col min="1810" max="1810" width="13.36328125" style="419"/>
    <col min="1811" max="1811" width="13.453125" style="419" bestFit="1" customWidth="1"/>
    <col min="1812" max="2049" width="13.36328125" style="419"/>
    <col min="2050" max="2050" width="14.453125" style="419" customWidth="1"/>
    <col min="2051" max="2051" width="13.453125" style="419" bestFit="1" customWidth="1"/>
    <col min="2052" max="2052" width="14.36328125" style="419" bestFit="1" customWidth="1"/>
    <col min="2053" max="2054" width="13.36328125" style="419"/>
    <col min="2055" max="2055" width="13.453125" style="419" bestFit="1" customWidth="1"/>
    <col min="2056" max="2056" width="13.36328125" style="419"/>
    <col min="2057" max="2057" width="13.453125" style="419" bestFit="1" customWidth="1"/>
    <col min="2058" max="2058" width="13.36328125" style="419"/>
    <col min="2059" max="2061" width="13.453125" style="419" bestFit="1" customWidth="1"/>
    <col min="2062" max="2062" width="13.36328125" style="419"/>
    <col min="2063" max="2063" width="13.453125" style="419" bestFit="1" customWidth="1"/>
    <col min="2064" max="2064" width="13.36328125" style="419"/>
    <col min="2065" max="2065" width="14.1796875" style="419" bestFit="1" customWidth="1"/>
    <col min="2066" max="2066" width="13.36328125" style="419"/>
    <col min="2067" max="2067" width="13.453125" style="419" bestFit="1" customWidth="1"/>
    <col min="2068" max="2305" width="13.36328125" style="419"/>
    <col min="2306" max="2306" width="14.453125" style="419" customWidth="1"/>
    <col min="2307" max="2307" width="13.453125" style="419" bestFit="1" customWidth="1"/>
    <col min="2308" max="2308" width="14.36328125" style="419" bestFit="1" customWidth="1"/>
    <col min="2309" max="2310" width="13.36328125" style="419"/>
    <col min="2311" max="2311" width="13.453125" style="419" bestFit="1" customWidth="1"/>
    <col min="2312" max="2312" width="13.36328125" style="419"/>
    <col min="2313" max="2313" width="13.453125" style="419" bestFit="1" customWidth="1"/>
    <col min="2314" max="2314" width="13.36328125" style="419"/>
    <col min="2315" max="2317" width="13.453125" style="419" bestFit="1" customWidth="1"/>
    <col min="2318" max="2318" width="13.36328125" style="419"/>
    <col min="2319" max="2319" width="13.453125" style="419" bestFit="1" customWidth="1"/>
    <col min="2320" max="2320" width="13.36328125" style="419"/>
    <col min="2321" max="2321" width="14.1796875" style="419" bestFit="1" customWidth="1"/>
    <col min="2322" max="2322" width="13.36328125" style="419"/>
    <col min="2323" max="2323" width="13.453125" style="419" bestFit="1" customWidth="1"/>
    <col min="2324" max="2561" width="13.36328125" style="419"/>
    <col min="2562" max="2562" width="14.453125" style="419" customWidth="1"/>
    <col min="2563" max="2563" width="13.453125" style="419" bestFit="1" customWidth="1"/>
    <col min="2564" max="2564" width="14.36328125" style="419" bestFit="1" customWidth="1"/>
    <col min="2565" max="2566" width="13.36328125" style="419"/>
    <col min="2567" max="2567" width="13.453125" style="419" bestFit="1" customWidth="1"/>
    <col min="2568" max="2568" width="13.36328125" style="419"/>
    <col min="2569" max="2569" width="13.453125" style="419" bestFit="1" customWidth="1"/>
    <col min="2570" max="2570" width="13.36328125" style="419"/>
    <col min="2571" max="2573" width="13.453125" style="419" bestFit="1" customWidth="1"/>
    <col min="2574" max="2574" width="13.36328125" style="419"/>
    <col min="2575" max="2575" width="13.453125" style="419" bestFit="1" customWidth="1"/>
    <col min="2576" max="2576" width="13.36328125" style="419"/>
    <col min="2577" max="2577" width="14.1796875" style="419" bestFit="1" customWidth="1"/>
    <col min="2578" max="2578" width="13.36328125" style="419"/>
    <col min="2579" max="2579" width="13.453125" style="419" bestFit="1" customWidth="1"/>
    <col min="2580" max="2817" width="13.36328125" style="419"/>
    <col min="2818" max="2818" width="14.453125" style="419" customWidth="1"/>
    <col min="2819" max="2819" width="13.453125" style="419" bestFit="1" customWidth="1"/>
    <col min="2820" max="2820" width="14.36328125" style="419" bestFit="1" customWidth="1"/>
    <col min="2821" max="2822" width="13.36328125" style="419"/>
    <col min="2823" max="2823" width="13.453125" style="419" bestFit="1" customWidth="1"/>
    <col min="2824" max="2824" width="13.36328125" style="419"/>
    <col min="2825" max="2825" width="13.453125" style="419" bestFit="1" customWidth="1"/>
    <col min="2826" max="2826" width="13.36328125" style="419"/>
    <col min="2827" max="2829" width="13.453125" style="419" bestFit="1" customWidth="1"/>
    <col min="2830" max="2830" width="13.36328125" style="419"/>
    <col min="2831" max="2831" width="13.453125" style="419" bestFit="1" customWidth="1"/>
    <col min="2832" max="2832" width="13.36328125" style="419"/>
    <col min="2833" max="2833" width="14.1796875" style="419" bestFit="1" customWidth="1"/>
    <col min="2834" max="2834" width="13.36328125" style="419"/>
    <col min="2835" max="2835" width="13.453125" style="419" bestFit="1" customWidth="1"/>
    <col min="2836" max="3073" width="13.36328125" style="419"/>
    <col min="3074" max="3074" width="14.453125" style="419" customWidth="1"/>
    <col min="3075" max="3075" width="13.453125" style="419" bestFit="1" customWidth="1"/>
    <col min="3076" max="3076" width="14.36328125" style="419" bestFit="1" customWidth="1"/>
    <col min="3077" max="3078" width="13.36328125" style="419"/>
    <col min="3079" max="3079" width="13.453125" style="419" bestFit="1" customWidth="1"/>
    <col min="3080" max="3080" width="13.36328125" style="419"/>
    <col min="3081" max="3081" width="13.453125" style="419" bestFit="1" customWidth="1"/>
    <col min="3082" max="3082" width="13.36328125" style="419"/>
    <col min="3083" max="3085" width="13.453125" style="419" bestFit="1" customWidth="1"/>
    <col min="3086" max="3086" width="13.36328125" style="419"/>
    <col min="3087" max="3087" width="13.453125" style="419" bestFit="1" customWidth="1"/>
    <col min="3088" max="3088" width="13.36328125" style="419"/>
    <col min="3089" max="3089" width="14.1796875" style="419" bestFit="1" customWidth="1"/>
    <col min="3090" max="3090" width="13.36328125" style="419"/>
    <col min="3091" max="3091" width="13.453125" style="419" bestFit="1" customWidth="1"/>
    <col min="3092" max="3329" width="13.36328125" style="419"/>
    <col min="3330" max="3330" width="14.453125" style="419" customWidth="1"/>
    <col min="3331" max="3331" width="13.453125" style="419" bestFit="1" customWidth="1"/>
    <col min="3332" max="3332" width="14.36328125" style="419" bestFit="1" customWidth="1"/>
    <col min="3333" max="3334" width="13.36328125" style="419"/>
    <col min="3335" max="3335" width="13.453125" style="419" bestFit="1" customWidth="1"/>
    <col min="3336" max="3336" width="13.36328125" style="419"/>
    <col min="3337" max="3337" width="13.453125" style="419" bestFit="1" customWidth="1"/>
    <col min="3338" max="3338" width="13.36328125" style="419"/>
    <col min="3339" max="3341" width="13.453125" style="419" bestFit="1" customWidth="1"/>
    <col min="3342" max="3342" width="13.36328125" style="419"/>
    <col min="3343" max="3343" width="13.453125" style="419" bestFit="1" customWidth="1"/>
    <col min="3344" max="3344" width="13.36328125" style="419"/>
    <col min="3345" max="3345" width="14.1796875" style="419" bestFit="1" customWidth="1"/>
    <col min="3346" max="3346" width="13.36328125" style="419"/>
    <col min="3347" max="3347" width="13.453125" style="419" bestFit="1" customWidth="1"/>
    <col min="3348" max="3585" width="13.36328125" style="419"/>
    <col min="3586" max="3586" width="14.453125" style="419" customWidth="1"/>
    <col min="3587" max="3587" width="13.453125" style="419" bestFit="1" customWidth="1"/>
    <col min="3588" max="3588" width="14.36328125" style="419" bestFit="1" customWidth="1"/>
    <col min="3589" max="3590" width="13.36328125" style="419"/>
    <col min="3591" max="3591" width="13.453125" style="419" bestFit="1" customWidth="1"/>
    <col min="3592" max="3592" width="13.36328125" style="419"/>
    <col min="3593" max="3593" width="13.453125" style="419" bestFit="1" customWidth="1"/>
    <col min="3594" max="3594" width="13.36328125" style="419"/>
    <col min="3595" max="3597" width="13.453125" style="419" bestFit="1" customWidth="1"/>
    <col min="3598" max="3598" width="13.36328125" style="419"/>
    <col min="3599" max="3599" width="13.453125" style="419" bestFit="1" customWidth="1"/>
    <col min="3600" max="3600" width="13.36328125" style="419"/>
    <col min="3601" max="3601" width="14.1796875" style="419" bestFit="1" customWidth="1"/>
    <col min="3602" max="3602" width="13.36328125" style="419"/>
    <col min="3603" max="3603" width="13.453125" style="419" bestFit="1" customWidth="1"/>
    <col min="3604" max="3841" width="13.36328125" style="419"/>
    <col min="3842" max="3842" width="14.453125" style="419" customWidth="1"/>
    <col min="3843" max="3843" width="13.453125" style="419" bestFit="1" customWidth="1"/>
    <col min="3844" max="3844" width="14.36328125" style="419" bestFit="1" customWidth="1"/>
    <col min="3845" max="3846" width="13.36328125" style="419"/>
    <col min="3847" max="3847" width="13.453125" style="419" bestFit="1" customWidth="1"/>
    <col min="3848" max="3848" width="13.36328125" style="419"/>
    <col min="3849" max="3849" width="13.453125" style="419" bestFit="1" customWidth="1"/>
    <col min="3850" max="3850" width="13.36328125" style="419"/>
    <col min="3851" max="3853" width="13.453125" style="419" bestFit="1" customWidth="1"/>
    <col min="3854" max="3854" width="13.36328125" style="419"/>
    <col min="3855" max="3855" width="13.453125" style="419" bestFit="1" customWidth="1"/>
    <col min="3856" max="3856" width="13.36328125" style="419"/>
    <col min="3857" max="3857" width="14.1796875" style="419" bestFit="1" customWidth="1"/>
    <col min="3858" max="3858" width="13.36328125" style="419"/>
    <col min="3859" max="3859" width="13.453125" style="419" bestFit="1" customWidth="1"/>
    <col min="3860" max="4097" width="13.36328125" style="419"/>
    <col min="4098" max="4098" width="14.453125" style="419" customWidth="1"/>
    <col min="4099" max="4099" width="13.453125" style="419" bestFit="1" customWidth="1"/>
    <col min="4100" max="4100" width="14.36328125" style="419" bestFit="1" customWidth="1"/>
    <col min="4101" max="4102" width="13.36328125" style="419"/>
    <col min="4103" max="4103" width="13.453125" style="419" bestFit="1" customWidth="1"/>
    <col min="4104" max="4104" width="13.36328125" style="419"/>
    <col min="4105" max="4105" width="13.453125" style="419" bestFit="1" customWidth="1"/>
    <col min="4106" max="4106" width="13.36328125" style="419"/>
    <col min="4107" max="4109" width="13.453125" style="419" bestFit="1" customWidth="1"/>
    <col min="4110" max="4110" width="13.36328125" style="419"/>
    <col min="4111" max="4111" width="13.453125" style="419" bestFit="1" customWidth="1"/>
    <col min="4112" max="4112" width="13.36328125" style="419"/>
    <col min="4113" max="4113" width="14.1796875" style="419" bestFit="1" customWidth="1"/>
    <col min="4114" max="4114" width="13.36328125" style="419"/>
    <col min="4115" max="4115" width="13.453125" style="419" bestFit="1" customWidth="1"/>
    <col min="4116" max="4353" width="13.36328125" style="419"/>
    <col min="4354" max="4354" width="14.453125" style="419" customWidth="1"/>
    <col min="4355" max="4355" width="13.453125" style="419" bestFit="1" customWidth="1"/>
    <col min="4356" max="4356" width="14.36328125" style="419" bestFit="1" customWidth="1"/>
    <col min="4357" max="4358" width="13.36328125" style="419"/>
    <col min="4359" max="4359" width="13.453125" style="419" bestFit="1" customWidth="1"/>
    <col min="4360" max="4360" width="13.36328125" style="419"/>
    <col min="4361" max="4361" width="13.453125" style="419" bestFit="1" customWidth="1"/>
    <col min="4362" max="4362" width="13.36328125" style="419"/>
    <col min="4363" max="4365" width="13.453125" style="419" bestFit="1" customWidth="1"/>
    <col min="4366" max="4366" width="13.36328125" style="419"/>
    <col min="4367" max="4367" width="13.453125" style="419" bestFit="1" customWidth="1"/>
    <col min="4368" max="4368" width="13.36328125" style="419"/>
    <col min="4369" max="4369" width="14.1796875" style="419" bestFit="1" customWidth="1"/>
    <col min="4370" max="4370" width="13.36328125" style="419"/>
    <col min="4371" max="4371" width="13.453125" style="419" bestFit="1" customWidth="1"/>
    <col min="4372" max="4609" width="13.36328125" style="419"/>
    <col min="4610" max="4610" width="14.453125" style="419" customWidth="1"/>
    <col min="4611" max="4611" width="13.453125" style="419" bestFit="1" customWidth="1"/>
    <col min="4612" max="4612" width="14.36328125" style="419" bestFit="1" customWidth="1"/>
    <col min="4613" max="4614" width="13.36328125" style="419"/>
    <col min="4615" max="4615" width="13.453125" style="419" bestFit="1" customWidth="1"/>
    <col min="4616" max="4616" width="13.36328125" style="419"/>
    <col min="4617" max="4617" width="13.453125" style="419" bestFit="1" customWidth="1"/>
    <col min="4618" max="4618" width="13.36328125" style="419"/>
    <col min="4619" max="4621" width="13.453125" style="419" bestFit="1" customWidth="1"/>
    <col min="4622" max="4622" width="13.36328125" style="419"/>
    <col min="4623" max="4623" width="13.453125" style="419" bestFit="1" customWidth="1"/>
    <col min="4624" max="4624" width="13.36328125" style="419"/>
    <col min="4625" max="4625" width="14.1796875" style="419" bestFit="1" customWidth="1"/>
    <col min="4626" max="4626" width="13.36328125" style="419"/>
    <col min="4627" max="4627" width="13.453125" style="419" bestFit="1" customWidth="1"/>
    <col min="4628" max="4865" width="13.36328125" style="419"/>
    <col min="4866" max="4866" width="14.453125" style="419" customWidth="1"/>
    <col min="4867" max="4867" width="13.453125" style="419" bestFit="1" customWidth="1"/>
    <col min="4868" max="4868" width="14.36328125" style="419" bestFit="1" customWidth="1"/>
    <col min="4869" max="4870" width="13.36328125" style="419"/>
    <col min="4871" max="4871" width="13.453125" style="419" bestFit="1" customWidth="1"/>
    <col min="4872" max="4872" width="13.36328125" style="419"/>
    <col min="4873" max="4873" width="13.453125" style="419" bestFit="1" customWidth="1"/>
    <col min="4874" max="4874" width="13.36328125" style="419"/>
    <col min="4875" max="4877" width="13.453125" style="419" bestFit="1" customWidth="1"/>
    <col min="4878" max="4878" width="13.36328125" style="419"/>
    <col min="4879" max="4879" width="13.453125" style="419" bestFit="1" customWidth="1"/>
    <col min="4880" max="4880" width="13.36328125" style="419"/>
    <col min="4881" max="4881" width="14.1796875" style="419" bestFit="1" customWidth="1"/>
    <col min="4882" max="4882" width="13.36328125" style="419"/>
    <col min="4883" max="4883" width="13.453125" style="419" bestFit="1" customWidth="1"/>
    <col min="4884" max="5121" width="13.36328125" style="419"/>
    <col min="5122" max="5122" width="14.453125" style="419" customWidth="1"/>
    <col min="5123" max="5123" width="13.453125" style="419" bestFit="1" customWidth="1"/>
    <col min="5124" max="5124" width="14.36328125" style="419" bestFit="1" customWidth="1"/>
    <col min="5125" max="5126" width="13.36328125" style="419"/>
    <col min="5127" max="5127" width="13.453125" style="419" bestFit="1" customWidth="1"/>
    <col min="5128" max="5128" width="13.36328125" style="419"/>
    <col min="5129" max="5129" width="13.453125" style="419" bestFit="1" customWidth="1"/>
    <col min="5130" max="5130" width="13.36328125" style="419"/>
    <col min="5131" max="5133" width="13.453125" style="419" bestFit="1" customWidth="1"/>
    <col min="5134" max="5134" width="13.36328125" style="419"/>
    <col min="5135" max="5135" width="13.453125" style="419" bestFit="1" customWidth="1"/>
    <col min="5136" max="5136" width="13.36328125" style="419"/>
    <col min="5137" max="5137" width="14.1796875" style="419" bestFit="1" customWidth="1"/>
    <col min="5138" max="5138" width="13.36328125" style="419"/>
    <col min="5139" max="5139" width="13.453125" style="419" bestFit="1" customWidth="1"/>
    <col min="5140" max="5377" width="13.36328125" style="419"/>
    <col min="5378" max="5378" width="14.453125" style="419" customWidth="1"/>
    <col min="5379" max="5379" width="13.453125" style="419" bestFit="1" customWidth="1"/>
    <col min="5380" max="5380" width="14.36328125" style="419" bestFit="1" customWidth="1"/>
    <col min="5381" max="5382" width="13.36328125" style="419"/>
    <col min="5383" max="5383" width="13.453125" style="419" bestFit="1" customWidth="1"/>
    <col min="5384" max="5384" width="13.36328125" style="419"/>
    <col min="5385" max="5385" width="13.453125" style="419" bestFit="1" customWidth="1"/>
    <col min="5386" max="5386" width="13.36328125" style="419"/>
    <col min="5387" max="5389" width="13.453125" style="419" bestFit="1" customWidth="1"/>
    <col min="5390" max="5390" width="13.36328125" style="419"/>
    <col min="5391" max="5391" width="13.453125" style="419" bestFit="1" customWidth="1"/>
    <col min="5392" max="5392" width="13.36328125" style="419"/>
    <col min="5393" max="5393" width="14.1796875" style="419" bestFit="1" customWidth="1"/>
    <col min="5394" max="5394" width="13.36328125" style="419"/>
    <col min="5395" max="5395" width="13.453125" style="419" bestFit="1" customWidth="1"/>
    <col min="5396" max="5633" width="13.36328125" style="419"/>
    <col min="5634" max="5634" width="14.453125" style="419" customWidth="1"/>
    <col min="5635" max="5635" width="13.453125" style="419" bestFit="1" customWidth="1"/>
    <col min="5636" max="5636" width="14.36328125" style="419" bestFit="1" customWidth="1"/>
    <col min="5637" max="5638" width="13.36328125" style="419"/>
    <col min="5639" max="5639" width="13.453125" style="419" bestFit="1" customWidth="1"/>
    <col min="5640" max="5640" width="13.36328125" style="419"/>
    <col min="5641" max="5641" width="13.453125" style="419" bestFit="1" customWidth="1"/>
    <col min="5642" max="5642" width="13.36328125" style="419"/>
    <col min="5643" max="5645" width="13.453125" style="419" bestFit="1" customWidth="1"/>
    <col min="5646" max="5646" width="13.36328125" style="419"/>
    <col min="5647" max="5647" width="13.453125" style="419" bestFit="1" customWidth="1"/>
    <col min="5648" max="5648" width="13.36328125" style="419"/>
    <col min="5649" max="5649" width="14.1796875" style="419" bestFit="1" customWidth="1"/>
    <col min="5650" max="5650" width="13.36328125" style="419"/>
    <col min="5651" max="5651" width="13.453125" style="419" bestFit="1" customWidth="1"/>
    <col min="5652" max="5889" width="13.36328125" style="419"/>
    <col min="5890" max="5890" width="14.453125" style="419" customWidth="1"/>
    <col min="5891" max="5891" width="13.453125" style="419" bestFit="1" customWidth="1"/>
    <col min="5892" max="5892" width="14.36328125" style="419" bestFit="1" customWidth="1"/>
    <col min="5893" max="5894" width="13.36328125" style="419"/>
    <col min="5895" max="5895" width="13.453125" style="419" bestFit="1" customWidth="1"/>
    <col min="5896" max="5896" width="13.36328125" style="419"/>
    <col min="5897" max="5897" width="13.453125" style="419" bestFit="1" customWidth="1"/>
    <col min="5898" max="5898" width="13.36328125" style="419"/>
    <col min="5899" max="5901" width="13.453125" style="419" bestFit="1" customWidth="1"/>
    <col min="5902" max="5902" width="13.36328125" style="419"/>
    <col min="5903" max="5903" width="13.453125" style="419" bestFit="1" customWidth="1"/>
    <col min="5904" max="5904" width="13.36328125" style="419"/>
    <col min="5905" max="5905" width="14.1796875" style="419" bestFit="1" customWidth="1"/>
    <col min="5906" max="5906" width="13.36328125" style="419"/>
    <col min="5907" max="5907" width="13.453125" style="419" bestFit="1" customWidth="1"/>
    <col min="5908" max="6145" width="13.36328125" style="419"/>
    <col min="6146" max="6146" width="14.453125" style="419" customWidth="1"/>
    <col min="6147" max="6147" width="13.453125" style="419" bestFit="1" customWidth="1"/>
    <col min="6148" max="6148" width="14.36328125" style="419" bestFit="1" customWidth="1"/>
    <col min="6149" max="6150" width="13.36328125" style="419"/>
    <col min="6151" max="6151" width="13.453125" style="419" bestFit="1" customWidth="1"/>
    <col min="6152" max="6152" width="13.36328125" style="419"/>
    <col min="6153" max="6153" width="13.453125" style="419" bestFit="1" customWidth="1"/>
    <col min="6154" max="6154" width="13.36328125" style="419"/>
    <col min="6155" max="6157" width="13.453125" style="419" bestFit="1" customWidth="1"/>
    <col min="6158" max="6158" width="13.36328125" style="419"/>
    <col min="6159" max="6159" width="13.453125" style="419" bestFit="1" customWidth="1"/>
    <col min="6160" max="6160" width="13.36328125" style="419"/>
    <col min="6161" max="6161" width="14.1796875" style="419" bestFit="1" customWidth="1"/>
    <col min="6162" max="6162" width="13.36328125" style="419"/>
    <col min="6163" max="6163" width="13.453125" style="419" bestFit="1" customWidth="1"/>
    <col min="6164" max="6401" width="13.36328125" style="419"/>
    <col min="6402" max="6402" width="14.453125" style="419" customWidth="1"/>
    <col min="6403" max="6403" width="13.453125" style="419" bestFit="1" customWidth="1"/>
    <col min="6404" max="6404" width="14.36328125" style="419" bestFit="1" customWidth="1"/>
    <col min="6405" max="6406" width="13.36328125" style="419"/>
    <col min="6407" max="6407" width="13.453125" style="419" bestFit="1" customWidth="1"/>
    <col min="6408" max="6408" width="13.36328125" style="419"/>
    <col min="6409" max="6409" width="13.453125" style="419" bestFit="1" customWidth="1"/>
    <col min="6410" max="6410" width="13.36328125" style="419"/>
    <col min="6411" max="6413" width="13.453125" style="419" bestFit="1" customWidth="1"/>
    <col min="6414" max="6414" width="13.36328125" style="419"/>
    <col min="6415" max="6415" width="13.453125" style="419" bestFit="1" customWidth="1"/>
    <col min="6416" max="6416" width="13.36328125" style="419"/>
    <col min="6417" max="6417" width="14.1796875" style="419" bestFit="1" customWidth="1"/>
    <col min="6418" max="6418" width="13.36328125" style="419"/>
    <col min="6419" max="6419" width="13.453125" style="419" bestFit="1" customWidth="1"/>
    <col min="6420" max="6657" width="13.36328125" style="419"/>
    <col min="6658" max="6658" width="14.453125" style="419" customWidth="1"/>
    <col min="6659" max="6659" width="13.453125" style="419" bestFit="1" customWidth="1"/>
    <col min="6660" max="6660" width="14.36328125" style="419" bestFit="1" customWidth="1"/>
    <col min="6661" max="6662" width="13.36328125" style="419"/>
    <col min="6663" max="6663" width="13.453125" style="419" bestFit="1" customWidth="1"/>
    <col min="6664" max="6664" width="13.36328125" style="419"/>
    <col min="6665" max="6665" width="13.453125" style="419" bestFit="1" customWidth="1"/>
    <col min="6666" max="6666" width="13.36328125" style="419"/>
    <col min="6667" max="6669" width="13.453125" style="419" bestFit="1" customWidth="1"/>
    <col min="6670" max="6670" width="13.36328125" style="419"/>
    <col min="6671" max="6671" width="13.453125" style="419" bestFit="1" customWidth="1"/>
    <col min="6672" max="6672" width="13.36328125" style="419"/>
    <col min="6673" max="6673" width="14.1796875" style="419" bestFit="1" customWidth="1"/>
    <col min="6674" max="6674" width="13.36328125" style="419"/>
    <col min="6675" max="6675" width="13.453125" style="419" bestFit="1" customWidth="1"/>
    <col min="6676" max="6913" width="13.36328125" style="419"/>
    <col min="6914" max="6914" width="14.453125" style="419" customWidth="1"/>
    <col min="6915" max="6915" width="13.453125" style="419" bestFit="1" customWidth="1"/>
    <col min="6916" max="6916" width="14.36328125" style="419" bestFit="1" customWidth="1"/>
    <col min="6917" max="6918" width="13.36328125" style="419"/>
    <col min="6919" max="6919" width="13.453125" style="419" bestFit="1" customWidth="1"/>
    <col min="6920" max="6920" width="13.36328125" style="419"/>
    <col min="6921" max="6921" width="13.453125" style="419" bestFit="1" customWidth="1"/>
    <col min="6922" max="6922" width="13.36328125" style="419"/>
    <col min="6923" max="6925" width="13.453125" style="419" bestFit="1" customWidth="1"/>
    <col min="6926" max="6926" width="13.36328125" style="419"/>
    <col min="6927" max="6927" width="13.453125" style="419" bestFit="1" customWidth="1"/>
    <col min="6928" max="6928" width="13.36328125" style="419"/>
    <col min="6929" max="6929" width="14.1796875" style="419" bestFit="1" customWidth="1"/>
    <col min="6930" max="6930" width="13.36328125" style="419"/>
    <col min="6931" max="6931" width="13.453125" style="419" bestFit="1" customWidth="1"/>
    <col min="6932" max="7169" width="13.36328125" style="419"/>
    <col min="7170" max="7170" width="14.453125" style="419" customWidth="1"/>
    <col min="7171" max="7171" width="13.453125" style="419" bestFit="1" customWidth="1"/>
    <col min="7172" max="7172" width="14.36328125" style="419" bestFit="1" customWidth="1"/>
    <col min="7173" max="7174" width="13.36328125" style="419"/>
    <col min="7175" max="7175" width="13.453125" style="419" bestFit="1" customWidth="1"/>
    <col min="7176" max="7176" width="13.36328125" style="419"/>
    <col min="7177" max="7177" width="13.453125" style="419" bestFit="1" customWidth="1"/>
    <col min="7178" max="7178" width="13.36328125" style="419"/>
    <col min="7179" max="7181" width="13.453125" style="419" bestFit="1" customWidth="1"/>
    <col min="7182" max="7182" width="13.36328125" style="419"/>
    <col min="7183" max="7183" width="13.453125" style="419" bestFit="1" customWidth="1"/>
    <col min="7184" max="7184" width="13.36328125" style="419"/>
    <col min="7185" max="7185" width="14.1796875" style="419" bestFit="1" customWidth="1"/>
    <col min="7186" max="7186" width="13.36328125" style="419"/>
    <col min="7187" max="7187" width="13.453125" style="419" bestFit="1" customWidth="1"/>
    <col min="7188" max="7425" width="13.36328125" style="419"/>
    <col min="7426" max="7426" width="14.453125" style="419" customWidth="1"/>
    <col min="7427" max="7427" width="13.453125" style="419" bestFit="1" customWidth="1"/>
    <col min="7428" max="7428" width="14.36328125" style="419" bestFit="1" customWidth="1"/>
    <col min="7429" max="7430" width="13.36328125" style="419"/>
    <col min="7431" max="7431" width="13.453125" style="419" bestFit="1" customWidth="1"/>
    <col min="7432" max="7432" width="13.36328125" style="419"/>
    <col min="7433" max="7433" width="13.453125" style="419" bestFit="1" customWidth="1"/>
    <col min="7434" max="7434" width="13.36328125" style="419"/>
    <col min="7435" max="7437" width="13.453125" style="419" bestFit="1" customWidth="1"/>
    <col min="7438" max="7438" width="13.36328125" style="419"/>
    <col min="7439" max="7439" width="13.453125" style="419" bestFit="1" customWidth="1"/>
    <col min="7440" max="7440" width="13.36328125" style="419"/>
    <col min="7441" max="7441" width="14.1796875" style="419" bestFit="1" customWidth="1"/>
    <col min="7442" max="7442" width="13.36328125" style="419"/>
    <col min="7443" max="7443" width="13.453125" style="419" bestFit="1" customWidth="1"/>
    <col min="7444" max="7681" width="13.36328125" style="419"/>
    <col min="7682" max="7682" width="14.453125" style="419" customWidth="1"/>
    <col min="7683" max="7683" width="13.453125" style="419" bestFit="1" customWidth="1"/>
    <col min="7684" max="7684" width="14.36328125" style="419" bestFit="1" customWidth="1"/>
    <col min="7685" max="7686" width="13.36328125" style="419"/>
    <col min="7687" max="7687" width="13.453125" style="419" bestFit="1" customWidth="1"/>
    <col min="7688" max="7688" width="13.36328125" style="419"/>
    <col min="7689" max="7689" width="13.453125" style="419" bestFit="1" customWidth="1"/>
    <col min="7690" max="7690" width="13.36328125" style="419"/>
    <col min="7691" max="7693" width="13.453125" style="419" bestFit="1" customWidth="1"/>
    <col min="7694" max="7694" width="13.36328125" style="419"/>
    <col min="7695" max="7695" width="13.453125" style="419" bestFit="1" customWidth="1"/>
    <col min="7696" max="7696" width="13.36328125" style="419"/>
    <col min="7697" max="7697" width="14.1796875" style="419" bestFit="1" customWidth="1"/>
    <col min="7698" max="7698" width="13.36328125" style="419"/>
    <col min="7699" max="7699" width="13.453125" style="419" bestFit="1" customWidth="1"/>
    <col min="7700" max="7937" width="13.36328125" style="419"/>
    <col min="7938" max="7938" width="14.453125" style="419" customWidth="1"/>
    <col min="7939" max="7939" width="13.453125" style="419" bestFit="1" customWidth="1"/>
    <col min="7940" max="7940" width="14.36328125" style="419" bestFit="1" customWidth="1"/>
    <col min="7941" max="7942" width="13.36328125" style="419"/>
    <col min="7943" max="7943" width="13.453125" style="419" bestFit="1" customWidth="1"/>
    <col min="7944" max="7944" width="13.36328125" style="419"/>
    <col min="7945" max="7945" width="13.453125" style="419" bestFit="1" customWidth="1"/>
    <col min="7946" max="7946" width="13.36328125" style="419"/>
    <col min="7947" max="7949" width="13.453125" style="419" bestFit="1" customWidth="1"/>
    <col min="7950" max="7950" width="13.36328125" style="419"/>
    <col min="7951" max="7951" width="13.453125" style="419" bestFit="1" customWidth="1"/>
    <col min="7952" max="7952" width="13.36328125" style="419"/>
    <col min="7953" max="7953" width="14.1796875" style="419" bestFit="1" customWidth="1"/>
    <col min="7954" max="7954" width="13.36328125" style="419"/>
    <col min="7955" max="7955" width="13.453125" style="419" bestFit="1" customWidth="1"/>
    <col min="7956" max="8193" width="13.36328125" style="419"/>
    <col min="8194" max="8194" width="14.453125" style="419" customWidth="1"/>
    <col min="8195" max="8195" width="13.453125" style="419" bestFit="1" customWidth="1"/>
    <col min="8196" max="8196" width="14.36328125" style="419" bestFit="1" customWidth="1"/>
    <col min="8197" max="8198" width="13.36328125" style="419"/>
    <col min="8199" max="8199" width="13.453125" style="419" bestFit="1" customWidth="1"/>
    <col min="8200" max="8200" width="13.36328125" style="419"/>
    <col min="8201" max="8201" width="13.453125" style="419" bestFit="1" customWidth="1"/>
    <col min="8202" max="8202" width="13.36328125" style="419"/>
    <col min="8203" max="8205" width="13.453125" style="419" bestFit="1" customWidth="1"/>
    <col min="8206" max="8206" width="13.36328125" style="419"/>
    <col min="8207" max="8207" width="13.453125" style="419" bestFit="1" customWidth="1"/>
    <col min="8208" max="8208" width="13.36328125" style="419"/>
    <col min="8209" max="8209" width="14.1796875" style="419" bestFit="1" customWidth="1"/>
    <col min="8210" max="8210" width="13.36328125" style="419"/>
    <col min="8211" max="8211" width="13.453125" style="419" bestFit="1" customWidth="1"/>
    <col min="8212" max="8449" width="13.36328125" style="419"/>
    <col min="8450" max="8450" width="14.453125" style="419" customWidth="1"/>
    <col min="8451" max="8451" width="13.453125" style="419" bestFit="1" customWidth="1"/>
    <col min="8452" max="8452" width="14.36328125" style="419" bestFit="1" customWidth="1"/>
    <col min="8453" max="8454" width="13.36328125" style="419"/>
    <col min="8455" max="8455" width="13.453125" style="419" bestFit="1" customWidth="1"/>
    <col min="8456" max="8456" width="13.36328125" style="419"/>
    <col min="8457" max="8457" width="13.453125" style="419" bestFit="1" customWidth="1"/>
    <col min="8458" max="8458" width="13.36328125" style="419"/>
    <col min="8459" max="8461" width="13.453125" style="419" bestFit="1" customWidth="1"/>
    <col min="8462" max="8462" width="13.36328125" style="419"/>
    <col min="8463" max="8463" width="13.453125" style="419" bestFit="1" customWidth="1"/>
    <col min="8464" max="8464" width="13.36328125" style="419"/>
    <col min="8465" max="8465" width="14.1796875" style="419" bestFit="1" customWidth="1"/>
    <col min="8466" max="8466" width="13.36328125" style="419"/>
    <col min="8467" max="8467" width="13.453125" style="419" bestFit="1" customWidth="1"/>
    <col min="8468" max="8705" width="13.36328125" style="419"/>
    <col min="8706" max="8706" width="14.453125" style="419" customWidth="1"/>
    <col min="8707" max="8707" width="13.453125" style="419" bestFit="1" customWidth="1"/>
    <col min="8708" max="8708" width="14.36328125" style="419" bestFit="1" customWidth="1"/>
    <col min="8709" max="8710" width="13.36328125" style="419"/>
    <col min="8711" max="8711" width="13.453125" style="419" bestFit="1" customWidth="1"/>
    <col min="8712" max="8712" width="13.36328125" style="419"/>
    <col min="8713" max="8713" width="13.453125" style="419" bestFit="1" customWidth="1"/>
    <col min="8714" max="8714" width="13.36328125" style="419"/>
    <col min="8715" max="8717" width="13.453125" style="419" bestFit="1" customWidth="1"/>
    <col min="8718" max="8718" width="13.36328125" style="419"/>
    <col min="8719" max="8719" width="13.453125" style="419" bestFit="1" customWidth="1"/>
    <col min="8720" max="8720" width="13.36328125" style="419"/>
    <col min="8721" max="8721" width="14.1796875" style="419" bestFit="1" customWidth="1"/>
    <col min="8722" max="8722" width="13.36328125" style="419"/>
    <col min="8723" max="8723" width="13.453125" style="419" bestFit="1" customWidth="1"/>
    <col min="8724" max="8961" width="13.36328125" style="419"/>
    <col min="8962" max="8962" width="14.453125" style="419" customWidth="1"/>
    <col min="8963" max="8963" width="13.453125" style="419" bestFit="1" customWidth="1"/>
    <col min="8964" max="8964" width="14.36328125" style="419" bestFit="1" customWidth="1"/>
    <col min="8965" max="8966" width="13.36328125" style="419"/>
    <col min="8967" max="8967" width="13.453125" style="419" bestFit="1" customWidth="1"/>
    <col min="8968" max="8968" width="13.36328125" style="419"/>
    <col min="8969" max="8969" width="13.453125" style="419" bestFit="1" customWidth="1"/>
    <col min="8970" max="8970" width="13.36328125" style="419"/>
    <col min="8971" max="8973" width="13.453125" style="419" bestFit="1" customWidth="1"/>
    <col min="8974" max="8974" width="13.36328125" style="419"/>
    <col min="8975" max="8975" width="13.453125" style="419" bestFit="1" customWidth="1"/>
    <col min="8976" max="8976" width="13.36328125" style="419"/>
    <col min="8977" max="8977" width="14.1796875" style="419" bestFit="1" customWidth="1"/>
    <col min="8978" max="8978" width="13.36328125" style="419"/>
    <col min="8979" max="8979" width="13.453125" style="419" bestFit="1" customWidth="1"/>
    <col min="8980" max="9217" width="13.36328125" style="419"/>
    <col min="9218" max="9218" width="14.453125" style="419" customWidth="1"/>
    <col min="9219" max="9219" width="13.453125" style="419" bestFit="1" customWidth="1"/>
    <col min="9220" max="9220" width="14.36328125" style="419" bestFit="1" customWidth="1"/>
    <col min="9221" max="9222" width="13.36328125" style="419"/>
    <col min="9223" max="9223" width="13.453125" style="419" bestFit="1" customWidth="1"/>
    <col min="9224" max="9224" width="13.36328125" style="419"/>
    <col min="9225" max="9225" width="13.453125" style="419" bestFit="1" customWidth="1"/>
    <col min="9226" max="9226" width="13.36328125" style="419"/>
    <col min="9227" max="9229" width="13.453125" style="419" bestFit="1" customWidth="1"/>
    <col min="9230" max="9230" width="13.36328125" style="419"/>
    <col min="9231" max="9231" width="13.453125" style="419" bestFit="1" customWidth="1"/>
    <col min="9232" max="9232" width="13.36328125" style="419"/>
    <col min="9233" max="9233" width="14.1796875" style="419" bestFit="1" customWidth="1"/>
    <col min="9234" max="9234" width="13.36328125" style="419"/>
    <col min="9235" max="9235" width="13.453125" style="419" bestFit="1" customWidth="1"/>
    <col min="9236" max="9473" width="13.36328125" style="419"/>
    <col min="9474" max="9474" width="14.453125" style="419" customWidth="1"/>
    <col min="9475" max="9475" width="13.453125" style="419" bestFit="1" customWidth="1"/>
    <col min="9476" max="9476" width="14.36328125" style="419" bestFit="1" customWidth="1"/>
    <col min="9477" max="9478" width="13.36328125" style="419"/>
    <col min="9479" max="9479" width="13.453125" style="419" bestFit="1" customWidth="1"/>
    <col min="9480" max="9480" width="13.36328125" style="419"/>
    <col min="9481" max="9481" width="13.453125" style="419" bestFit="1" customWidth="1"/>
    <col min="9482" max="9482" width="13.36328125" style="419"/>
    <col min="9483" max="9485" width="13.453125" style="419" bestFit="1" customWidth="1"/>
    <col min="9486" max="9486" width="13.36328125" style="419"/>
    <col min="9487" max="9487" width="13.453125" style="419" bestFit="1" customWidth="1"/>
    <col min="9488" max="9488" width="13.36328125" style="419"/>
    <col min="9489" max="9489" width="14.1796875" style="419" bestFit="1" customWidth="1"/>
    <col min="9490" max="9490" width="13.36328125" style="419"/>
    <col min="9491" max="9491" width="13.453125" style="419" bestFit="1" customWidth="1"/>
    <col min="9492" max="9729" width="13.36328125" style="419"/>
    <col min="9730" max="9730" width="14.453125" style="419" customWidth="1"/>
    <col min="9731" max="9731" width="13.453125" style="419" bestFit="1" customWidth="1"/>
    <col min="9732" max="9732" width="14.36328125" style="419" bestFit="1" customWidth="1"/>
    <col min="9733" max="9734" width="13.36328125" style="419"/>
    <col min="9735" max="9735" width="13.453125" style="419" bestFit="1" customWidth="1"/>
    <col min="9736" max="9736" width="13.36328125" style="419"/>
    <col min="9737" max="9737" width="13.453125" style="419" bestFit="1" customWidth="1"/>
    <col min="9738" max="9738" width="13.36328125" style="419"/>
    <col min="9739" max="9741" width="13.453125" style="419" bestFit="1" customWidth="1"/>
    <col min="9742" max="9742" width="13.36328125" style="419"/>
    <col min="9743" max="9743" width="13.453125" style="419" bestFit="1" customWidth="1"/>
    <col min="9744" max="9744" width="13.36328125" style="419"/>
    <col min="9745" max="9745" width="14.1796875" style="419" bestFit="1" customWidth="1"/>
    <col min="9746" max="9746" width="13.36328125" style="419"/>
    <col min="9747" max="9747" width="13.453125" style="419" bestFit="1" customWidth="1"/>
    <col min="9748" max="9985" width="13.36328125" style="419"/>
    <col min="9986" max="9986" width="14.453125" style="419" customWidth="1"/>
    <col min="9987" max="9987" width="13.453125" style="419" bestFit="1" customWidth="1"/>
    <col min="9988" max="9988" width="14.36328125" style="419" bestFit="1" customWidth="1"/>
    <col min="9989" max="9990" width="13.36328125" style="419"/>
    <col min="9991" max="9991" width="13.453125" style="419" bestFit="1" customWidth="1"/>
    <col min="9992" max="9992" width="13.36328125" style="419"/>
    <col min="9993" max="9993" width="13.453125" style="419" bestFit="1" customWidth="1"/>
    <col min="9994" max="9994" width="13.36328125" style="419"/>
    <col min="9995" max="9997" width="13.453125" style="419" bestFit="1" customWidth="1"/>
    <col min="9998" max="9998" width="13.36328125" style="419"/>
    <col min="9999" max="9999" width="13.453125" style="419" bestFit="1" customWidth="1"/>
    <col min="10000" max="10000" width="13.36328125" style="419"/>
    <col min="10001" max="10001" width="14.1796875" style="419" bestFit="1" customWidth="1"/>
    <col min="10002" max="10002" width="13.36328125" style="419"/>
    <col min="10003" max="10003" width="13.453125" style="419" bestFit="1" customWidth="1"/>
    <col min="10004" max="10241" width="13.36328125" style="419"/>
    <col min="10242" max="10242" width="14.453125" style="419" customWidth="1"/>
    <col min="10243" max="10243" width="13.453125" style="419" bestFit="1" customWidth="1"/>
    <col min="10244" max="10244" width="14.36328125" style="419" bestFit="1" customWidth="1"/>
    <col min="10245" max="10246" width="13.36328125" style="419"/>
    <col min="10247" max="10247" width="13.453125" style="419" bestFit="1" customWidth="1"/>
    <col min="10248" max="10248" width="13.36328125" style="419"/>
    <col min="10249" max="10249" width="13.453125" style="419" bestFit="1" customWidth="1"/>
    <col min="10250" max="10250" width="13.36328125" style="419"/>
    <col min="10251" max="10253" width="13.453125" style="419" bestFit="1" customWidth="1"/>
    <col min="10254" max="10254" width="13.36328125" style="419"/>
    <col min="10255" max="10255" width="13.453125" style="419" bestFit="1" customWidth="1"/>
    <col min="10256" max="10256" width="13.36328125" style="419"/>
    <col min="10257" max="10257" width="14.1796875" style="419" bestFit="1" customWidth="1"/>
    <col min="10258" max="10258" width="13.36328125" style="419"/>
    <col min="10259" max="10259" width="13.453125" style="419" bestFit="1" customWidth="1"/>
    <col min="10260" max="10497" width="13.36328125" style="419"/>
    <col min="10498" max="10498" width="14.453125" style="419" customWidth="1"/>
    <col min="10499" max="10499" width="13.453125" style="419" bestFit="1" customWidth="1"/>
    <col min="10500" max="10500" width="14.36328125" style="419" bestFit="1" customWidth="1"/>
    <col min="10501" max="10502" width="13.36328125" style="419"/>
    <col min="10503" max="10503" width="13.453125" style="419" bestFit="1" customWidth="1"/>
    <col min="10504" max="10504" width="13.36328125" style="419"/>
    <col min="10505" max="10505" width="13.453125" style="419" bestFit="1" customWidth="1"/>
    <col min="10506" max="10506" width="13.36328125" style="419"/>
    <col min="10507" max="10509" width="13.453125" style="419" bestFit="1" customWidth="1"/>
    <col min="10510" max="10510" width="13.36328125" style="419"/>
    <col min="10511" max="10511" width="13.453125" style="419" bestFit="1" customWidth="1"/>
    <col min="10512" max="10512" width="13.36328125" style="419"/>
    <col min="10513" max="10513" width="14.1796875" style="419" bestFit="1" customWidth="1"/>
    <col min="10514" max="10514" width="13.36328125" style="419"/>
    <col min="10515" max="10515" width="13.453125" style="419" bestFit="1" customWidth="1"/>
    <col min="10516" max="10753" width="13.36328125" style="419"/>
    <col min="10754" max="10754" width="14.453125" style="419" customWidth="1"/>
    <col min="10755" max="10755" width="13.453125" style="419" bestFit="1" customWidth="1"/>
    <col min="10756" max="10756" width="14.36328125" style="419" bestFit="1" customWidth="1"/>
    <col min="10757" max="10758" width="13.36328125" style="419"/>
    <col min="10759" max="10759" width="13.453125" style="419" bestFit="1" customWidth="1"/>
    <col min="10760" max="10760" width="13.36328125" style="419"/>
    <col min="10761" max="10761" width="13.453125" style="419" bestFit="1" customWidth="1"/>
    <col min="10762" max="10762" width="13.36328125" style="419"/>
    <col min="10763" max="10765" width="13.453125" style="419" bestFit="1" customWidth="1"/>
    <col min="10766" max="10766" width="13.36328125" style="419"/>
    <col min="10767" max="10767" width="13.453125" style="419" bestFit="1" customWidth="1"/>
    <col min="10768" max="10768" width="13.36328125" style="419"/>
    <col min="10769" max="10769" width="14.1796875" style="419" bestFit="1" customWidth="1"/>
    <col min="10770" max="10770" width="13.36328125" style="419"/>
    <col min="10771" max="10771" width="13.453125" style="419" bestFit="1" customWidth="1"/>
    <col min="10772" max="11009" width="13.36328125" style="419"/>
    <col min="11010" max="11010" width="14.453125" style="419" customWidth="1"/>
    <col min="11011" max="11011" width="13.453125" style="419" bestFit="1" customWidth="1"/>
    <col min="11012" max="11012" width="14.36328125" style="419" bestFit="1" customWidth="1"/>
    <col min="11013" max="11014" width="13.36328125" style="419"/>
    <col min="11015" max="11015" width="13.453125" style="419" bestFit="1" customWidth="1"/>
    <col min="11016" max="11016" width="13.36328125" style="419"/>
    <col min="11017" max="11017" width="13.453125" style="419" bestFit="1" customWidth="1"/>
    <col min="11018" max="11018" width="13.36328125" style="419"/>
    <col min="11019" max="11021" width="13.453125" style="419" bestFit="1" customWidth="1"/>
    <col min="11022" max="11022" width="13.36328125" style="419"/>
    <col min="11023" max="11023" width="13.453125" style="419" bestFit="1" customWidth="1"/>
    <col min="11024" max="11024" width="13.36328125" style="419"/>
    <col min="11025" max="11025" width="14.1796875" style="419" bestFit="1" customWidth="1"/>
    <col min="11026" max="11026" width="13.36328125" style="419"/>
    <col min="11027" max="11027" width="13.453125" style="419" bestFit="1" customWidth="1"/>
    <col min="11028" max="11265" width="13.36328125" style="419"/>
    <col min="11266" max="11266" width="14.453125" style="419" customWidth="1"/>
    <col min="11267" max="11267" width="13.453125" style="419" bestFit="1" customWidth="1"/>
    <col min="11268" max="11268" width="14.36328125" style="419" bestFit="1" customWidth="1"/>
    <col min="11269" max="11270" width="13.36328125" style="419"/>
    <col min="11271" max="11271" width="13.453125" style="419" bestFit="1" customWidth="1"/>
    <col min="11272" max="11272" width="13.36328125" style="419"/>
    <col min="11273" max="11273" width="13.453125" style="419" bestFit="1" customWidth="1"/>
    <col min="11274" max="11274" width="13.36328125" style="419"/>
    <col min="11275" max="11277" width="13.453125" style="419" bestFit="1" customWidth="1"/>
    <col min="11278" max="11278" width="13.36328125" style="419"/>
    <col min="11279" max="11279" width="13.453125" style="419" bestFit="1" customWidth="1"/>
    <col min="11280" max="11280" width="13.36328125" style="419"/>
    <col min="11281" max="11281" width="14.1796875" style="419" bestFit="1" customWidth="1"/>
    <col min="11282" max="11282" width="13.36328125" style="419"/>
    <col min="11283" max="11283" width="13.453125" style="419" bestFit="1" customWidth="1"/>
    <col min="11284" max="11521" width="13.36328125" style="419"/>
    <col min="11522" max="11522" width="14.453125" style="419" customWidth="1"/>
    <col min="11523" max="11523" width="13.453125" style="419" bestFit="1" customWidth="1"/>
    <col min="11524" max="11524" width="14.36328125" style="419" bestFit="1" customWidth="1"/>
    <col min="11525" max="11526" width="13.36328125" style="419"/>
    <col min="11527" max="11527" width="13.453125" style="419" bestFit="1" customWidth="1"/>
    <col min="11528" max="11528" width="13.36328125" style="419"/>
    <col min="11529" max="11529" width="13.453125" style="419" bestFit="1" customWidth="1"/>
    <col min="11530" max="11530" width="13.36328125" style="419"/>
    <col min="11531" max="11533" width="13.453125" style="419" bestFit="1" customWidth="1"/>
    <col min="11534" max="11534" width="13.36328125" style="419"/>
    <col min="11535" max="11535" width="13.453125" style="419" bestFit="1" customWidth="1"/>
    <col min="11536" max="11536" width="13.36328125" style="419"/>
    <col min="11537" max="11537" width="14.1796875" style="419" bestFit="1" customWidth="1"/>
    <col min="11538" max="11538" width="13.36328125" style="419"/>
    <col min="11539" max="11539" width="13.453125" style="419" bestFit="1" customWidth="1"/>
    <col min="11540" max="11777" width="13.36328125" style="419"/>
    <col min="11778" max="11778" width="14.453125" style="419" customWidth="1"/>
    <col min="11779" max="11779" width="13.453125" style="419" bestFit="1" customWidth="1"/>
    <col min="11780" max="11780" width="14.36328125" style="419" bestFit="1" customWidth="1"/>
    <col min="11781" max="11782" width="13.36328125" style="419"/>
    <col min="11783" max="11783" width="13.453125" style="419" bestFit="1" customWidth="1"/>
    <col min="11784" max="11784" width="13.36328125" style="419"/>
    <col min="11785" max="11785" width="13.453125" style="419" bestFit="1" customWidth="1"/>
    <col min="11786" max="11786" width="13.36328125" style="419"/>
    <col min="11787" max="11789" width="13.453125" style="419" bestFit="1" customWidth="1"/>
    <col min="11790" max="11790" width="13.36328125" style="419"/>
    <col min="11791" max="11791" width="13.453125" style="419" bestFit="1" customWidth="1"/>
    <col min="11792" max="11792" width="13.36328125" style="419"/>
    <col min="11793" max="11793" width="14.1796875" style="419" bestFit="1" customWidth="1"/>
    <col min="11794" max="11794" width="13.36328125" style="419"/>
    <col min="11795" max="11795" width="13.453125" style="419" bestFit="1" customWidth="1"/>
    <col min="11796" max="12033" width="13.36328125" style="419"/>
    <col min="12034" max="12034" width="14.453125" style="419" customWidth="1"/>
    <col min="12035" max="12035" width="13.453125" style="419" bestFit="1" customWidth="1"/>
    <col min="12036" max="12036" width="14.36328125" style="419" bestFit="1" customWidth="1"/>
    <col min="12037" max="12038" width="13.36328125" style="419"/>
    <col min="12039" max="12039" width="13.453125" style="419" bestFit="1" customWidth="1"/>
    <col min="12040" max="12040" width="13.36328125" style="419"/>
    <col min="12041" max="12041" width="13.453125" style="419" bestFit="1" customWidth="1"/>
    <col min="12042" max="12042" width="13.36328125" style="419"/>
    <col min="12043" max="12045" width="13.453125" style="419" bestFit="1" customWidth="1"/>
    <col min="12046" max="12046" width="13.36328125" style="419"/>
    <col min="12047" max="12047" width="13.453125" style="419" bestFit="1" customWidth="1"/>
    <col min="12048" max="12048" width="13.36328125" style="419"/>
    <col min="12049" max="12049" width="14.1796875" style="419" bestFit="1" customWidth="1"/>
    <col min="12050" max="12050" width="13.36328125" style="419"/>
    <col min="12051" max="12051" width="13.453125" style="419" bestFit="1" customWidth="1"/>
    <col min="12052" max="12289" width="13.36328125" style="419"/>
    <col min="12290" max="12290" width="14.453125" style="419" customWidth="1"/>
    <col min="12291" max="12291" width="13.453125" style="419" bestFit="1" customWidth="1"/>
    <col min="12292" max="12292" width="14.36328125" style="419" bestFit="1" customWidth="1"/>
    <col min="12293" max="12294" width="13.36328125" style="419"/>
    <col min="12295" max="12295" width="13.453125" style="419" bestFit="1" customWidth="1"/>
    <col min="12296" max="12296" width="13.36328125" style="419"/>
    <col min="12297" max="12297" width="13.453125" style="419" bestFit="1" customWidth="1"/>
    <col min="12298" max="12298" width="13.36328125" style="419"/>
    <col min="12299" max="12301" width="13.453125" style="419" bestFit="1" customWidth="1"/>
    <col min="12302" max="12302" width="13.36328125" style="419"/>
    <col min="12303" max="12303" width="13.453125" style="419" bestFit="1" customWidth="1"/>
    <col min="12304" max="12304" width="13.36328125" style="419"/>
    <col min="12305" max="12305" width="14.1796875" style="419" bestFit="1" customWidth="1"/>
    <col min="12306" max="12306" width="13.36328125" style="419"/>
    <col min="12307" max="12307" width="13.453125" style="419" bestFit="1" customWidth="1"/>
    <col min="12308" max="12545" width="13.36328125" style="419"/>
    <col min="12546" max="12546" width="14.453125" style="419" customWidth="1"/>
    <col min="12547" max="12547" width="13.453125" style="419" bestFit="1" customWidth="1"/>
    <col min="12548" max="12548" width="14.36328125" style="419" bestFit="1" customWidth="1"/>
    <col min="12549" max="12550" width="13.36328125" style="419"/>
    <col min="12551" max="12551" width="13.453125" style="419" bestFit="1" customWidth="1"/>
    <col min="12552" max="12552" width="13.36328125" style="419"/>
    <col min="12553" max="12553" width="13.453125" style="419" bestFit="1" customWidth="1"/>
    <col min="12554" max="12554" width="13.36328125" style="419"/>
    <col min="12555" max="12557" width="13.453125" style="419" bestFit="1" customWidth="1"/>
    <col min="12558" max="12558" width="13.36328125" style="419"/>
    <col min="12559" max="12559" width="13.453125" style="419" bestFit="1" customWidth="1"/>
    <col min="12560" max="12560" width="13.36328125" style="419"/>
    <col min="12561" max="12561" width="14.1796875" style="419" bestFit="1" customWidth="1"/>
    <col min="12562" max="12562" width="13.36328125" style="419"/>
    <col min="12563" max="12563" width="13.453125" style="419" bestFit="1" customWidth="1"/>
    <col min="12564" max="12801" width="13.36328125" style="419"/>
    <col min="12802" max="12802" width="14.453125" style="419" customWidth="1"/>
    <col min="12803" max="12803" width="13.453125" style="419" bestFit="1" customWidth="1"/>
    <col min="12804" max="12804" width="14.36328125" style="419" bestFit="1" customWidth="1"/>
    <col min="12805" max="12806" width="13.36328125" style="419"/>
    <col min="12807" max="12807" width="13.453125" style="419" bestFit="1" customWidth="1"/>
    <col min="12808" max="12808" width="13.36328125" style="419"/>
    <col min="12809" max="12809" width="13.453125" style="419" bestFit="1" customWidth="1"/>
    <col min="12810" max="12810" width="13.36328125" style="419"/>
    <col min="12811" max="12813" width="13.453125" style="419" bestFit="1" customWidth="1"/>
    <col min="12814" max="12814" width="13.36328125" style="419"/>
    <col min="12815" max="12815" width="13.453125" style="419" bestFit="1" customWidth="1"/>
    <col min="12816" max="12816" width="13.36328125" style="419"/>
    <col min="12817" max="12817" width="14.1796875" style="419" bestFit="1" customWidth="1"/>
    <col min="12818" max="12818" width="13.36328125" style="419"/>
    <col min="12819" max="12819" width="13.453125" style="419" bestFit="1" customWidth="1"/>
    <col min="12820" max="13057" width="13.36328125" style="419"/>
    <col min="13058" max="13058" width="14.453125" style="419" customWidth="1"/>
    <col min="13059" max="13059" width="13.453125" style="419" bestFit="1" customWidth="1"/>
    <col min="13060" max="13060" width="14.36328125" style="419" bestFit="1" customWidth="1"/>
    <col min="13061" max="13062" width="13.36328125" style="419"/>
    <col min="13063" max="13063" width="13.453125" style="419" bestFit="1" customWidth="1"/>
    <col min="13064" max="13064" width="13.36328125" style="419"/>
    <col min="13065" max="13065" width="13.453125" style="419" bestFit="1" customWidth="1"/>
    <col min="13066" max="13066" width="13.36328125" style="419"/>
    <col min="13067" max="13069" width="13.453125" style="419" bestFit="1" customWidth="1"/>
    <col min="13070" max="13070" width="13.36328125" style="419"/>
    <col min="13071" max="13071" width="13.453125" style="419" bestFit="1" customWidth="1"/>
    <col min="13072" max="13072" width="13.36328125" style="419"/>
    <col min="13073" max="13073" width="14.1796875" style="419" bestFit="1" customWidth="1"/>
    <col min="13074" max="13074" width="13.36328125" style="419"/>
    <col min="13075" max="13075" width="13.453125" style="419" bestFit="1" customWidth="1"/>
    <col min="13076" max="13313" width="13.36328125" style="419"/>
    <col min="13314" max="13314" width="14.453125" style="419" customWidth="1"/>
    <col min="13315" max="13315" width="13.453125" style="419" bestFit="1" customWidth="1"/>
    <col min="13316" max="13316" width="14.36328125" style="419" bestFit="1" customWidth="1"/>
    <col min="13317" max="13318" width="13.36328125" style="419"/>
    <col min="13319" max="13319" width="13.453125" style="419" bestFit="1" customWidth="1"/>
    <col min="13320" max="13320" width="13.36328125" style="419"/>
    <col min="13321" max="13321" width="13.453125" style="419" bestFit="1" customWidth="1"/>
    <col min="13322" max="13322" width="13.36328125" style="419"/>
    <col min="13323" max="13325" width="13.453125" style="419" bestFit="1" customWidth="1"/>
    <col min="13326" max="13326" width="13.36328125" style="419"/>
    <col min="13327" max="13327" width="13.453125" style="419" bestFit="1" customWidth="1"/>
    <col min="13328" max="13328" width="13.36328125" style="419"/>
    <col min="13329" max="13329" width="14.1796875" style="419" bestFit="1" customWidth="1"/>
    <col min="13330" max="13330" width="13.36328125" style="419"/>
    <col min="13331" max="13331" width="13.453125" style="419" bestFit="1" customWidth="1"/>
    <col min="13332" max="13569" width="13.36328125" style="419"/>
    <col min="13570" max="13570" width="14.453125" style="419" customWidth="1"/>
    <col min="13571" max="13571" width="13.453125" style="419" bestFit="1" customWidth="1"/>
    <col min="13572" max="13572" width="14.36328125" style="419" bestFit="1" customWidth="1"/>
    <col min="13573" max="13574" width="13.36328125" style="419"/>
    <col min="13575" max="13575" width="13.453125" style="419" bestFit="1" customWidth="1"/>
    <col min="13576" max="13576" width="13.36328125" style="419"/>
    <col min="13577" max="13577" width="13.453125" style="419" bestFit="1" customWidth="1"/>
    <col min="13578" max="13578" width="13.36328125" style="419"/>
    <col min="13579" max="13581" width="13.453125" style="419" bestFit="1" customWidth="1"/>
    <col min="13582" max="13582" width="13.36328125" style="419"/>
    <col min="13583" max="13583" width="13.453125" style="419" bestFit="1" customWidth="1"/>
    <col min="13584" max="13584" width="13.36328125" style="419"/>
    <col min="13585" max="13585" width="14.1796875" style="419" bestFit="1" customWidth="1"/>
    <col min="13586" max="13586" width="13.36328125" style="419"/>
    <col min="13587" max="13587" width="13.453125" style="419" bestFit="1" customWidth="1"/>
    <col min="13588" max="13825" width="13.36328125" style="419"/>
    <col min="13826" max="13826" width="14.453125" style="419" customWidth="1"/>
    <col min="13827" max="13827" width="13.453125" style="419" bestFit="1" customWidth="1"/>
    <col min="13828" max="13828" width="14.36328125" style="419" bestFit="1" customWidth="1"/>
    <col min="13829" max="13830" width="13.36328125" style="419"/>
    <col min="13831" max="13831" width="13.453125" style="419" bestFit="1" customWidth="1"/>
    <col min="13832" max="13832" width="13.36328125" style="419"/>
    <col min="13833" max="13833" width="13.453125" style="419" bestFit="1" customWidth="1"/>
    <col min="13834" max="13834" width="13.36328125" style="419"/>
    <col min="13835" max="13837" width="13.453125" style="419" bestFit="1" customWidth="1"/>
    <col min="13838" max="13838" width="13.36328125" style="419"/>
    <col min="13839" max="13839" width="13.453125" style="419" bestFit="1" customWidth="1"/>
    <col min="13840" max="13840" width="13.36328125" style="419"/>
    <col min="13841" max="13841" width="14.1796875" style="419" bestFit="1" customWidth="1"/>
    <col min="13842" max="13842" width="13.36328125" style="419"/>
    <col min="13843" max="13843" width="13.453125" style="419" bestFit="1" customWidth="1"/>
    <col min="13844" max="14081" width="13.36328125" style="419"/>
    <col min="14082" max="14082" width="14.453125" style="419" customWidth="1"/>
    <col min="14083" max="14083" width="13.453125" style="419" bestFit="1" customWidth="1"/>
    <col min="14084" max="14084" width="14.36328125" style="419" bestFit="1" customWidth="1"/>
    <col min="14085" max="14086" width="13.36328125" style="419"/>
    <col min="14087" max="14087" width="13.453125" style="419" bestFit="1" customWidth="1"/>
    <col min="14088" max="14088" width="13.36328125" style="419"/>
    <col min="14089" max="14089" width="13.453125" style="419" bestFit="1" customWidth="1"/>
    <col min="14090" max="14090" width="13.36328125" style="419"/>
    <col min="14091" max="14093" width="13.453125" style="419" bestFit="1" customWidth="1"/>
    <col min="14094" max="14094" width="13.36328125" style="419"/>
    <col min="14095" max="14095" width="13.453125" style="419" bestFit="1" customWidth="1"/>
    <col min="14096" max="14096" width="13.36328125" style="419"/>
    <col min="14097" max="14097" width="14.1796875" style="419" bestFit="1" customWidth="1"/>
    <col min="14098" max="14098" width="13.36328125" style="419"/>
    <col min="14099" max="14099" width="13.453125" style="419" bestFit="1" customWidth="1"/>
    <col min="14100" max="14337" width="13.36328125" style="419"/>
    <col min="14338" max="14338" width="14.453125" style="419" customWidth="1"/>
    <col min="14339" max="14339" width="13.453125" style="419" bestFit="1" customWidth="1"/>
    <col min="14340" max="14340" width="14.36328125" style="419" bestFit="1" customWidth="1"/>
    <col min="14341" max="14342" width="13.36328125" style="419"/>
    <col min="14343" max="14343" width="13.453125" style="419" bestFit="1" customWidth="1"/>
    <col min="14344" max="14344" width="13.36328125" style="419"/>
    <col min="14345" max="14345" width="13.453125" style="419" bestFit="1" customWidth="1"/>
    <col min="14346" max="14346" width="13.36328125" style="419"/>
    <col min="14347" max="14349" width="13.453125" style="419" bestFit="1" customWidth="1"/>
    <col min="14350" max="14350" width="13.36328125" style="419"/>
    <col min="14351" max="14351" width="13.453125" style="419" bestFit="1" customWidth="1"/>
    <col min="14352" max="14352" width="13.36328125" style="419"/>
    <col min="14353" max="14353" width="14.1796875" style="419" bestFit="1" customWidth="1"/>
    <col min="14354" max="14354" width="13.36328125" style="419"/>
    <col min="14355" max="14355" width="13.453125" style="419" bestFit="1" customWidth="1"/>
    <col min="14356" max="14593" width="13.36328125" style="419"/>
    <col min="14594" max="14594" width="14.453125" style="419" customWidth="1"/>
    <col min="14595" max="14595" width="13.453125" style="419" bestFit="1" customWidth="1"/>
    <col min="14596" max="14596" width="14.36328125" style="419" bestFit="1" customWidth="1"/>
    <col min="14597" max="14598" width="13.36328125" style="419"/>
    <col min="14599" max="14599" width="13.453125" style="419" bestFit="1" customWidth="1"/>
    <col min="14600" max="14600" width="13.36328125" style="419"/>
    <col min="14601" max="14601" width="13.453125" style="419" bestFit="1" customWidth="1"/>
    <col min="14602" max="14602" width="13.36328125" style="419"/>
    <col min="14603" max="14605" width="13.453125" style="419" bestFit="1" customWidth="1"/>
    <col min="14606" max="14606" width="13.36328125" style="419"/>
    <col min="14607" max="14607" width="13.453125" style="419" bestFit="1" customWidth="1"/>
    <col min="14608" max="14608" width="13.36328125" style="419"/>
    <col min="14609" max="14609" width="14.1796875" style="419" bestFit="1" customWidth="1"/>
    <col min="14610" max="14610" width="13.36328125" style="419"/>
    <col min="14611" max="14611" width="13.453125" style="419" bestFit="1" customWidth="1"/>
    <col min="14612" max="14849" width="13.36328125" style="419"/>
    <col min="14850" max="14850" width="14.453125" style="419" customWidth="1"/>
    <col min="14851" max="14851" width="13.453125" style="419" bestFit="1" customWidth="1"/>
    <col min="14852" max="14852" width="14.36328125" style="419" bestFit="1" customWidth="1"/>
    <col min="14853" max="14854" width="13.36328125" style="419"/>
    <col min="14855" max="14855" width="13.453125" style="419" bestFit="1" customWidth="1"/>
    <col min="14856" max="14856" width="13.36328125" style="419"/>
    <col min="14857" max="14857" width="13.453125" style="419" bestFit="1" customWidth="1"/>
    <col min="14858" max="14858" width="13.36328125" style="419"/>
    <col min="14859" max="14861" width="13.453125" style="419" bestFit="1" customWidth="1"/>
    <col min="14862" max="14862" width="13.36328125" style="419"/>
    <col min="14863" max="14863" width="13.453125" style="419" bestFit="1" customWidth="1"/>
    <col min="14864" max="14864" width="13.36328125" style="419"/>
    <col min="14865" max="14865" width="14.1796875" style="419" bestFit="1" customWidth="1"/>
    <col min="14866" max="14866" width="13.36328125" style="419"/>
    <col min="14867" max="14867" width="13.453125" style="419" bestFit="1" customWidth="1"/>
    <col min="14868" max="15105" width="13.36328125" style="419"/>
    <col min="15106" max="15106" width="14.453125" style="419" customWidth="1"/>
    <col min="15107" max="15107" width="13.453125" style="419" bestFit="1" customWidth="1"/>
    <col min="15108" max="15108" width="14.36328125" style="419" bestFit="1" customWidth="1"/>
    <col min="15109" max="15110" width="13.36328125" style="419"/>
    <col min="15111" max="15111" width="13.453125" style="419" bestFit="1" customWidth="1"/>
    <col min="15112" max="15112" width="13.36328125" style="419"/>
    <col min="15113" max="15113" width="13.453125" style="419" bestFit="1" customWidth="1"/>
    <col min="15114" max="15114" width="13.36328125" style="419"/>
    <col min="15115" max="15117" width="13.453125" style="419" bestFit="1" customWidth="1"/>
    <col min="15118" max="15118" width="13.36328125" style="419"/>
    <col min="15119" max="15119" width="13.453125" style="419" bestFit="1" customWidth="1"/>
    <col min="15120" max="15120" width="13.36328125" style="419"/>
    <col min="15121" max="15121" width="14.1796875" style="419" bestFit="1" customWidth="1"/>
    <col min="15122" max="15122" width="13.36328125" style="419"/>
    <col min="15123" max="15123" width="13.453125" style="419" bestFit="1" customWidth="1"/>
    <col min="15124" max="15361" width="13.36328125" style="419"/>
    <col min="15362" max="15362" width="14.453125" style="419" customWidth="1"/>
    <col min="15363" max="15363" width="13.453125" style="419" bestFit="1" customWidth="1"/>
    <col min="15364" max="15364" width="14.36328125" style="419" bestFit="1" customWidth="1"/>
    <col min="15365" max="15366" width="13.36328125" style="419"/>
    <col min="15367" max="15367" width="13.453125" style="419" bestFit="1" customWidth="1"/>
    <col min="15368" max="15368" width="13.36328125" style="419"/>
    <col min="15369" max="15369" width="13.453125" style="419" bestFit="1" customWidth="1"/>
    <col min="15370" max="15370" width="13.36328125" style="419"/>
    <col min="15371" max="15373" width="13.453125" style="419" bestFit="1" customWidth="1"/>
    <col min="15374" max="15374" width="13.36328125" style="419"/>
    <col min="15375" max="15375" width="13.453125" style="419" bestFit="1" customWidth="1"/>
    <col min="15376" max="15376" width="13.36328125" style="419"/>
    <col min="15377" max="15377" width="14.1796875" style="419" bestFit="1" customWidth="1"/>
    <col min="15378" max="15378" width="13.36328125" style="419"/>
    <col min="15379" max="15379" width="13.453125" style="419" bestFit="1" customWidth="1"/>
    <col min="15380" max="15617" width="13.36328125" style="419"/>
    <col min="15618" max="15618" width="14.453125" style="419" customWidth="1"/>
    <col min="15619" max="15619" width="13.453125" style="419" bestFit="1" customWidth="1"/>
    <col min="15620" max="15620" width="14.36328125" style="419" bestFit="1" customWidth="1"/>
    <col min="15621" max="15622" width="13.36328125" style="419"/>
    <col min="15623" max="15623" width="13.453125" style="419" bestFit="1" customWidth="1"/>
    <col min="15624" max="15624" width="13.36328125" style="419"/>
    <col min="15625" max="15625" width="13.453125" style="419" bestFit="1" customWidth="1"/>
    <col min="15626" max="15626" width="13.36328125" style="419"/>
    <col min="15627" max="15629" width="13.453125" style="419" bestFit="1" customWidth="1"/>
    <col min="15630" max="15630" width="13.36328125" style="419"/>
    <col min="15631" max="15631" width="13.453125" style="419" bestFit="1" customWidth="1"/>
    <col min="15632" max="15632" width="13.36328125" style="419"/>
    <col min="15633" max="15633" width="14.1796875" style="419" bestFit="1" customWidth="1"/>
    <col min="15634" max="15634" width="13.36328125" style="419"/>
    <col min="15635" max="15635" width="13.453125" style="419" bestFit="1" customWidth="1"/>
    <col min="15636" max="15873" width="13.36328125" style="419"/>
    <col min="15874" max="15874" width="14.453125" style="419" customWidth="1"/>
    <col min="15875" max="15875" width="13.453125" style="419" bestFit="1" customWidth="1"/>
    <col min="15876" max="15876" width="14.36328125" style="419" bestFit="1" customWidth="1"/>
    <col min="15877" max="15878" width="13.36328125" style="419"/>
    <col min="15879" max="15879" width="13.453125" style="419" bestFit="1" customWidth="1"/>
    <col min="15880" max="15880" width="13.36328125" style="419"/>
    <col min="15881" max="15881" width="13.453125" style="419" bestFit="1" customWidth="1"/>
    <col min="15882" max="15882" width="13.36328125" style="419"/>
    <col min="15883" max="15885" width="13.453125" style="419" bestFit="1" customWidth="1"/>
    <col min="15886" max="15886" width="13.36328125" style="419"/>
    <col min="15887" max="15887" width="13.453125" style="419" bestFit="1" customWidth="1"/>
    <col min="15888" max="15888" width="13.36328125" style="419"/>
    <col min="15889" max="15889" width="14.1796875" style="419" bestFit="1" customWidth="1"/>
    <col min="15890" max="15890" width="13.36328125" style="419"/>
    <col min="15891" max="15891" width="13.453125" style="419" bestFit="1" customWidth="1"/>
    <col min="15892" max="16129" width="13.36328125" style="419"/>
    <col min="16130" max="16130" width="14.453125" style="419" customWidth="1"/>
    <col min="16131" max="16131" width="13.453125" style="419" bestFit="1" customWidth="1"/>
    <col min="16132" max="16132" width="14.36328125" style="419" bestFit="1" customWidth="1"/>
    <col min="16133" max="16134" width="13.36328125" style="419"/>
    <col min="16135" max="16135" width="13.453125" style="419" bestFit="1" customWidth="1"/>
    <col min="16136" max="16136" width="13.36328125" style="419"/>
    <col min="16137" max="16137" width="13.453125" style="419" bestFit="1" customWidth="1"/>
    <col min="16138" max="16138" width="13.36328125" style="419"/>
    <col min="16139" max="16141" width="13.453125" style="419" bestFit="1" customWidth="1"/>
    <col min="16142" max="16142" width="13.36328125" style="419"/>
    <col min="16143" max="16143" width="13.453125" style="419" bestFit="1" customWidth="1"/>
    <col min="16144" max="16144" width="13.36328125" style="419"/>
    <col min="16145" max="16145" width="14.1796875" style="419" bestFit="1" customWidth="1"/>
    <col min="16146" max="16146" width="13.36328125" style="419"/>
    <col min="16147" max="16147" width="13.453125" style="419" bestFit="1" customWidth="1"/>
    <col min="16148" max="16384" width="13.36328125" style="419"/>
  </cols>
  <sheetData>
    <row r="1" spans="1:52" ht="17.55">
      <c r="B1" s="420"/>
      <c r="AA1" s="6" t="s">
        <v>803</v>
      </c>
    </row>
    <row r="2" spans="1:52" ht="15.65">
      <c r="B2" s="421"/>
      <c r="AA2" s="29" t="s">
        <v>221</v>
      </c>
    </row>
    <row r="3" spans="1:52" ht="17.55">
      <c r="B3" s="421"/>
      <c r="M3" s="420" t="s">
        <v>802</v>
      </c>
      <c r="AA3" s="29" t="str">
        <f>'Attachment 1 - Sched 1A'!J3</f>
        <v>For the 12 months ended 12/31/2019</v>
      </c>
    </row>
    <row r="4" spans="1:52" ht="15.05">
      <c r="B4" s="422"/>
    </row>
    <row r="5" spans="1:52" ht="15.05">
      <c r="A5" s="423"/>
      <c r="B5" s="424" t="s">
        <v>520</v>
      </c>
      <c r="C5" s="425"/>
      <c r="D5" s="425"/>
      <c r="E5" s="425"/>
      <c r="F5" s="425"/>
      <c r="G5" s="425"/>
      <c r="H5" s="425"/>
      <c r="I5" s="425"/>
      <c r="J5" s="425"/>
      <c r="K5" s="425"/>
      <c r="L5" s="425"/>
      <c r="M5" s="425"/>
      <c r="N5" s="425"/>
      <c r="O5" s="425"/>
      <c r="P5" s="425"/>
      <c r="Q5" s="425"/>
      <c r="R5" s="425"/>
      <c r="S5" s="425"/>
      <c r="T5" s="425"/>
      <c r="U5" s="425"/>
      <c r="V5" s="425"/>
      <c r="W5" s="425"/>
      <c r="X5" s="425"/>
      <c r="Y5" s="426"/>
      <c r="Z5" s="427"/>
      <c r="AA5" s="428"/>
      <c r="AB5" s="428"/>
      <c r="AC5" s="428"/>
      <c r="AD5" s="428"/>
      <c r="AE5" s="428"/>
      <c r="AF5" s="428"/>
      <c r="AG5" s="428"/>
      <c r="AH5" s="428"/>
      <c r="AI5" s="428"/>
    </row>
    <row r="6" spans="1:52">
      <c r="A6" s="429"/>
      <c r="B6" s="430"/>
      <c r="C6" s="427"/>
      <c r="D6" s="427"/>
      <c r="E6" s="427"/>
      <c r="F6" s="427"/>
      <c r="G6" s="431"/>
      <c r="H6" s="431"/>
      <c r="I6" s="431"/>
      <c r="J6" s="431"/>
      <c r="K6" s="432"/>
      <c r="L6" s="432"/>
      <c r="M6" s="432"/>
      <c r="N6" s="432"/>
      <c r="O6" s="432"/>
      <c r="P6" s="432"/>
      <c r="Q6" s="432"/>
      <c r="R6" s="432"/>
      <c r="S6" s="432"/>
      <c r="T6" s="432"/>
      <c r="U6" s="432"/>
      <c r="V6" s="432"/>
      <c r="W6" s="432"/>
      <c r="X6" s="432"/>
      <c r="Y6" s="433"/>
      <c r="Z6" s="427"/>
      <c r="AA6" s="428"/>
      <c r="AB6" s="428"/>
      <c r="AC6" s="428"/>
      <c r="AD6" s="428"/>
      <c r="AE6" s="428"/>
      <c r="AF6" s="428"/>
      <c r="AG6" s="428"/>
      <c r="AH6" s="428"/>
      <c r="AI6" s="428"/>
    </row>
    <row r="7" spans="1:52">
      <c r="A7" s="429"/>
      <c r="B7" s="432" t="s">
        <v>521</v>
      </c>
      <c r="C7" s="427"/>
      <c r="D7" s="427"/>
      <c r="E7" s="427"/>
      <c r="F7" s="427"/>
      <c r="G7" s="431"/>
      <c r="H7" s="431"/>
      <c r="I7" s="431"/>
      <c r="J7" s="431"/>
      <c r="K7" s="432"/>
      <c r="L7" s="432"/>
      <c r="M7" s="432"/>
      <c r="N7" s="432"/>
      <c r="O7" s="432"/>
      <c r="P7" s="432"/>
      <c r="Q7" s="432"/>
      <c r="R7" s="432"/>
      <c r="S7" s="432"/>
      <c r="T7" s="432"/>
      <c r="U7" s="432"/>
      <c r="V7" s="432"/>
      <c r="W7" s="432"/>
      <c r="X7" s="432"/>
      <c r="Y7" s="433"/>
      <c r="Z7" s="427"/>
      <c r="AA7" s="428"/>
      <c r="AB7" s="428"/>
      <c r="AC7" s="428"/>
      <c r="AD7" s="428"/>
      <c r="AE7" s="428"/>
      <c r="AF7" s="428"/>
      <c r="AG7" s="428"/>
      <c r="AH7" s="428"/>
      <c r="AI7" s="428"/>
    </row>
    <row r="8" spans="1:52" ht="13.15" thickBot="1">
      <c r="A8" s="429"/>
      <c r="B8" s="430"/>
      <c r="C8" s="430"/>
      <c r="D8" s="427"/>
      <c r="E8" s="427"/>
      <c r="F8" s="427"/>
      <c r="G8" s="431"/>
      <c r="H8" s="431"/>
      <c r="I8" s="431"/>
      <c r="J8" s="431"/>
      <c r="K8" s="432"/>
      <c r="L8" s="432"/>
      <c r="M8" s="432"/>
      <c r="N8" s="432"/>
      <c r="O8" s="432"/>
      <c r="P8" s="432"/>
      <c r="Q8" s="432"/>
      <c r="R8" s="432"/>
      <c r="S8" s="432"/>
      <c r="T8" s="432"/>
      <c r="U8" s="432"/>
      <c r="V8" s="432"/>
      <c r="W8" s="432"/>
      <c r="X8" s="432"/>
      <c r="Y8" s="433"/>
      <c r="Z8" s="427"/>
      <c r="AA8" s="428"/>
      <c r="AB8" s="428"/>
      <c r="AC8" s="428"/>
      <c r="AD8" s="428"/>
      <c r="AE8" s="428"/>
      <c r="AF8" s="428"/>
      <c r="AG8" s="428"/>
      <c r="AH8" s="428"/>
      <c r="AI8" s="428"/>
    </row>
    <row r="9" spans="1:52" ht="15.05" thickBot="1">
      <c r="A9" s="429"/>
      <c r="B9" s="434" t="s">
        <v>522</v>
      </c>
      <c r="C9" s="435">
        <v>43830</v>
      </c>
      <c r="D9" s="427"/>
      <c r="E9" s="427"/>
      <c r="F9" s="427"/>
      <c r="G9" s="432"/>
      <c r="H9" s="432"/>
      <c r="I9" s="430"/>
      <c r="J9" s="432"/>
      <c r="K9" s="436"/>
      <c r="L9" s="432"/>
      <c r="M9" s="432"/>
      <c r="N9" s="432"/>
      <c r="O9" s="432"/>
      <c r="P9" s="432"/>
      <c r="Q9" s="432"/>
      <c r="R9" s="432"/>
      <c r="S9" s="432"/>
      <c r="T9" s="432"/>
      <c r="U9" s="432"/>
      <c r="V9" s="432"/>
      <c r="W9" s="432"/>
      <c r="X9" s="432"/>
      <c r="Y9" s="433"/>
      <c r="Z9" s="427"/>
      <c r="AA9" s="428"/>
      <c r="AB9" s="428"/>
      <c r="AC9" s="428"/>
      <c r="AD9" s="428"/>
      <c r="AE9" s="428"/>
      <c r="AF9" s="428"/>
      <c r="AG9" s="428"/>
      <c r="AH9" s="428"/>
      <c r="AI9" s="428"/>
    </row>
    <row r="10" spans="1:52" s="430" customFormat="1" ht="13.15">
      <c r="A10" s="429"/>
      <c r="B10" s="437"/>
      <c r="C10" s="432"/>
      <c r="E10" s="427"/>
      <c r="F10" s="427"/>
      <c r="H10" s="432"/>
      <c r="I10" s="432"/>
      <c r="J10" s="432"/>
      <c r="K10" s="436"/>
      <c r="L10" s="432"/>
      <c r="M10" s="432"/>
      <c r="N10" s="432"/>
      <c r="O10" s="432"/>
      <c r="P10" s="432"/>
      <c r="Q10" s="432"/>
      <c r="R10" s="432"/>
      <c r="S10" s="432"/>
      <c r="T10" s="432"/>
      <c r="U10" s="432"/>
      <c r="V10" s="432"/>
      <c r="W10" s="432"/>
      <c r="X10" s="432"/>
      <c r="Y10" s="433"/>
      <c r="Z10" s="427"/>
      <c r="AA10" s="438"/>
      <c r="AB10" s="438"/>
      <c r="AC10" s="438"/>
      <c r="AD10" s="438"/>
      <c r="AE10" s="438"/>
      <c r="AF10" s="438"/>
      <c r="AG10" s="438"/>
      <c r="AH10" s="438"/>
      <c r="AI10" s="438"/>
    </row>
    <row r="11" spans="1:52" s="445" customFormat="1" ht="15.05">
      <c r="A11" s="439"/>
      <c r="B11" s="440"/>
      <c r="C11" s="441"/>
      <c r="D11" s="442" t="s">
        <v>299</v>
      </c>
      <c r="E11" s="442"/>
      <c r="F11" s="442"/>
      <c r="G11" s="441" t="s">
        <v>300</v>
      </c>
      <c r="H11" s="441"/>
      <c r="I11" s="441" t="s">
        <v>523</v>
      </c>
      <c r="J11" s="441"/>
      <c r="K11" s="441" t="s">
        <v>302</v>
      </c>
      <c r="L11" s="441"/>
      <c r="M11" s="443" t="s">
        <v>303</v>
      </c>
      <c r="N11" s="441"/>
      <c r="O11" s="443" t="s">
        <v>304</v>
      </c>
      <c r="P11" s="441"/>
      <c r="Q11" s="441" t="s">
        <v>305</v>
      </c>
      <c r="R11" s="441"/>
      <c r="S11" s="441" t="s">
        <v>306</v>
      </c>
      <c r="T11" s="441"/>
      <c r="U11" s="442" t="s">
        <v>307</v>
      </c>
      <c r="V11" s="441"/>
      <c r="W11" s="442" t="s">
        <v>308</v>
      </c>
      <c r="X11" s="441"/>
      <c r="Y11" s="444"/>
      <c r="Z11" s="442"/>
      <c r="AD11" s="442"/>
      <c r="AE11" s="442"/>
      <c r="AF11" s="446"/>
      <c r="AG11" s="446"/>
      <c r="AH11" s="446"/>
      <c r="AI11" s="446"/>
    </row>
    <row r="12" spans="1:52" ht="14.4">
      <c r="A12" s="429"/>
      <c r="B12" s="447"/>
      <c r="C12" s="438"/>
      <c r="D12" s="430"/>
      <c r="E12" s="438"/>
      <c r="F12" s="438"/>
      <c r="G12" s="430"/>
      <c r="H12" s="448"/>
      <c r="I12" s="430"/>
      <c r="J12" s="448"/>
      <c r="K12" s="430"/>
      <c r="L12" s="448"/>
      <c r="M12" s="430"/>
      <c r="N12" s="449"/>
      <c r="O12" s="448"/>
      <c r="P12" s="448"/>
      <c r="Q12" s="448"/>
      <c r="R12" s="448"/>
      <c r="S12" s="450"/>
      <c r="T12" s="448"/>
      <c r="U12" s="438"/>
      <c r="V12" s="448"/>
      <c r="W12" s="430"/>
      <c r="X12" s="450"/>
      <c r="Y12" s="451"/>
      <c r="Z12" s="438"/>
      <c r="AD12" s="438"/>
      <c r="AE12" s="452"/>
      <c r="AF12" s="428"/>
      <c r="AG12" s="428"/>
      <c r="AH12" s="428"/>
      <c r="AI12" s="428"/>
      <c r="AK12" s="453"/>
      <c r="AL12" s="447"/>
      <c r="AM12" s="447"/>
      <c r="AN12" s="447"/>
      <c r="AO12" s="447"/>
      <c r="AP12" s="447"/>
      <c r="AQ12" s="447"/>
      <c r="AR12" s="447"/>
      <c r="AS12" s="447"/>
      <c r="AT12" s="1355"/>
      <c r="AU12" s="1355"/>
      <c r="AV12" s="430"/>
      <c r="AW12" s="430"/>
      <c r="AX12" s="430"/>
      <c r="AY12" s="430"/>
      <c r="AZ12" s="430"/>
    </row>
    <row r="13" spans="1:52" ht="14.4">
      <c r="A13" s="429"/>
      <c r="B13" s="430"/>
      <c r="C13" s="438"/>
      <c r="D13" s="430"/>
      <c r="E13" s="438"/>
      <c r="F13" s="438"/>
      <c r="G13" s="430"/>
      <c r="H13" s="448"/>
      <c r="I13" s="430"/>
      <c r="J13" s="448"/>
      <c r="K13" s="430"/>
      <c r="L13" s="448"/>
      <c r="M13" s="449" t="s">
        <v>524</v>
      </c>
      <c r="N13" s="449"/>
      <c r="O13" s="448"/>
      <c r="P13" s="448"/>
      <c r="Q13" s="454" t="s">
        <v>525</v>
      </c>
      <c r="R13" s="448"/>
      <c r="S13" s="450"/>
      <c r="T13" s="448"/>
      <c r="U13" s="430"/>
      <c r="V13" s="448"/>
      <c r="W13" s="449" t="s">
        <v>111</v>
      </c>
      <c r="X13" s="450"/>
      <c r="Y13" s="451"/>
      <c r="Z13" s="438"/>
      <c r="AD13" s="438"/>
      <c r="AE13" s="452"/>
      <c r="AF13" s="428"/>
      <c r="AG13" s="428"/>
      <c r="AH13" s="428"/>
      <c r="AI13" s="428"/>
      <c r="AK13" s="453"/>
      <c r="AL13" s="447"/>
      <c r="AM13" s="447"/>
      <c r="AN13" s="447"/>
      <c r="AO13" s="447"/>
      <c r="AP13" s="447"/>
      <c r="AQ13" s="447"/>
      <c r="AR13" s="447"/>
      <c r="AS13" s="447"/>
      <c r="AT13" s="447"/>
      <c r="AU13" s="447"/>
      <c r="AV13" s="430"/>
      <c r="AW13" s="430"/>
      <c r="AX13" s="430"/>
      <c r="AY13" s="430"/>
      <c r="AZ13" s="430"/>
    </row>
    <row r="14" spans="1:52" ht="14.4">
      <c r="A14" s="429"/>
      <c r="B14" s="432"/>
      <c r="C14" s="430"/>
      <c r="D14" s="455"/>
      <c r="E14" s="455"/>
      <c r="F14" s="455"/>
      <c r="G14" s="449"/>
      <c r="H14" s="449"/>
      <c r="I14" s="449"/>
      <c r="J14" s="449"/>
      <c r="K14" s="449"/>
      <c r="L14" s="449"/>
      <c r="M14" s="449" t="s">
        <v>8</v>
      </c>
      <c r="N14" s="449"/>
      <c r="O14" s="449" t="s">
        <v>328</v>
      </c>
      <c r="P14" s="449"/>
      <c r="Q14" s="454" t="s">
        <v>526</v>
      </c>
      <c r="R14" s="449"/>
      <c r="S14" s="449" t="s">
        <v>111</v>
      </c>
      <c r="T14" s="449"/>
      <c r="U14" s="449" t="s">
        <v>527</v>
      </c>
      <c r="V14" s="449"/>
      <c r="W14" s="449" t="s">
        <v>528</v>
      </c>
      <c r="X14" s="455"/>
      <c r="Y14" s="456"/>
      <c r="Z14" s="455"/>
      <c r="AD14" s="455"/>
      <c r="AE14" s="457"/>
      <c r="AF14" s="458"/>
      <c r="AG14" s="458"/>
      <c r="AH14" s="458"/>
      <c r="AI14" s="458"/>
      <c r="AK14" s="459"/>
      <c r="AL14" s="460"/>
      <c r="AM14" s="460"/>
      <c r="AN14" s="460"/>
      <c r="AO14" s="460"/>
      <c r="AP14" s="460"/>
      <c r="AQ14" s="460"/>
      <c r="AR14" s="460"/>
      <c r="AS14" s="460"/>
      <c r="AT14" s="460"/>
      <c r="AU14" s="460"/>
      <c r="AV14" s="430"/>
      <c r="AW14" s="430"/>
      <c r="AX14" s="430"/>
      <c r="AY14" s="430"/>
      <c r="AZ14" s="430"/>
    </row>
    <row r="15" spans="1:52" ht="14.4">
      <c r="A15" s="429"/>
      <c r="B15" s="461"/>
      <c r="C15" s="430"/>
      <c r="D15" s="430"/>
      <c r="E15" s="449"/>
      <c r="F15" s="449"/>
      <c r="G15" s="449"/>
      <c r="H15" s="449"/>
      <c r="I15" s="449" t="s">
        <v>529</v>
      </c>
      <c r="J15" s="449"/>
      <c r="K15" s="449" t="s">
        <v>530</v>
      </c>
      <c r="L15" s="449"/>
      <c r="M15" s="449" t="s">
        <v>526</v>
      </c>
      <c r="N15" s="449"/>
      <c r="O15" s="449" t="s">
        <v>526</v>
      </c>
      <c r="P15" s="449"/>
      <c r="Q15" s="454" t="s">
        <v>531</v>
      </c>
      <c r="R15" s="449"/>
      <c r="S15" s="447" t="s">
        <v>526</v>
      </c>
      <c r="T15" s="449"/>
      <c r="U15" s="449" t="s">
        <v>532</v>
      </c>
      <c r="V15" s="449"/>
      <c r="W15" s="449" t="s">
        <v>533</v>
      </c>
      <c r="X15" s="455"/>
      <c r="Y15" s="456"/>
      <c r="Z15" s="455"/>
      <c r="AD15" s="455"/>
      <c r="AE15" s="457"/>
      <c r="AF15" s="458"/>
      <c r="AG15" s="458"/>
      <c r="AH15" s="458"/>
      <c r="AI15" s="458"/>
      <c r="AK15" s="462"/>
      <c r="AL15" s="463"/>
      <c r="AM15" s="463"/>
      <c r="AN15" s="463"/>
      <c r="AO15" s="463"/>
      <c r="AP15" s="463"/>
      <c r="AQ15" s="463"/>
      <c r="AR15" s="463"/>
      <c r="AS15" s="463"/>
      <c r="AT15" s="463"/>
      <c r="AU15" s="463"/>
      <c r="AV15" s="430"/>
      <c r="AW15" s="430"/>
      <c r="AX15" s="430"/>
      <c r="AY15" s="430"/>
      <c r="AZ15" s="430"/>
    </row>
    <row r="16" spans="1:52" ht="14.4">
      <c r="A16" s="429"/>
      <c r="B16" s="455"/>
      <c r="C16" s="464" t="s">
        <v>534</v>
      </c>
      <c r="D16" s="449" t="s">
        <v>535</v>
      </c>
      <c r="E16" s="449"/>
      <c r="F16" s="449"/>
      <c r="G16" s="449" t="s">
        <v>536</v>
      </c>
      <c r="H16" s="449"/>
      <c r="I16" s="449" t="s">
        <v>537</v>
      </c>
      <c r="J16" s="449"/>
      <c r="K16" s="449" t="s">
        <v>538</v>
      </c>
      <c r="L16" s="449"/>
      <c r="M16" s="454" t="s">
        <v>539</v>
      </c>
      <c r="N16" s="454"/>
      <c r="O16" s="447" t="s">
        <v>539</v>
      </c>
      <c r="P16" s="449"/>
      <c r="Q16" s="454" t="s">
        <v>540</v>
      </c>
      <c r="R16" s="449"/>
      <c r="S16" s="447" t="s">
        <v>541</v>
      </c>
      <c r="T16" s="449"/>
      <c r="U16" s="502" t="s">
        <v>596</v>
      </c>
      <c r="V16" s="447"/>
      <c r="W16" s="454" t="s">
        <v>542</v>
      </c>
      <c r="X16" s="455"/>
      <c r="Y16" s="456"/>
      <c r="Z16" s="455"/>
      <c r="AD16" s="455"/>
      <c r="AE16" s="455"/>
      <c r="AF16" s="458"/>
      <c r="AG16" s="458"/>
      <c r="AH16" s="458"/>
      <c r="AI16" s="458"/>
      <c r="AK16" s="462"/>
      <c r="AL16" s="463"/>
      <c r="AM16" s="463"/>
      <c r="AN16" s="463"/>
      <c r="AO16" s="463"/>
      <c r="AP16" s="463"/>
      <c r="AQ16" s="463"/>
      <c r="AR16" s="463"/>
      <c r="AS16" s="463"/>
      <c r="AT16" s="463"/>
      <c r="AU16" s="463"/>
      <c r="AV16" s="430"/>
      <c r="AW16" s="430"/>
      <c r="AX16" s="430"/>
      <c r="AY16" s="430"/>
      <c r="AZ16" s="430"/>
    </row>
    <row r="17" spans="1:52" ht="15.05">
      <c r="A17" s="429"/>
      <c r="B17" s="465" t="s">
        <v>543</v>
      </c>
      <c r="C17" s="466">
        <f>C40</f>
        <v>43830</v>
      </c>
      <c r="D17" s="430"/>
      <c r="E17" s="449"/>
      <c r="F17" s="449"/>
      <c r="G17" s="449"/>
      <c r="H17" s="449"/>
      <c r="I17" s="449" t="s">
        <v>907</v>
      </c>
      <c r="J17" s="449"/>
      <c r="K17" s="449" t="s">
        <v>908</v>
      </c>
      <c r="L17" s="449"/>
      <c r="M17" s="449"/>
      <c r="N17" s="449"/>
      <c r="O17" s="449"/>
      <c r="P17" s="449"/>
      <c r="Q17" s="454" t="s">
        <v>909</v>
      </c>
      <c r="R17" s="449"/>
      <c r="S17" s="449" t="s">
        <v>910</v>
      </c>
      <c r="T17" s="449"/>
      <c r="U17" s="449"/>
      <c r="V17" s="449"/>
      <c r="W17" s="455"/>
      <c r="X17" s="455"/>
      <c r="Y17" s="456"/>
      <c r="Z17" s="455"/>
      <c r="AD17" s="455"/>
      <c r="AE17" s="455"/>
      <c r="AF17" s="458"/>
      <c r="AG17" s="458"/>
      <c r="AH17" s="458"/>
      <c r="AI17" s="458"/>
      <c r="AK17" s="462"/>
      <c r="AL17" s="463"/>
      <c r="AM17" s="463"/>
      <c r="AN17" s="463"/>
      <c r="AO17" s="463"/>
      <c r="AP17" s="463"/>
      <c r="AQ17" s="463"/>
      <c r="AR17" s="463"/>
      <c r="AS17" s="463"/>
      <c r="AT17" s="463"/>
      <c r="AU17" s="463"/>
      <c r="AV17" s="430"/>
      <c r="AW17" s="430"/>
      <c r="AX17" s="430"/>
      <c r="AY17" s="430"/>
      <c r="AZ17" s="430"/>
    </row>
    <row r="18" spans="1:52" ht="14.4">
      <c r="A18" s="429"/>
      <c r="B18" s="467" t="s">
        <v>544</v>
      </c>
      <c r="C18" s="455"/>
      <c r="D18" s="430"/>
      <c r="E18" s="468"/>
      <c r="F18" s="468"/>
      <c r="G18" s="468"/>
      <c r="H18" s="468"/>
      <c r="I18" s="468"/>
      <c r="J18" s="468"/>
      <c r="K18" s="468"/>
      <c r="L18" s="468"/>
      <c r="M18" s="468"/>
      <c r="N18" s="468"/>
      <c r="O18" s="449"/>
      <c r="P18" s="468"/>
      <c r="Q18" s="469"/>
      <c r="R18" s="468"/>
      <c r="S18" s="449"/>
      <c r="T18" s="449"/>
      <c r="U18" s="449"/>
      <c r="V18" s="449"/>
      <c r="W18" s="455"/>
      <c r="X18" s="455"/>
      <c r="Y18" s="456"/>
      <c r="Z18" s="455"/>
      <c r="AD18" s="455"/>
      <c r="AE18" s="455"/>
      <c r="AF18" s="458"/>
      <c r="AG18" s="458"/>
      <c r="AH18" s="458"/>
      <c r="AI18" s="458"/>
      <c r="AK18" s="462"/>
      <c r="AL18" s="463"/>
      <c r="AM18" s="463"/>
      <c r="AN18" s="463"/>
      <c r="AO18" s="463"/>
      <c r="AP18" s="463"/>
      <c r="AQ18" s="463"/>
      <c r="AR18" s="463"/>
      <c r="AS18" s="463"/>
      <c r="AT18" s="463"/>
      <c r="AU18" s="463"/>
      <c r="AV18" s="430"/>
      <c r="AW18" s="430"/>
      <c r="AX18" s="430"/>
      <c r="AY18" s="430"/>
      <c r="AZ18" s="430"/>
    </row>
    <row r="19" spans="1:52" ht="14.4">
      <c r="A19" s="470" t="s">
        <v>22</v>
      </c>
      <c r="B19" s="471" t="str">
        <f>B47</f>
        <v>4.10%, Senior Unsecured Notes</v>
      </c>
      <c r="C19" s="472"/>
      <c r="D19" s="473">
        <f>D47</f>
        <v>43230</v>
      </c>
      <c r="E19" s="468"/>
      <c r="F19" s="468"/>
      <c r="G19" s="473">
        <f>G47</f>
        <v>46888</v>
      </c>
      <c r="H19" s="468"/>
      <c r="I19" s="474">
        <f>I47</f>
        <v>450000000</v>
      </c>
      <c r="J19" s="474"/>
      <c r="K19" s="474">
        <f>S47</f>
        <v>445906699</v>
      </c>
      <c r="L19" s="474"/>
      <c r="M19" s="599">
        <v>446565792</v>
      </c>
      <c r="N19" s="468"/>
      <c r="O19" s="1300">
        <v>12</v>
      </c>
      <c r="P19" s="468"/>
      <c r="Q19" s="500">
        <f>M19*O19/12</f>
        <v>446565792</v>
      </c>
      <c r="R19" s="468"/>
      <c r="S19" s="476">
        <f>+Q19/$Q$26</f>
        <v>1</v>
      </c>
      <c r="T19" s="455"/>
      <c r="U19" s="477">
        <f>AA47</f>
        <v>4.2122043970539917E-2</v>
      </c>
      <c r="V19" s="455"/>
      <c r="W19" s="478">
        <f>+S19*U19</f>
        <v>4.2122043970539917E-2</v>
      </c>
      <c r="X19" s="455"/>
      <c r="Y19" s="456"/>
      <c r="Z19" s="479"/>
      <c r="AD19" s="455"/>
      <c r="AE19" s="455"/>
      <c r="AF19" s="458"/>
      <c r="AG19" s="458"/>
      <c r="AH19" s="458"/>
      <c r="AI19" s="458"/>
      <c r="AK19" s="462"/>
      <c r="AL19" s="463"/>
      <c r="AM19" s="463"/>
      <c r="AN19" s="463"/>
      <c r="AO19" s="463"/>
      <c r="AP19" s="463"/>
      <c r="AQ19" s="463"/>
      <c r="AR19" s="463"/>
      <c r="AS19" s="463"/>
      <c r="AT19" s="463"/>
      <c r="AU19" s="463"/>
      <c r="AV19" s="430"/>
      <c r="AW19" s="430"/>
      <c r="AX19" s="430"/>
      <c r="AY19" s="430"/>
      <c r="AZ19" s="430"/>
    </row>
    <row r="20" spans="1:52" ht="14.4">
      <c r="A20" s="470"/>
      <c r="B20" s="471"/>
      <c r="C20" s="480"/>
      <c r="D20" s="473"/>
      <c r="E20" s="481"/>
      <c r="F20" s="481"/>
      <c r="G20" s="482"/>
      <c r="H20" s="481"/>
      <c r="I20" s="483"/>
      <c r="J20" s="483"/>
      <c r="K20" s="474"/>
      <c r="L20" s="483"/>
      <c r="M20" s="600"/>
      <c r="N20" s="484"/>
      <c r="O20" s="601"/>
      <c r="P20" s="484"/>
      <c r="Q20" s="475"/>
      <c r="R20" s="484"/>
      <c r="S20" s="486"/>
      <c r="T20" s="480"/>
      <c r="U20" s="477"/>
      <c r="V20" s="480"/>
      <c r="W20" s="478"/>
      <c r="X20" s="480"/>
      <c r="Y20" s="456"/>
      <c r="Z20" s="479"/>
      <c r="AD20" s="455"/>
      <c r="AE20" s="455"/>
      <c r="AF20" s="458"/>
      <c r="AG20" s="458"/>
      <c r="AH20" s="458"/>
      <c r="AI20" s="458"/>
      <c r="AK20" s="462"/>
      <c r="AL20" s="463"/>
      <c r="AM20" s="463"/>
      <c r="AN20" s="463"/>
      <c r="AO20" s="463"/>
      <c r="AP20" s="463"/>
      <c r="AQ20" s="463"/>
      <c r="AR20" s="463"/>
      <c r="AS20" s="463"/>
      <c r="AT20" s="463"/>
      <c r="AU20" s="463"/>
      <c r="AV20" s="430"/>
      <c r="AW20" s="430"/>
      <c r="AX20" s="430"/>
      <c r="AY20" s="430"/>
      <c r="AZ20" s="430"/>
    </row>
    <row r="21" spans="1:52" ht="14.4">
      <c r="A21" s="429"/>
      <c r="B21" s="430"/>
      <c r="C21" s="480"/>
      <c r="D21" s="487"/>
      <c r="E21" s="481"/>
      <c r="F21" s="481"/>
      <c r="G21" s="488"/>
      <c r="H21" s="481"/>
      <c r="I21" s="483"/>
      <c r="J21" s="483"/>
      <c r="K21" s="483"/>
      <c r="L21" s="483"/>
      <c r="M21" s="483"/>
      <c r="N21" s="484"/>
      <c r="O21" s="485"/>
      <c r="P21" s="484"/>
      <c r="Q21" s="489"/>
      <c r="R21" s="484"/>
      <c r="S21" s="486"/>
      <c r="T21" s="480"/>
      <c r="U21" s="490"/>
      <c r="V21" s="480"/>
      <c r="W21" s="491"/>
      <c r="X21" s="480"/>
      <c r="Y21" s="456"/>
      <c r="Z21" s="479"/>
      <c r="AD21" s="455"/>
      <c r="AE21" s="455"/>
      <c r="AF21" s="458"/>
      <c r="AG21" s="458"/>
      <c r="AH21" s="458"/>
      <c r="AI21" s="458"/>
      <c r="AK21" s="462"/>
      <c r="AL21" s="463"/>
      <c r="AM21" s="463"/>
      <c r="AN21" s="463"/>
      <c r="AO21" s="463"/>
      <c r="AP21" s="463"/>
      <c r="AQ21" s="463"/>
      <c r="AR21" s="463"/>
      <c r="AS21" s="463"/>
      <c r="AT21" s="463"/>
      <c r="AU21" s="463"/>
      <c r="AV21" s="430"/>
      <c r="AW21" s="430"/>
      <c r="AX21" s="430"/>
      <c r="AY21" s="430"/>
      <c r="AZ21" s="430"/>
    </row>
    <row r="22" spans="1:52" ht="14.4">
      <c r="A22" s="429"/>
      <c r="B22" s="492"/>
      <c r="C22" s="455"/>
      <c r="D22" s="493"/>
      <c r="E22" s="494"/>
      <c r="F22" s="494"/>
      <c r="G22" s="493"/>
      <c r="H22" s="494"/>
      <c r="I22" s="489"/>
      <c r="J22" s="489"/>
      <c r="K22" s="489"/>
      <c r="L22" s="489"/>
      <c r="M22" s="489"/>
      <c r="N22" s="495"/>
      <c r="O22" s="454"/>
      <c r="P22" s="495"/>
      <c r="Q22" s="489"/>
      <c r="R22" s="495"/>
      <c r="S22" s="496"/>
      <c r="T22" s="497"/>
      <c r="U22" s="498"/>
      <c r="V22" s="497"/>
      <c r="W22" s="491"/>
      <c r="X22" s="455"/>
      <c r="Y22" s="456"/>
      <c r="Z22" s="455"/>
      <c r="AD22" s="455"/>
      <c r="AE22" s="455"/>
      <c r="AF22" s="458"/>
      <c r="AG22" s="458"/>
      <c r="AH22" s="458"/>
      <c r="AI22" s="458"/>
      <c r="AK22" s="462"/>
      <c r="AL22" s="463"/>
      <c r="AM22" s="463"/>
      <c r="AN22" s="463"/>
      <c r="AO22" s="463"/>
      <c r="AP22" s="463"/>
      <c r="AQ22" s="463"/>
      <c r="AR22" s="463"/>
      <c r="AS22" s="463"/>
      <c r="AT22" s="463"/>
      <c r="AU22" s="463"/>
      <c r="AV22" s="430"/>
      <c r="AW22" s="430"/>
      <c r="AX22" s="430"/>
      <c r="AY22" s="430"/>
      <c r="AZ22" s="430"/>
    </row>
    <row r="23" spans="1:52" ht="14.4">
      <c r="A23" s="470"/>
      <c r="B23" s="471"/>
      <c r="C23" s="438"/>
      <c r="D23" s="493"/>
      <c r="E23" s="497"/>
      <c r="F23" s="497"/>
      <c r="G23" s="493"/>
      <c r="H23" s="499"/>
      <c r="I23" s="489"/>
      <c r="J23" s="489"/>
      <c r="K23" s="489"/>
      <c r="L23" s="489"/>
      <c r="M23" s="474"/>
      <c r="N23" s="468"/>
      <c r="O23" s="454"/>
      <c r="P23" s="468"/>
      <c r="Q23" s="500"/>
      <c r="R23" s="468"/>
      <c r="S23" s="476"/>
      <c r="T23" s="497"/>
      <c r="U23" s="501"/>
      <c r="V23" s="497"/>
      <c r="W23" s="491"/>
      <c r="X23" s="455"/>
      <c r="Y23" s="456"/>
      <c r="Z23" s="455"/>
      <c r="AD23" s="455"/>
      <c r="AE23" s="455"/>
      <c r="AF23" s="458"/>
      <c r="AG23" s="458"/>
      <c r="AH23" s="458"/>
      <c r="AI23" s="458"/>
      <c r="AK23" s="462"/>
      <c r="AL23" s="463"/>
      <c r="AM23" s="463"/>
      <c r="AN23" s="463"/>
      <c r="AO23" s="463"/>
      <c r="AP23" s="463"/>
      <c r="AQ23" s="463"/>
      <c r="AR23" s="463"/>
      <c r="AS23" s="463"/>
      <c r="AT23" s="463"/>
      <c r="AU23" s="463"/>
      <c r="AV23" s="430"/>
      <c r="AW23" s="430"/>
      <c r="AX23" s="430"/>
      <c r="AY23" s="430"/>
      <c r="AZ23" s="430"/>
    </row>
    <row r="24" spans="1:52" ht="14.4">
      <c r="A24" s="470"/>
      <c r="B24" s="502"/>
      <c r="C24" s="455"/>
      <c r="D24" s="447"/>
      <c r="E24" s="497"/>
      <c r="F24" s="497"/>
      <c r="G24" s="447"/>
      <c r="H24" s="499"/>
      <c r="I24" s="500"/>
      <c r="J24" s="489"/>
      <c r="K24" s="500"/>
      <c r="L24" s="489"/>
      <c r="M24" s="500"/>
      <c r="N24" s="495"/>
      <c r="O24" s="454"/>
      <c r="P24" s="495"/>
      <c r="Q24" s="500"/>
      <c r="R24" s="495"/>
      <c r="S24" s="476"/>
      <c r="T24" s="497"/>
      <c r="U24" s="498"/>
      <c r="V24" s="497"/>
      <c r="W24" s="491"/>
      <c r="X24" s="455"/>
      <c r="Y24" s="456"/>
      <c r="Z24" s="455"/>
      <c r="AD24" s="455"/>
      <c r="AE24" s="455"/>
      <c r="AF24" s="458"/>
      <c r="AG24" s="458"/>
      <c r="AH24" s="458"/>
      <c r="AI24" s="458"/>
      <c r="AK24" s="430"/>
      <c r="AL24" s="430"/>
      <c r="AM24" s="430"/>
      <c r="AN24" s="430"/>
      <c r="AO24" s="430"/>
      <c r="AP24" s="430"/>
      <c r="AQ24" s="503"/>
      <c r="AR24" s="438"/>
      <c r="AS24" s="503"/>
      <c r="AT24" s="430"/>
      <c r="AU24" s="430"/>
      <c r="AV24" s="430"/>
      <c r="AW24" s="430"/>
      <c r="AX24" s="430"/>
      <c r="AY24" s="430"/>
      <c r="AZ24" s="430"/>
    </row>
    <row r="25" spans="1:52" ht="14.4">
      <c r="A25" s="429"/>
      <c r="B25" s="502"/>
      <c r="C25" s="455"/>
      <c r="D25" s="430"/>
      <c r="E25" s="497"/>
      <c r="F25" s="497"/>
      <c r="G25" s="497"/>
      <c r="H25" s="497"/>
      <c r="I25" s="504"/>
      <c r="J25" s="489"/>
      <c r="K25" s="489"/>
      <c r="L25" s="489"/>
      <c r="M25" s="504"/>
      <c r="N25" s="497"/>
      <c r="O25" s="497"/>
      <c r="P25" s="497"/>
      <c r="Q25" s="504"/>
      <c r="R25" s="497"/>
      <c r="S25" s="505"/>
      <c r="T25" s="497"/>
      <c r="U25" s="491"/>
      <c r="V25" s="497"/>
      <c r="W25" s="505"/>
      <c r="X25" s="455"/>
      <c r="Y25" s="456"/>
      <c r="Z25" s="455"/>
      <c r="AD25" s="455"/>
      <c r="AE25" s="455"/>
      <c r="AF25" s="458"/>
      <c r="AG25" s="458"/>
      <c r="AH25" s="458"/>
      <c r="AI25" s="458"/>
      <c r="AK25" s="430"/>
      <c r="AL25" s="430"/>
      <c r="AM25" s="430"/>
      <c r="AN25" s="430"/>
      <c r="AO25" s="430"/>
      <c r="AP25" s="430"/>
      <c r="AQ25" s="503"/>
      <c r="AR25" s="438"/>
      <c r="AS25" s="503"/>
      <c r="AT25" s="430"/>
      <c r="AU25" s="430"/>
      <c r="AV25" s="430"/>
      <c r="AW25" s="430"/>
      <c r="AX25" s="430"/>
      <c r="AY25" s="430"/>
      <c r="AZ25" s="430"/>
    </row>
    <row r="26" spans="1:52" ht="15.05" thickBot="1">
      <c r="A26" s="429"/>
      <c r="B26" s="507" t="s">
        <v>10</v>
      </c>
      <c r="C26" s="479"/>
      <c r="D26" s="430"/>
      <c r="E26" s="479"/>
      <c r="F26" s="479"/>
      <c r="G26" s="457"/>
      <c r="H26" s="479"/>
      <c r="I26" s="508">
        <f>SUM(I19:I25)</f>
        <v>450000000</v>
      </c>
      <c r="J26" s="508"/>
      <c r="K26" s="508"/>
      <c r="L26" s="508"/>
      <c r="M26" s="508">
        <f>SUM(M19:M24)</f>
        <v>446565792</v>
      </c>
      <c r="N26" s="457"/>
      <c r="O26" s="479"/>
      <c r="P26" s="457"/>
      <c r="Q26" s="489">
        <f>SUM(Q19:Q25)</f>
        <v>446565792</v>
      </c>
      <c r="R26" s="457"/>
      <c r="S26" s="509">
        <f>SUM(S19:S24)</f>
        <v>1</v>
      </c>
      <c r="T26" s="479"/>
      <c r="U26" s="430"/>
      <c r="V26" s="479"/>
      <c r="W26" s="1267">
        <f>ROUND(SUM(W19:W25),4)</f>
        <v>4.2099999999999999E-2</v>
      </c>
      <c r="X26" s="479"/>
      <c r="Y26" s="1266" t="s">
        <v>545</v>
      </c>
      <c r="Z26" s="455"/>
      <c r="AD26" s="455"/>
      <c r="AE26" s="455"/>
      <c r="AF26" s="458"/>
      <c r="AG26" s="458"/>
      <c r="AH26" s="458"/>
      <c r="AI26" s="458"/>
      <c r="AK26" s="430"/>
      <c r="AL26" s="430"/>
      <c r="AM26" s="430"/>
      <c r="AN26" s="430"/>
      <c r="AO26" s="430"/>
      <c r="AP26" s="430"/>
      <c r="AQ26" s="503"/>
      <c r="AR26" s="438"/>
      <c r="AS26" s="503"/>
      <c r="AT26" s="430"/>
      <c r="AU26" s="430"/>
      <c r="AV26" s="430"/>
      <c r="AW26" s="430"/>
      <c r="AX26" s="430"/>
      <c r="AY26" s="430"/>
      <c r="AZ26" s="430"/>
    </row>
    <row r="27" spans="1:52" ht="15.05" hidden="1" thickTop="1">
      <c r="A27" s="429"/>
      <c r="B27" s="455" t="s">
        <v>546</v>
      </c>
      <c r="C27" s="479"/>
      <c r="D27" s="479">
        <f>490000000+195750000-I26</f>
        <v>235750000</v>
      </c>
      <c r="E27" s="479"/>
      <c r="F27" s="479"/>
      <c r="G27" s="479">
        <f>3568918-G26</f>
        <v>3568918</v>
      </c>
      <c r="H27" s="479"/>
      <c r="I27" s="479" t="e">
        <f>724091+#REF!</f>
        <v>#REF!</v>
      </c>
      <c r="J27" s="479"/>
      <c r="K27" s="479">
        <f>16241315-K26+834137</f>
        <v>17075452</v>
      </c>
      <c r="L27" s="479"/>
      <c r="M27" s="479"/>
      <c r="N27" s="479"/>
      <c r="O27" s="479"/>
      <c r="P27" s="479"/>
      <c r="Q27" s="510"/>
      <c r="R27" s="479"/>
      <c r="S27" s="479"/>
      <c r="T27" s="479"/>
      <c r="U27" s="479"/>
      <c r="V27" s="479"/>
      <c r="W27" s="509"/>
      <c r="X27" s="479"/>
      <c r="Y27" s="511"/>
      <c r="Z27" s="479"/>
      <c r="AA27" s="456"/>
      <c r="AB27" s="455"/>
      <c r="AC27" s="512"/>
      <c r="AD27" s="455"/>
      <c r="AE27" s="455"/>
      <c r="AF27" s="458"/>
      <c r="AG27" s="458"/>
      <c r="AH27" s="458"/>
      <c r="AI27" s="458"/>
      <c r="AK27" s="430"/>
      <c r="AL27" s="430"/>
      <c r="AM27" s="430"/>
      <c r="AN27" s="430"/>
      <c r="AO27" s="430"/>
      <c r="AP27" s="430"/>
      <c r="AQ27" s="513"/>
      <c r="AR27" s="438"/>
      <c r="AS27" s="513"/>
      <c r="AT27" s="430"/>
      <c r="AU27" s="430"/>
      <c r="AV27" s="430"/>
      <c r="AW27" s="430"/>
      <c r="AX27" s="430"/>
      <c r="AY27" s="430"/>
      <c r="AZ27" s="430"/>
    </row>
    <row r="28" spans="1:52" ht="15.05" thickTop="1">
      <c r="A28" s="429"/>
      <c r="B28" s="455"/>
      <c r="C28" s="479"/>
      <c r="D28" s="479"/>
      <c r="E28" s="479"/>
      <c r="F28" s="479"/>
      <c r="G28" s="479"/>
      <c r="H28" s="479"/>
      <c r="I28" s="479"/>
      <c r="J28" s="479"/>
      <c r="K28" s="479"/>
      <c r="L28" s="479"/>
      <c r="M28" s="479"/>
      <c r="N28" s="479"/>
      <c r="O28" s="479"/>
      <c r="P28" s="479"/>
      <c r="Q28" s="510"/>
      <c r="R28" s="479"/>
      <c r="S28" s="479"/>
      <c r="T28" s="479"/>
      <c r="U28" s="479"/>
      <c r="V28" s="479"/>
      <c r="W28" s="509"/>
      <c r="X28" s="479"/>
      <c r="Y28" s="511"/>
      <c r="Z28" s="479"/>
      <c r="AA28" s="455"/>
      <c r="AB28" s="455"/>
      <c r="AC28" s="455"/>
      <c r="AD28" s="455"/>
      <c r="AE28" s="455"/>
      <c r="AF28" s="458"/>
      <c r="AG28" s="458"/>
      <c r="AH28" s="458"/>
      <c r="AI28" s="458"/>
      <c r="AK28" s="430"/>
      <c r="AL28" s="430"/>
      <c r="AM28" s="430"/>
      <c r="AN28" s="430"/>
      <c r="AO28" s="430"/>
      <c r="AP28" s="430"/>
      <c r="AQ28" s="513"/>
      <c r="AR28" s="438"/>
      <c r="AS28" s="513"/>
      <c r="AT28" s="430"/>
      <c r="AU28" s="430"/>
      <c r="AV28" s="430"/>
      <c r="AW28" s="430"/>
      <c r="AX28" s="430"/>
      <c r="AY28" s="430"/>
      <c r="AZ28" s="430"/>
    </row>
    <row r="29" spans="1:52" ht="14.4">
      <c r="A29" s="429"/>
      <c r="B29" s="455" t="s">
        <v>547</v>
      </c>
      <c r="C29" s="479"/>
      <c r="D29" s="479"/>
      <c r="E29" s="479"/>
      <c r="F29" s="479"/>
      <c r="G29" s="479"/>
      <c r="H29" s="479"/>
      <c r="I29" s="479"/>
      <c r="J29" s="479"/>
      <c r="K29" s="479"/>
      <c r="L29" s="479"/>
      <c r="M29" s="479"/>
      <c r="N29" s="479"/>
      <c r="O29" s="479"/>
      <c r="P29" s="479"/>
      <c r="Q29" s="479"/>
      <c r="R29" s="479"/>
      <c r="S29" s="479"/>
      <c r="T29" s="479"/>
      <c r="U29" s="479"/>
      <c r="V29" s="479"/>
      <c r="W29" s="509"/>
      <c r="X29" s="479"/>
      <c r="Y29" s="511"/>
      <c r="Z29" s="479"/>
      <c r="AA29" s="455"/>
      <c r="AB29" s="455"/>
      <c r="AC29" s="455"/>
      <c r="AD29" s="455"/>
      <c r="AE29" s="455"/>
      <c r="AF29" s="458"/>
      <c r="AG29" s="458"/>
      <c r="AH29" s="458"/>
      <c r="AI29" s="458"/>
      <c r="AK29" s="430"/>
      <c r="AL29" s="430"/>
      <c r="AM29" s="430"/>
      <c r="AN29" s="430"/>
      <c r="AO29" s="430"/>
      <c r="AP29" s="430"/>
      <c r="AQ29" s="513"/>
      <c r="AR29" s="438"/>
      <c r="AS29" s="513"/>
      <c r="AT29" s="430"/>
      <c r="AU29" s="430"/>
      <c r="AV29" s="430"/>
      <c r="AW29" s="430"/>
      <c r="AX29" s="430"/>
      <c r="AY29" s="430"/>
      <c r="AZ29" s="430"/>
    </row>
    <row r="30" spans="1:52" ht="14.4">
      <c r="A30" s="429"/>
      <c r="B30" s="438" t="s">
        <v>548</v>
      </c>
      <c r="C30" s="479"/>
      <c r="D30" s="479"/>
      <c r="E30" s="479"/>
      <c r="F30" s="479"/>
      <c r="G30" s="479"/>
      <c r="H30" s="479"/>
      <c r="I30" s="479"/>
      <c r="J30" s="479"/>
      <c r="K30" s="479"/>
      <c r="L30" s="479"/>
      <c r="M30" s="479"/>
      <c r="N30" s="479"/>
      <c r="O30" s="479"/>
      <c r="P30" s="479"/>
      <c r="Q30" s="479"/>
      <c r="R30" s="479"/>
      <c r="S30" s="479"/>
      <c r="T30" s="479"/>
      <c r="U30" s="479"/>
      <c r="V30" s="479"/>
      <c r="W30" s="509"/>
      <c r="X30" s="479"/>
      <c r="Y30" s="511"/>
      <c r="Z30" s="479"/>
      <c r="AA30" s="455"/>
      <c r="AB30" s="455"/>
      <c r="AC30" s="455"/>
      <c r="AD30" s="455"/>
      <c r="AE30" s="455"/>
      <c r="AF30" s="458"/>
      <c r="AG30" s="458"/>
      <c r="AH30" s="458"/>
      <c r="AI30" s="458"/>
      <c r="AK30" s="430"/>
      <c r="AL30" s="430"/>
      <c r="AM30" s="430"/>
      <c r="AN30" s="430"/>
      <c r="AO30" s="430"/>
      <c r="AP30" s="430"/>
      <c r="AQ30" s="513"/>
      <c r="AR30" s="438"/>
      <c r="AS30" s="513"/>
      <c r="AT30" s="430"/>
      <c r="AU30" s="430"/>
      <c r="AV30" s="430"/>
      <c r="AW30" s="430"/>
      <c r="AX30" s="430"/>
      <c r="AY30" s="430"/>
      <c r="AZ30" s="430"/>
    </row>
    <row r="31" spans="1:52" ht="14.4">
      <c r="A31" s="429"/>
      <c r="B31" s="514" t="s">
        <v>549</v>
      </c>
      <c r="C31" s="479"/>
      <c r="D31" s="479"/>
      <c r="E31" s="479"/>
      <c r="F31" s="479"/>
      <c r="G31" s="479"/>
      <c r="H31" s="479"/>
      <c r="I31" s="479"/>
      <c r="J31" s="479"/>
      <c r="K31" s="479"/>
      <c r="L31" s="479"/>
      <c r="M31" s="479"/>
      <c r="N31" s="479"/>
      <c r="O31" s="479"/>
      <c r="P31" s="479"/>
      <c r="Q31" s="479"/>
      <c r="R31" s="479"/>
      <c r="S31" s="479"/>
      <c r="T31" s="479"/>
      <c r="U31" s="479"/>
      <c r="V31" s="479"/>
      <c r="W31" s="479"/>
      <c r="X31" s="479"/>
      <c r="Y31" s="511"/>
      <c r="Z31" s="479"/>
      <c r="AA31" s="455"/>
      <c r="AB31" s="455"/>
      <c r="AC31" s="455"/>
      <c r="AD31" s="455"/>
      <c r="AE31" s="455"/>
      <c r="AF31" s="458"/>
      <c r="AG31" s="458"/>
      <c r="AH31" s="458"/>
      <c r="AI31" s="458"/>
      <c r="AK31" s="430"/>
      <c r="AL31" s="430"/>
      <c r="AM31" s="430"/>
      <c r="AN31" s="430"/>
      <c r="AO31" s="430"/>
      <c r="AP31" s="430"/>
      <c r="AQ31" s="438"/>
      <c r="AR31" s="438"/>
      <c r="AS31" s="438"/>
      <c r="AT31" s="430"/>
      <c r="AU31" s="430"/>
      <c r="AV31" s="430"/>
      <c r="AW31" s="430"/>
      <c r="AX31" s="430"/>
      <c r="AY31" s="430"/>
      <c r="AZ31" s="430"/>
    </row>
    <row r="32" spans="1:52" ht="14.4">
      <c r="A32" s="429"/>
      <c r="B32" s="515" t="s">
        <v>550</v>
      </c>
      <c r="C32" s="499"/>
      <c r="D32" s="499"/>
      <c r="E32" s="499"/>
      <c r="F32" s="499"/>
      <c r="G32" s="499"/>
      <c r="H32" s="499"/>
      <c r="I32" s="499"/>
      <c r="J32" s="499"/>
      <c r="K32" s="499"/>
      <c r="L32" s="499"/>
      <c r="M32" s="499"/>
      <c r="N32" s="499"/>
      <c r="O32" s="499"/>
      <c r="P32" s="479"/>
      <c r="Q32" s="479"/>
      <c r="R32" s="479"/>
      <c r="S32" s="479"/>
      <c r="T32" s="479"/>
      <c r="U32" s="479"/>
      <c r="V32" s="479"/>
      <c r="W32" s="479"/>
      <c r="X32" s="479"/>
      <c r="Y32" s="511"/>
      <c r="Z32" s="479"/>
      <c r="AA32" s="455"/>
      <c r="AB32" s="455"/>
      <c r="AC32" s="455"/>
      <c r="AD32" s="455"/>
      <c r="AE32" s="455"/>
      <c r="AF32" s="458"/>
      <c r="AG32" s="458"/>
      <c r="AH32" s="458"/>
      <c r="AI32" s="458"/>
      <c r="AK32" s="430"/>
      <c r="AL32" s="430"/>
      <c r="AM32" s="430"/>
      <c r="AN32" s="430"/>
      <c r="AO32" s="430"/>
      <c r="AP32" s="430"/>
      <c r="AQ32" s="438"/>
      <c r="AR32" s="438"/>
      <c r="AS32" s="438"/>
      <c r="AT32" s="430"/>
      <c r="AU32" s="430"/>
      <c r="AV32" s="430"/>
      <c r="AW32" s="430"/>
      <c r="AX32" s="430"/>
      <c r="AY32" s="430"/>
      <c r="AZ32" s="430"/>
    </row>
    <row r="33" spans="1:52" ht="14.4">
      <c r="A33" s="516"/>
      <c r="B33" s="517" t="s">
        <v>551</v>
      </c>
      <c r="C33" s="518"/>
      <c r="D33" s="518"/>
      <c r="E33" s="518"/>
      <c r="F33" s="518"/>
      <c r="G33" s="518"/>
      <c r="H33" s="518"/>
      <c r="I33" s="518"/>
      <c r="J33" s="518"/>
      <c r="K33" s="518"/>
      <c r="L33" s="518"/>
      <c r="M33" s="518"/>
      <c r="N33" s="518"/>
      <c r="O33" s="518"/>
      <c r="P33" s="518"/>
      <c r="Q33" s="518"/>
      <c r="R33" s="518"/>
      <c r="S33" s="518"/>
      <c r="T33" s="518"/>
      <c r="U33" s="518"/>
      <c r="V33" s="518"/>
      <c r="W33" s="518"/>
      <c r="X33" s="518"/>
      <c r="Y33" s="519"/>
      <c r="Z33" s="479"/>
      <c r="AA33" s="455"/>
      <c r="AB33" s="455"/>
      <c r="AC33" s="455"/>
      <c r="AD33" s="455"/>
      <c r="AE33" s="455"/>
      <c r="AF33" s="458"/>
      <c r="AG33" s="458"/>
      <c r="AH33" s="458"/>
      <c r="AI33" s="458"/>
      <c r="AK33" s="430"/>
      <c r="AL33" s="430"/>
      <c r="AM33" s="430"/>
      <c r="AN33" s="430"/>
      <c r="AO33" s="430"/>
      <c r="AP33" s="430"/>
      <c r="AQ33" s="438"/>
      <c r="AR33" s="438"/>
      <c r="AS33" s="438"/>
      <c r="AT33" s="430"/>
      <c r="AU33" s="430"/>
      <c r="AV33" s="430"/>
      <c r="AW33" s="430"/>
      <c r="AX33" s="430"/>
      <c r="AY33" s="430"/>
      <c r="AZ33" s="430"/>
    </row>
    <row r="34" spans="1:52" ht="14.4">
      <c r="A34" s="516"/>
      <c r="B34" s="517" t="s">
        <v>1011</v>
      </c>
      <c r="C34" s="518"/>
      <c r="D34" s="518"/>
      <c r="E34" s="518"/>
      <c r="F34" s="518"/>
      <c r="G34" s="518"/>
      <c r="H34" s="518"/>
      <c r="I34" s="518"/>
      <c r="J34" s="518"/>
      <c r="K34" s="518"/>
      <c r="L34" s="518"/>
      <c r="M34" s="518"/>
      <c r="N34" s="518"/>
      <c r="O34" s="518"/>
      <c r="P34" s="518"/>
      <c r="Q34" s="518"/>
      <c r="R34" s="518"/>
      <c r="S34" s="518"/>
      <c r="T34" s="518"/>
      <c r="U34" s="518"/>
      <c r="V34" s="518"/>
      <c r="W34" s="518"/>
      <c r="X34" s="518"/>
      <c r="Y34" s="519"/>
      <c r="Z34" s="479"/>
      <c r="AA34" s="455"/>
      <c r="AB34" s="455"/>
      <c r="AC34" s="455"/>
      <c r="AD34" s="455"/>
      <c r="AE34" s="455"/>
      <c r="AF34" s="458"/>
      <c r="AG34" s="458"/>
      <c r="AH34" s="458"/>
      <c r="AI34" s="458"/>
      <c r="AK34" s="430"/>
      <c r="AL34" s="430"/>
      <c r="AM34" s="430"/>
      <c r="AN34" s="430"/>
      <c r="AO34" s="430"/>
      <c r="AP34" s="430"/>
      <c r="AQ34" s="438"/>
      <c r="AR34" s="438"/>
      <c r="AS34" s="438"/>
      <c r="AT34" s="430"/>
      <c r="AU34" s="430"/>
      <c r="AV34" s="430"/>
      <c r="AW34" s="430"/>
      <c r="AX34" s="430"/>
      <c r="AY34" s="430"/>
      <c r="AZ34" s="430"/>
    </row>
    <row r="35" spans="1:52" ht="14.4">
      <c r="A35" s="430"/>
      <c r="B35" s="514"/>
      <c r="C35" s="479"/>
      <c r="D35" s="479"/>
      <c r="E35" s="479"/>
      <c r="F35" s="479"/>
      <c r="G35" s="479"/>
      <c r="H35" s="479"/>
      <c r="I35" s="479"/>
      <c r="J35" s="479"/>
      <c r="K35" s="479"/>
      <c r="L35" s="479"/>
      <c r="M35" s="479"/>
      <c r="N35" s="479"/>
      <c r="O35" s="479"/>
      <c r="P35" s="479"/>
      <c r="Q35" s="479"/>
      <c r="R35" s="479"/>
      <c r="S35" s="479"/>
      <c r="T35" s="479"/>
      <c r="U35" s="479"/>
      <c r="V35" s="479"/>
      <c r="W35" s="479"/>
      <c r="X35" s="479"/>
      <c r="Y35" s="479"/>
      <c r="Z35" s="479"/>
      <c r="AA35" s="455"/>
      <c r="AB35" s="455"/>
      <c r="AC35" s="455"/>
      <c r="AD35" s="455"/>
      <c r="AE35" s="455"/>
      <c r="AF35" s="458"/>
      <c r="AG35" s="458"/>
      <c r="AH35" s="458"/>
      <c r="AI35" s="458"/>
      <c r="AK35" s="430"/>
      <c r="AL35" s="430"/>
      <c r="AM35" s="430"/>
      <c r="AN35" s="430"/>
      <c r="AO35" s="430"/>
      <c r="AP35" s="430"/>
      <c r="AQ35" s="438"/>
      <c r="AR35" s="438"/>
      <c r="AS35" s="438"/>
      <c r="AT35" s="430"/>
      <c r="AU35" s="430"/>
      <c r="AV35" s="430"/>
      <c r="AW35" s="430"/>
      <c r="AX35" s="430"/>
      <c r="AY35" s="430"/>
      <c r="AZ35" s="430"/>
    </row>
    <row r="36" spans="1:52" ht="14.4">
      <c r="A36" s="430"/>
      <c r="B36" s="514"/>
      <c r="C36" s="479"/>
      <c r="D36" s="479"/>
      <c r="E36" s="479"/>
      <c r="F36" s="479"/>
      <c r="G36" s="479"/>
      <c r="H36" s="479"/>
      <c r="I36" s="479"/>
      <c r="J36" s="479"/>
      <c r="K36" s="479"/>
      <c r="L36" s="479"/>
      <c r="M36" s="479"/>
      <c r="N36" s="479"/>
      <c r="O36" s="479"/>
      <c r="P36" s="479"/>
      <c r="Q36" s="479"/>
      <c r="R36" s="479"/>
      <c r="S36" s="479"/>
      <c r="T36" s="479"/>
      <c r="U36" s="479"/>
      <c r="V36" s="479"/>
      <c r="W36" s="479"/>
      <c r="X36" s="479"/>
      <c r="Y36" s="479"/>
      <c r="Z36" s="479"/>
      <c r="AA36" s="455"/>
      <c r="AB36" s="455"/>
      <c r="AC36" s="455"/>
      <c r="AD36" s="455"/>
      <c r="AE36" s="455"/>
      <c r="AF36" s="458"/>
      <c r="AG36" s="458"/>
      <c r="AH36" s="458"/>
      <c r="AI36" s="458"/>
      <c r="AK36" s="430"/>
      <c r="AL36" s="430"/>
      <c r="AM36" s="430"/>
      <c r="AN36" s="430"/>
      <c r="AO36" s="430"/>
      <c r="AP36" s="430"/>
      <c r="AQ36" s="438"/>
      <c r="AR36" s="438"/>
      <c r="AS36" s="438"/>
      <c r="AT36" s="430"/>
      <c r="AU36" s="430"/>
      <c r="AV36" s="430"/>
      <c r="AW36" s="430"/>
      <c r="AX36" s="430"/>
      <c r="AY36" s="430"/>
      <c r="AZ36" s="430"/>
    </row>
    <row r="37" spans="1:52" s="430" customFormat="1" ht="15.05">
      <c r="B37" s="520"/>
      <c r="C37" s="479"/>
      <c r="D37" s="479"/>
      <c r="E37" s="479"/>
      <c r="F37" s="479"/>
      <c r="G37" s="479"/>
      <c r="H37" s="479"/>
      <c r="I37" s="479"/>
      <c r="J37" s="479"/>
      <c r="K37" s="479"/>
      <c r="L37" s="479"/>
      <c r="M37" s="479"/>
      <c r="N37" s="479"/>
      <c r="O37" s="479"/>
      <c r="P37" s="479"/>
      <c r="Q37" s="479"/>
      <c r="R37" s="479"/>
      <c r="S37" s="479"/>
      <c r="T37" s="479"/>
      <c r="U37" s="479"/>
      <c r="V37" s="479"/>
      <c r="W37" s="479"/>
      <c r="X37" s="479"/>
      <c r="Y37" s="479"/>
      <c r="Z37" s="518"/>
      <c r="AA37" s="506"/>
      <c r="AB37" s="455"/>
      <c r="AC37" s="455"/>
      <c r="AD37" s="455"/>
      <c r="AE37" s="455"/>
      <c r="AF37" s="455"/>
      <c r="AG37" s="455"/>
      <c r="AH37" s="455"/>
      <c r="AI37" s="455"/>
      <c r="AQ37" s="438"/>
      <c r="AR37" s="438"/>
      <c r="AS37" s="438"/>
    </row>
    <row r="38" spans="1:52" ht="15.05">
      <c r="A38" s="423"/>
      <c r="B38" s="521" t="s">
        <v>552</v>
      </c>
      <c r="C38" s="522"/>
      <c r="D38" s="522"/>
      <c r="E38" s="522"/>
      <c r="F38" s="522"/>
      <c r="G38" s="522"/>
      <c r="H38" s="522"/>
      <c r="I38" s="522"/>
      <c r="J38" s="522"/>
      <c r="K38" s="522"/>
      <c r="L38" s="522"/>
      <c r="M38" s="522"/>
      <c r="N38" s="522"/>
      <c r="O38" s="522"/>
      <c r="P38" s="522"/>
      <c r="Q38" s="522"/>
      <c r="R38" s="522"/>
      <c r="S38" s="523"/>
      <c r="T38" s="522"/>
      <c r="U38" s="522"/>
      <c r="V38" s="522"/>
      <c r="W38" s="522"/>
      <c r="X38" s="522"/>
      <c r="Y38" s="522"/>
      <c r="Z38" s="479"/>
      <c r="AA38" s="524"/>
      <c r="AB38" s="455"/>
      <c r="AC38" s="458"/>
      <c r="AD38" s="458"/>
      <c r="AE38" s="458"/>
      <c r="AF38" s="458"/>
      <c r="AG38" s="458"/>
      <c r="AH38" s="458"/>
      <c r="AI38" s="458"/>
      <c r="AK38" s="430"/>
      <c r="AL38" s="430"/>
      <c r="AM38" s="430"/>
      <c r="AN38" s="430"/>
      <c r="AO38" s="430"/>
      <c r="AP38" s="430"/>
      <c r="AQ38" s="438"/>
      <c r="AR38" s="438"/>
      <c r="AS38" s="438"/>
      <c r="AT38" s="430"/>
      <c r="AU38" s="430"/>
      <c r="AV38" s="430"/>
      <c r="AW38" s="430"/>
      <c r="AX38" s="430"/>
      <c r="AY38" s="430"/>
      <c r="AZ38" s="430"/>
    </row>
    <row r="39" spans="1:52" ht="15.65" thickBot="1">
      <c r="A39" s="429"/>
      <c r="B39" s="465"/>
      <c r="C39" s="479"/>
      <c r="D39" s="479"/>
      <c r="E39" s="479"/>
      <c r="F39" s="479"/>
      <c r="G39" s="479"/>
      <c r="H39" s="479"/>
      <c r="I39" s="479"/>
      <c r="J39" s="479"/>
      <c r="K39" s="479"/>
      <c r="L39" s="479"/>
      <c r="M39" s="479"/>
      <c r="N39" s="479"/>
      <c r="O39" s="479"/>
      <c r="P39" s="479"/>
      <c r="Q39" s="479"/>
      <c r="R39" s="479"/>
      <c r="S39" s="511"/>
      <c r="T39" s="479"/>
      <c r="U39" s="479"/>
      <c r="V39" s="479"/>
      <c r="W39" s="479"/>
      <c r="X39" s="479"/>
      <c r="Y39" s="479"/>
      <c r="Z39" s="479"/>
      <c r="AA39" s="525"/>
      <c r="AB39" s="455"/>
      <c r="AC39" s="458"/>
      <c r="AD39" s="458"/>
      <c r="AE39" s="458"/>
      <c r="AF39" s="458"/>
      <c r="AG39" s="458"/>
      <c r="AH39" s="458"/>
      <c r="AI39" s="458"/>
      <c r="AK39" s="430"/>
      <c r="AL39" s="430"/>
      <c r="AM39" s="430"/>
      <c r="AN39" s="430"/>
      <c r="AO39" s="430"/>
      <c r="AP39" s="430"/>
      <c r="AQ39" s="438"/>
      <c r="AR39" s="438"/>
      <c r="AS39" s="438"/>
      <c r="AT39" s="430"/>
      <c r="AU39" s="430"/>
      <c r="AV39" s="430"/>
      <c r="AW39" s="430"/>
      <c r="AX39" s="430"/>
      <c r="AY39" s="430"/>
      <c r="AZ39" s="430"/>
    </row>
    <row r="40" spans="1:52" ht="15.05" thickBot="1">
      <c r="A40" s="429"/>
      <c r="B40" s="434" t="s">
        <v>522</v>
      </c>
      <c r="C40" s="435">
        <v>43830</v>
      </c>
      <c r="D40" s="479"/>
      <c r="E40" s="479"/>
      <c r="F40" s="479"/>
      <c r="G40" s="479"/>
      <c r="H40" s="479"/>
      <c r="I40" s="479"/>
      <c r="J40" s="479"/>
      <c r="K40" s="479"/>
      <c r="L40" s="479"/>
      <c r="M40" s="479"/>
      <c r="N40" s="479"/>
      <c r="O40" s="479"/>
      <c r="P40" s="479"/>
      <c r="Q40" s="479"/>
      <c r="R40" s="479"/>
      <c r="S40" s="511"/>
      <c r="T40" s="479"/>
      <c r="U40" s="479"/>
      <c r="V40" s="479"/>
      <c r="W40" s="479"/>
      <c r="X40" s="479"/>
      <c r="Y40" s="479"/>
      <c r="Z40" s="479"/>
      <c r="AA40" s="525"/>
      <c r="AB40" s="455"/>
      <c r="AC40" s="458"/>
      <c r="AD40" s="458"/>
      <c r="AE40" s="458"/>
      <c r="AF40" s="458"/>
      <c r="AG40" s="458"/>
      <c r="AH40" s="458"/>
      <c r="AI40" s="458"/>
      <c r="AK40" s="430"/>
      <c r="AL40" s="430"/>
      <c r="AM40" s="430"/>
      <c r="AN40" s="430"/>
      <c r="AO40" s="430"/>
      <c r="AP40" s="430"/>
      <c r="AQ40" s="438"/>
      <c r="AR40" s="438"/>
      <c r="AS40" s="438"/>
      <c r="AT40" s="430"/>
      <c r="AU40" s="430"/>
      <c r="AV40" s="430"/>
      <c r="AW40" s="430"/>
      <c r="AX40" s="430"/>
      <c r="AY40" s="430"/>
      <c r="AZ40" s="430"/>
    </row>
    <row r="41" spans="1:52" s="445" customFormat="1" ht="14.4">
      <c r="A41" s="439"/>
      <c r="B41" s="526"/>
      <c r="C41" s="464"/>
      <c r="D41" s="527" t="s">
        <v>553</v>
      </c>
      <c r="E41" s="464"/>
      <c r="F41" s="464"/>
      <c r="G41" s="527" t="s">
        <v>554</v>
      </c>
      <c r="H41" s="464"/>
      <c r="I41" s="527" t="s">
        <v>555</v>
      </c>
      <c r="J41" s="464"/>
      <c r="K41" s="527" t="s">
        <v>556</v>
      </c>
      <c r="L41" s="464"/>
      <c r="M41" s="527" t="s">
        <v>557</v>
      </c>
      <c r="N41" s="464"/>
      <c r="O41" s="527" t="s">
        <v>558</v>
      </c>
      <c r="P41" s="464"/>
      <c r="Q41" s="526" t="s">
        <v>559</v>
      </c>
      <c r="R41" s="526"/>
      <c r="S41" s="528" t="s">
        <v>560</v>
      </c>
      <c r="T41" s="464"/>
      <c r="U41" s="527" t="s">
        <v>561</v>
      </c>
      <c r="V41" s="464"/>
      <c r="W41" s="529" t="s">
        <v>562</v>
      </c>
      <c r="X41" s="464"/>
      <c r="Y41" s="445" t="s">
        <v>563</v>
      </c>
      <c r="Z41" s="464"/>
      <c r="AA41" s="528" t="s">
        <v>564</v>
      </c>
      <c r="AB41" s="464"/>
      <c r="AD41" s="530"/>
      <c r="AE41" s="530"/>
      <c r="AF41" s="530"/>
      <c r="AG41" s="464"/>
      <c r="AH41" s="530"/>
      <c r="AI41" s="530"/>
      <c r="AK41" s="526"/>
      <c r="AL41" s="526"/>
      <c r="AM41" s="526"/>
      <c r="AN41" s="526"/>
      <c r="AO41" s="526"/>
      <c r="AP41" s="526"/>
      <c r="AQ41" s="531"/>
      <c r="AR41" s="442"/>
      <c r="AS41" s="531"/>
      <c r="AT41" s="526"/>
      <c r="AU41" s="526"/>
      <c r="AV41" s="526"/>
      <c r="AW41" s="526"/>
      <c r="AX41" s="526"/>
      <c r="AY41" s="526"/>
      <c r="AZ41" s="526"/>
    </row>
    <row r="42" spans="1:52" ht="14.4">
      <c r="A42" s="429"/>
      <c r="B42" s="532"/>
      <c r="C42" s="455"/>
      <c r="D42" s="455"/>
      <c r="E42" s="455"/>
      <c r="F42" s="455"/>
      <c r="G42" s="455"/>
      <c r="H42" s="455"/>
      <c r="I42" s="455"/>
      <c r="J42" s="455"/>
      <c r="K42" s="449" t="s">
        <v>565</v>
      </c>
      <c r="L42" s="449"/>
      <c r="M42" s="455"/>
      <c r="N42" s="455"/>
      <c r="O42" s="449" t="s">
        <v>566</v>
      </c>
      <c r="P42" s="455"/>
      <c r="Q42" s="533" t="s">
        <v>567</v>
      </c>
      <c r="R42" s="430"/>
      <c r="S42" s="456"/>
      <c r="T42" s="455"/>
      <c r="U42" s="449" t="s">
        <v>524</v>
      </c>
      <c r="V42" s="455"/>
      <c r="W42" s="430"/>
      <c r="X42" s="455"/>
      <c r="Y42" s="430"/>
      <c r="Z42" s="455"/>
      <c r="AA42" s="534" t="s">
        <v>568</v>
      </c>
      <c r="AB42" s="449"/>
      <c r="AD42" s="449"/>
      <c r="AE42" s="449"/>
      <c r="AF42" s="449"/>
      <c r="AG42" s="449"/>
      <c r="AH42" s="455"/>
      <c r="AI42" s="455"/>
      <c r="AK42" s="430"/>
      <c r="AL42" s="430"/>
      <c r="AM42" s="430"/>
      <c r="AN42" s="430"/>
      <c r="AO42" s="430"/>
      <c r="AP42" s="430"/>
      <c r="AQ42" s="430"/>
      <c r="AR42" s="430"/>
      <c r="AS42" s="430"/>
      <c r="AT42" s="430"/>
      <c r="AU42" s="430"/>
      <c r="AV42" s="430"/>
      <c r="AW42" s="430"/>
      <c r="AX42" s="430"/>
      <c r="AY42" s="430"/>
      <c r="AZ42" s="430"/>
    </row>
    <row r="43" spans="1:52" ht="14.4">
      <c r="A43" s="429"/>
      <c r="B43" s="430"/>
      <c r="C43" s="455"/>
      <c r="D43" s="449" t="s">
        <v>569</v>
      </c>
      <c r="E43" s="449"/>
      <c r="F43" s="449"/>
      <c r="G43" s="449" t="s">
        <v>570</v>
      </c>
      <c r="H43" s="449"/>
      <c r="I43" s="449" t="s">
        <v>8</v>
      </c>
      <c r="J43" s="449"/>
      <c r="K43" s="449" t="s">
        <v>571</v>
      </c>
      <c r="L43" s="449"/>
      <c r="M43" s="449" t="s">
        <v>572</v>
      </c>
      <c r="N43" s="449"/>
      <c r="O43" s="449" t="s">
        <v>573</v>
      </c>
      <c r="P43" s="449"/>
      <c r="Q43" s="533" t="s">
        <v>453</v>
      </c>
      <c r="R43" s="430"/>
      <c r="S43" s="535" t="s">
        <v>524</v>
      </c>
      <c r="T43" s="449"/>
      <c r="U43" s="449" t="s">
        <v>574</v>
      </c>
      <c r="V43" s="449"/>
      <c r="W43" s="449" t="s">
        <v>575</v>
      </c>
      <c r="X43" s="449"/>
      <c r="Y43" s="449" t="s">
        <v>576</v>
      </c>
      <c r="Z43" s="449"/>
      <c r="AA43" s="534" t="s">
        <v>577</v>
      </c>
      <c r="AB43" s="449"/>
      <c r="AD43" s="449"/>
      <c r="AF43" s="449"/>
      <c r="AG43" s="536"/>
      <c r="AH43" s="449"/>
      <c r="AK43" s="430"/>
      <c r="AL43" s="430"/>
      <c r="AM43" s="430"/>
      <c r="AN43" s="430"/>
      <c r="AO43" s="430"/>
      <c r="AP43" s="430"/>
      <c r="AQ43" s="430"/>
      <c r="AR43" s="430"/>
      <c r="AS43" s="430"/>
      <c r="AT43" s="430"/>
      <c r="AU43" s="430"/>
      <c r="AV43" s="430"/>
      <c r="AW43" s="430"/>
      <c r="AX43" s="430"/>
      <c r="AY43" s="430"/>
      <c r="AZ43" s="430"/>
    </row>
    <row r="44" spans="1:52" ht="14.4">
      <c r="A44" s="429"/>
      <c r="B44" s="537" t="s">
        <v>578</v>
      </c>
      <c r="C44" s="455" t="s">
        <v>579</v>
      </c>
      <c r="D44" s="449" t="s">
        <v>580</v>
      </c>
      <c r="E44" s="538"/>
      <c r="F44" s="538"/>
      <c r="G44" s="449" t="s">
        <v>580</v>
      </c>
      <c r="H44" s="538"/>
      <c r="I44" s="449" t="s">
        <v>581</v>
      </c>
      <c r="J44" s="538"/>
      <c r="K44" s="449" t="s">
        <v>582</v>
      </c>
      <c r="L44" s="538"/>
      <c r="M44" s="449" t="s">
        <v>583</v>
      </c>
      <c r="N44" s="449"/>
      <c r="O44" s="449" t="s">
        <v>584</v>
      </c>
      <c r="P44" s="449"/>
      <c r="Q44" s="533"/>
      <c r="R44" s="430"/>
      <c r="S44" s="535" t="s">
        <v>574</v>
      </c>
      <c r="T44" s="449"/>
      <c r="U44" s="449" t="s">
        <v>585</v>
      </c>
      <c r="V44" s="538"/>
      <c r="W44" s="449" t="s">
        <v>586</v>
      </c>
      <c r="X44" s="538"/>
      <c r="Y44" s="449" t="s">
        <v>587</v>
      </c>
      <c r="Z44" s="538"/>
      <c r="AA44" s="534" t="s">
        <v>588</v>
      </c>
      <c r="AB44" s="449"/>
      <c r="AD44" s="449"/>
      <c r="AF44" s="449"/>
      <c r="AG44" s="536"/>
      <c r="AH44" s="449"/>
      <c r="AK44" s="430"/>
      <c r="AL44" s="430"/>
      <c r="AM44" s="430"/>
      <c r="AN44" s="430"/>
      <c r="AO44" s="430"/>
      <c r="AP44" s="430"/>
      <c r="AQ44" s="430"/>
      <c r="AR44" s="430"/>
      <c r="AS44" s="430"/>
      <c r="AT44" s="430"/>
      <c r="AU44" s="430"/>
      <c r="AV44" s="430"/>
      <c r="AW44" s="430"/>
      <c r="AX44" s="430"/>
      <c r="AY44" s="430"/>
      <c r="AZ44" s="430"/>
    </row>
    <row r="45" spans="1:52" ht="43.2">
      <c r="A45" s="429"/>
      <c r="B45" s="430"/>
      <c r="C45" s="455"/>
      <c r="D45" s="449"/>
      <c r="E45" s="538"/>
      <c r="F45" s="538"/>
      <c r="G45" s="449"/>
      <c r="H45" s="538"/>
      <c r="I45" s="449"/>
      <c r="J45" s="538"/>
      <c r="K45" s="449"/>
      <c r="L45" s="538"/>
      <c r="M45" s="449"/>
      <c r="N45" s="449"/>
      <c r="O45" s="449"/>
      <c r="P45" s="449"/>
      <c r="Q45" s="502"/>
      <c r="R45" s="430"/>
      <c r="S45" s="834" t="s">
        <v>911</v>
      </c>
      <c r="T45" s="449"/>
      <c r="U45" s="835" t="s">
        <v>912</v>
      </c>
      <c r="V45" s="538"/>
      <c r="W45" s="449"/>
      <c r="X45" s="538"/>
      <c r="Y45" s="449" t="s">
        <v>913</v>
      </c>
      <c r="Z45" s="538"/>
      <c r="AA45" s="534"/>
      <c r="AB45" s="449"/>
      <c r="AD45" s="449"/>
      <c r="AF45" s="449"/>
      <c r="AG45" s="536"/>
      <c r="AH45" s="449"/>
      <c r="AK45" s="430"/>
      <c r="AL45" s="430"/>
      <c r="AM45" s="430"/>
      <c r="AN45" s="430"/>
      <c r="AO45" s="430"/>
      <c r="AP45" s="430"/>
      <c r="AQ45" s="430"/>
      <c r="AR45" s="430"/>
      <c r="AS45" s="430"/>
      <c r="AT45" s="430"/>
      <c r="AU45" s="430"/>
      <c r="AV45" s="430"/>
      <c r="AW45" s="430"/>
      <c r="AX45" s="430"/>
      <c r="AY45" s="430"/>
      <c r="AZ45" s="430"/>
    </row>
    <row r="46" spans="1:52" ht="14.4">
      <c r="A46" s="429"/>
      <c r="B46" s="539"/>
      <c r="C46" s="455"/>
      <c r="D46" s="449"/>
      <c r="E46" s="538"/>
      <c r="F46" s="538"/>
      <c r="G46" s="449"/>
      <c r="H46" s="538"/>
      <c r="I46" s="449"/>
      <c r="J46" s="538"/>
      <c r="K46" s="449"/>
      <c r="L46" s="538"/>
      <c r="M46" s="449"/>
      <c r="N46" s="449"/>
      <c r="O46" s="449"/>
      <c r="P46" s="449"/>
      <c r="Q46" s="502"/>
      <c r="R46" s="430"/>
      <c r="S46" s="540"/>
      <c r="T46" s="449"/>
      <c r="U46" s="449"/>
      <c r="V46" s="538"/>
      <c r="W46" s="449"/>
      <c r="X46" s="538"/>
      <c r="Y46" s="449"/>
      <c r="Z46" s="538"/>
      <c r="AA46" s="535"/>
      <c r="AB46" s="449"/>
      <c r="AD46" s="449"/>
      <c r="AF46" s="449"/>
      <c r="AG46" s="449"/>
      <c r="AH46" s="449"/>
      <c r="AK46" s="430"/>
      <c r="AL46" s="430"/>
      <c r="AM46" s="430"/>
      <c r="AN46" s="430"/>
      <c r="AO46" s="430"/>
      <c r="AP46" s="430"/>
      <c r="AQ46" s="430"/>
      <c r="AR46" s="430"/>
      <c r="AS46" s="430"/>
      <c r="AT46" s="430"/>
      <c r="AU46" s="430"/>
      <c r="AV46" s="430"/>
      <c r="AW46" s="430"/>
      <c r="AX46" s="430"/>
      <c r="AY46" s="430"/>
      <c r="AZ46" s="430"/>
    </row>
    <row r="47" spans="1:52" ht="14.4">
      <c r="A47" s="541" t="s">
        <v>22</v>
      </c>
      <c r="B47" s="1007" t="s">
        <v>1365</v>
      </c>
      <c r="C47" s="1008"/>
      <c r="D47" s="1009">
        <v>43230</v>
      </c>
      <c r="E47" s="1008"/>
      <c r="F47" s="1008"/>
      <c r="G47" s="1009">
        <v>46888</v>
      </c>
      <c r="H47" s="1008"/>
      <c r="I47" s="1298">
        <v>450000000</v>
      </c>
      <c r="J47" s="1008"/>
      <c r="K47" s="1298">
        <v>-112500</v>
      </c>
      <c r="L47" s="455"/>
      <c r="M47" s="1299">
        <v>3980801</v>
      </c>
      <c r="N47" s="542"/>
      <c r="O47" s="494">
        <v>0</v>
      </c>
      <c r="P47" s="542"/>
      <c r="Q47" s="533" t="s">
        <v>589</v>
      </c>
      <c r="R47" s="430"/>
      <c r="S47" s="543">
        <f>+I47+K47-M47-O47</f>
        <v>445906699</v>
      </c>
      <c r="T47" s="542"/>
      <c r="U47" s="544">
        <f>(S47/I47)*100</f>
        <v>99.090377555555548</v>
      </c>
      <c r="V47" s="455"/>
      <c r="W47" s="1297">
        <v>4.1000000000000002E-2</v>
      </c>
      <c r="X47" s="455"/>
      <c r="Y47" s="457">
        <f>W47*I47</f>
        <v>18450000</v>
      </c>
      <c r="Z47" s="455"/>
      <c r="AA47" s="546">
        <f>YIELD(D47,G47,W47,U47,100,2,0)</f>
        <v>4.2122043970539917E-2</v>
      </c>
      <c r="AB47" s="547"/>
      <c r="AD47" s="548"/>
      <c r="AF47" s="549"/>
      <c r="AG47" s="550"/>
      <c r="AH47" s="550"/>
      <c r="AK47" s="430"/>
      <c r="AL47" s="430"/>
      <c r="AM47" s="430"/>
      <c r="AN47" s="430"/>
      <c r="AO47" s="430"/>
      <c r="AP47" s="430"/>
      <c r="AQ47" s="430"/>
      <c r="AR47" s="430"/>
      <c r="AS47" s="430"/>
      <c r="AT47" s="430"/>
      <c r="AU47" s="430"/>
      <c r="AV47" s="430"/>
      <c r="AW47" s="430"/>
      <c r="AX47" s="430"/>
      <c r="AY47" s="430"/>
      <c r="AZ47" s="430"/>
    </row>
    <row r="48" spans="1:52" ht="14.4">
      <c r="A48" s="541"/>
      <c r="B48" s="471"/>
      <c r="C48" s="455"/>
      <c r="D48" s="473"/>
      <c r="E48" s="538"/>
      <c r="F48" s="538"/>
      <c r="G48" s="473"/>
      <c r="H48" s="538"/>
      <c r="I48" s="597"/>
      <c r="J48" s="538"/>
      <c r="K48" s="598"/>
      <c r="L48" s="538"/>
      <c r="M48" s="1275"/>
      <c r="N48" s="449"/>
      <c r="O48" s="449"/>
      <c r="P48" s="449"/>
      <c r="Q48" s="533"/>
      <c r="R48" s="430"/>
      <c r="S48" s="543"/>
      <c r="T48" s="449"/>
      <c r="U48" s="544"/>
      <c r="V48" s="538"/>
      <c r="W48" s="602"/>
      <c r="X48" s="538"/>
      <c r="Y48" s="457"/>
      <c r="Z48" s="538"/>
      <c r="AA48" s="546"/>
      <c r="AB48" s="449"/>
      <c r="AD48" s="449"/>
      <c r="AF48" s="449"/>
      <c r="AG48" s="449"/>
      <c r="AH48" s="449"/>
      <c r="AK48" s="430"/>
      <c r="AL48" s="430"/>
      <c r="AM48" s="430"/>
      <c r="AN48" s="430"/>
      <c r="AO48" s="430"/>
      <c r="AP48" s="430"/>
      <c r="AQ48" s="430"/>
      <c r="AR48" s="430"/>
      <c r="AS48" s="430"/>
      <c r="AT48" s="430"/>
      <c r="AU48" s="430"/>
      <c r="AV48" s="430"/>
      <c r="AW48" s="430"/>
      <c r="AX48" s="430"/>
      <c r="AY48" s="430"/>
      <c r="AZ48" s="430"/>
    </row>
    <row r="49" spans="1:36">
      <c r="A49" s="429"/>
      <c r="B49" s="430"/>
      <c r="C49" s="430"/>
      <c r="D49" s="430"/>
      <c r="E49" s="430"/>
      <c r="F49" s="430"/>
      <c r="G49" s="430"/>
      <c r="H49" s="430"/>
      <c r="I49" s="430"/>
      <c r="J49" s="430"/>
      <c r="K49" s="430"/>
      <c r="L49" s="430"/>
      <c r="M49" s="430"/>
      <c r="N49" s="430"/>
      <c r="O49" s="430"/>
      <c r="P49" s="430"/>
      <c r="Q49" s="502"/>
      <c r="R49" s="430"/>
      <c r="S49" s="525"/>
      <c r="T49" s="430"/>
      <c r="U49" s="430"/>
      <c r="V49" s="430"/>
      <c r="W49" s="430"/>
      <c r="X49" s="430"/>
      <c r="Y49" s="430"/>
      <c r="Z49" s="430"/>
      <c r="AA49" s="525"/>
      <c r="AB49" s="430"/>
    </row>
    <row r="50" spans="1:36" ht="14.4">
      <c r="A50" s="551"/>
      <c r="B50" s="492"/>
      <c r="C50" s="455"/>
      <c r="D50" s="493"/>
      <c r="E50" s="455"/>
      <c r="F50" s="455"/>
      <c r="G50" s="493"/>
      <c r="H50" s="455"/>
      <c r="I50" s="552"/>
      <c r="J50" s="455"/>
      <c r="K50" s="552"/>
      <c r="L50" s="455"/>
      <c r="M50" s="552"/>
      <c r="N50" s="552"/>
      <c r="O50" s="552"/>
      <c r="P50" s="552"/>
      <c r="Q50" s="502"/>
      <c r="R50" s="430"/>
      <c r="S50" s="456"/>
      <c r="T50" s="552"/>
      <c r="U50" s="544"/>
      <c r="V50" s="455"/>
      <c r="W50" s="545"/>
      <c r="X50" s="455"/>
      <c r="Y50" s="552">
        <f>W50*I50</f>
        <v>0</v>
      </c>
      <c r="Z50" s="455"/>
      <c r="AA50" s="553"/>
      <c r="AB50" s="455"/>
      <c r="AD50" s="458"/>
      <c r="AF50" s="458"/>
      <c r="AG50" s="550"/>
      <c r="AH50" s="458"/>
    </row>
    <row r="51" spans="1:36" ht="14.4">
      <c r="A51" s="541"/>
      <c r="B51" s="471"/>
      <c r="C51" s="455"/>
      <c r="D51" s="493"/>
      <c r="E51" s="455"/>
      <c r="F51" s="455"/>
      <c r="G51" s="493"/>
      <c r="H51" s="455"/>
      <c r="I51" s="552"/>
      <c r="J51" s="455"/>
      <c r="K51" s="552"/>
      <c r="L51" s="455"/>
      <c r="M51" s="552"/>
      <c r="N51" s="552"/>
      <c r="O51" s="552"/>
      <c r="P51" s="552"/>
      <c r="Q51" s="533"/>
      <c r="R51" s="430"/>
      <c r="S51" s="543"/>
      <c r="T51" s="552"/>
      <c r="U51" s="544"/>
      <c r="V51" s="455"/>
      <c r="W51" s="545"/>
      <c r="X51" s="455"/>
      <c r="Y51" s="552"/>
      <c r="Z51" s="455"/>
      <c r="AA51" s="554"/>
      <c r="AB51" s="455"/>
      <c r="AD51" s="458"/>
      <c r="AF51" s="458"/>
      <c r="AG51" s="550"/>
      <c r="AH51" s="458"/>
    </row>
    <row r="52" spans="1:36" ht="14.4">
      <c r="A52" s="429"/>
      <c r="B52" s="509"/>
      <c r="C52" s="430"/>
      <c r="D52" s="555"/>
      <c r="E52" s="455"/>
      <c r="F52" s="455"/>
      <c r="G52" s="556"/>
      <c r="H52" s="455"/>
      <c r="I52" s="557"/>
      <c r="J52" s="455"/>
      <c r="K52" s="557"/>
      <c r="L52" s="455"/>
      <c r="M52" s="557"/>
      <c r="N52" s="552"/>
      <c r="O52" s="557"/>
      <c r="P52" s="552"/>
      <c r="Q52" s="558"/>
      <c r="R52" s="430"/>
      <c r="S52" s="559"/>
      <c r="T52" s="552"/>
      <c r="U52" s="430"/>
      <c r="V52" s="455"/>
      <c r="W52" s="430"/>
      <c r="X52" s="455"/>
      <c r="Y52" s="560"/>
      <c r="Z52" s="455"/>
      <c r="AA52" s="553"/>
      <c r="AB52" s="455"/>
      <c r="AD52" s="458"/>
      <c r="AE52" s="549"/>
      <c r="AF52" s="458"/>
      <c r="AG52" s="550"/>
      <c r="AH52" s="458"/>
      <c r="AJ52" s="428"/>
    </row>
    <row r="53" spans="1:36" ht="14.4">
      <c r="A53" s="429"/>
      <c r="B53" s="561" t="s">
        <v>590</v>
      </c>
      <c r="C53" s="455"/>
      <c r="D53" s="555"/>
      <c r="E53" s="455"/>
      <c r="F53" s="455"/>
      <c r="G53" s="556"/>
      <c r="H53" s="455"/>
      <c r="I53" s="562">
        <f>SUM(I47:I52)</f>
        <v>450000000</v>
      </c>
      <c r="J53" s="455"/>
      <c r="K53" s="552">
        <f>SUM(K47:K52)</f>
        <v>-112500</v>
      </c>
      <c r="L53" s="455"/>
      <c r="M53" s="562">
        <f>SUM(M47:M52)</f>
        <v>3980801</v>
      </c>
      <c r="N53" s="562"/>
      <c r="O53" s="552">
        <f>SUM(O47:O52)</f>
        <v>0</v>
      </c>
      <c r="P53" s="562"/>
      <c r="Q53" s="533" t="s">
        <v>589</v>
      </c>
      <c r="R53" s="430"/>
      <c r="S53" s="563">
        <f>SUM(S47:S52)</f>
        <v>445906699</v>
      </c>
      <c r="T53" s="562"/>
      <c r="U53" s="455"/>
      <c r="V53" s="455"/>
      <c r="W53" s="430"/>
      <c r="X53" s="455"/>
      <c r="Y53" s="562">
        <f>SUM(Y47:Y52)</f>
        <v>18450000</v>
      </c>
      <c r="Z53" s="455"/>
      <c r="AA53" s="546"/>
      <c r="AB53" s="455"/>
      <c r="AD53" s="458"/>
      <c r="AE53" s="549"/>
      <c r="AF53" s="458"/>
      <c r="AG53" s="550"/>
      <c r="AH53" s="458"/>
      <c r="AJ53" s="428"/>
    </row>
    <row r="54" spans="1:36" ht="14.4">
      <c r="A54" s="429"/>
      <c r="B54" s="438" t="s">
        <v>591</v>
      </c>
      <c r="C54" s="455"/>
      <c r="D54" s="555"/>
      <c r="E54" s="455"/>
      <c r="F54" s="455"/>
      <c r="G54" s="556"/>
      <c r="H54" s="455"/>
      <c r="I54" s="552"/>
      <c r="J54" s="455"/>
      <c r="K54" s="552"/>
      <c r="L54" s="455"/>
      <c r="M54" s="552"/>
      <c r="N54" s="552"/>
      <c r="O54" s="552"/>
      <c r="P54" s="552"/>
      <c r="Q54" s="552"/>
      <c r="R54" s="552"/>
      <c r="S54" s="456"/>
      <c r="T54" s="455"/>
      <c r="U54" s="455"/>
      <c r="V54" s="455"/>
      <c r="W54" s="552"/>
      <c r="X54" s="455"/>
      <c r="Y54" s="552"/>
      <c r="Z54" s="455"/>
      <c r="AA54" s="564"/>
      <c r="AB54" s="455"/>
      <c r="AC54" s="458"/>
      <c r="AD54" s="458"/>
      <c r="AE54" s="549"/>
      <c r="AF54" s="458"/>
      <c r="AG54" s="550"/>
      <c r="AH54" s="458"/>
      <c r="AI54" s="565"/>
      <c r="AJ54" s="428"/>
    </row>
    <row r="55" spans="1:36" ht="15.05">
      <c r="A55" s="516"/>
      <c r="B55" s="517" t="s">
        <v>592</v>
      </c>
      <c r="C55" s="506"/>
      <c r="D55" s="506"/>
      <c r="E55" s="506"/>
      <c r="F55" s="506"/>
      <c r="G55" s="506"/>
      <c r="H55" s="506"/>
      <c r="I55" s="506"/>
      <c r="J55" s="506"/>
      <c r="K55" s="506"/>
      <c r="L55" s="506"/>
      <c r="M55" s="566"/>
      <c r="N55" s="566"/>
      <c r="O55" s="566"/>
      <c r="P55" s="566"/>
      <c r="Q55" s="566"/>
      <c r="R55" s="566"/>
      <c r="S55" s="559"/>
      <c r="T55" s="506"/>
      <c r="U55" s="506"/>
      <c r="V55" s="506"/>
      <c r="W55" s="506"/>
      <c r="X55" s="506"/>
      <c r="Y55" s="506"/>
      <c r="Z55" s="506"/>
      <c r="AA55" s="567"/>
      <c r="AB55" s="455"/>
      <c r="AC55" s="458"/>
      <c r="AD55" s="458"/>
      <c r="AE55" s="458"/>
      <c r="AF55" s="458"/>
      <c r="AG55" s="458"/>
      <c r="AH55" s="458"/>
      <c r="AI55" s="458"/>
      <c r="AJ55" s="428"/>
    </row>
    <row r="56" spans="1:36" ht="14.4">
      <c r="A56" s="516"/>
      <c r="B56" s="517"/>
      <c r="C56" s="506"/>
      <c r="D56" s="506"/>
      <c r="E56" s="506"/>
      <c r="F56" s="506"/>
      <c r="G56" s="506"/>
      <c r="H56" s="506"/>
      <c r="I56" s="506"/>
      <c r="J56" s="506"/>
      <c r="K56" s="506"/>
      <c r="L56" s="506"/>
      <c r="M56" s="566"/>
      <c r="N56" s="566"/>
      <c r="O56" s="566"/>
      <c r="P56" s="566"/>
      <c r="Q56" s="566"/>
      <c r="R56" s="566"/>
      <c r="S56" s="559"/>
      <c r="T56" s="455"/>
      <c r="U56" s="455"/>
      <c r="V56" s="455"/>
      <c r="W56" s="455"/>
      <c r="X56" s="455"/>
      <c r="Y56" s="455"/>
      <c r="Z56" s="455"/>
      <c r="AA56" s="547"/>
      <c r="AB56" s="455"/>
      <c r="AC56" s="458"/>
      <c r="AD56" s="458"/>
      <c r="AE56" s="458"/>
      <c r="AF56" s="458"/>
      <c r="AG56" s="458"/>
      <c r="AH56" s="458"/>
      <c r="AI56" s="458"/>
      <c r="AJ56" s="428"/>
    </row>
    <row r="57" spans="1:36" ht="14.4">
      <c r="B57" s="550"/>
      <c r="C57" s="458"/>
      <c r="D57" s="458"/>
      <c r="E57" s="458"/>
      <c r="F57" s="458"/>
      <c r="G57" s="458"/>
      <c r="H57" s="458"/>
      <c r="I57" s="458"/>
      <c r="J57" s="458"/>
      <c r="K57" s="458"/>
      <c r="L57" s="458"/>
      <c r="M57" s="568"/>
      <c r="N57" s="568"/>
      <c r="O57" s="568"/>
      <c r="P57" s="568"/>
      <c r="Q57" s="568"/>
      <c r="R57" s="568"/>
      <c r="S57" s="458"/>
      <c r="T57" s="458"/>
      <c r="U57" s="458"/>
      <c r="V57" s="458"/>
      <c r="W57" s="458"/>
      <c r="X57" s="458"/>
      <c r="Y57" s="569"/>
      <c r="Z57" s="458"/>
      <c r="AA57" s="458"/>
      <c r="AB57" s="458"/>
      <c r="AC57" s="458"/>
      <c r="AD57" s="458"/>
      <c r="AE57" s="458"/>
      <c r="AF57" s="458"/>
      <c r="AG57" s="458"/>
      <c r="AH57" s="458"/>
      <c r="AI57" s="458"/>
      <c r="AJ57" s="428"/>
    </row>
    <row r="58" spans="1:36" ht="15.65">
      <c r="B58" s="570"/>
      <c r="C58" s="497"/>
      <c r="D58" s="455"/>
      <c r="E58" s="455"/>
      <c r="F58" s="455"/>
      <c r="G58" s="455"/>
      <c r="H58" s="455"/>
      <c r="I58" s="455"/>
      <c r="J58" s="455"/>
      <c r="K58" s="455"/>
      <c r="L58" s="455"/>
      <c r="M58" s="571"/>
      <c r="N58" s="571"/>
      <c r="O58" s="571"/>
      <c r="P58" s="571"/>
      <c r="Q58" s="571"/>
      <c r="R58" s="571"/>
      <c r="S58" s="455"/>
      <c r="T58" s="455"/>
      <c r="U58" s="455"/>
      <c r="V58" s="455"/>
      <c r="W58" s="455"/>
      <c r="X58" s="455"/>
      <c r="Y58" s="552"/>
      <c r="Z58" s="458"/>
      <c r="AA58" s="458"/>
      <c r="AB58" s="458"/>
      <c r="AC58" s="458"/>
      <c r="AD58" s="458"/>
      <c r="AE58" s="458"/>
      <c r="AF58" s="458"/>
      <c r="AG58" s="458"/>
      <c r="AH58" s="458"/>
      <c r="AI58" s="458"/>
      <c r="AJ58" s="428"/>
    </row>
    <row r="59" spans="1:36" ht="14.4">
      <c r="C59" s="455"/>
      <c r="D59" s="455"/>
      <c r="E59" s="455"/>
      <c r="F59" s="455"/>
      <c r="G59" s="455"/>
      <c r="H59" s="455"/>
      <c r="I59" s="455"/>
      <c r="J59" s="455"/>
      <c r="K59" s="455"/>
      <c r="L59" s="455"/>
      <c r="M59" s="455"/>
      <c r="N59" s="455"/>
      <c r="O59" s="455"/>
      <c r="P59" s="455"/>
      <c r="Q59" s="455"/>
      <c r="R59" s="455"/>
      <c r="S59" s="455"/>
      <c r="T59" s="455"/>
      <c r="U59" s="455"/>
      <c r="V59" s="455"/>
      <c r="W59" s="455"/>
      <c r="X59" s="455"/>
      <c r="Y59" s="552"/>
      <c r="Z59" s="458"/>
      <c r="AA59" s="569"/>
      <c r="AB59" s="458"/>
      <c r="AC59" s="458"/>
      <c r="AD59" s="458"/>
      <c r="AE59" s="458"/>
      <c r="AF59" s="458"/>
      <c r="AG59" s="458"/>
      <c r="AH59" s="458"/>
      <c r="AI59" s="458"/>
      <c r="AJ59" s="428"/>
    </row>
    <row r="60" spans="1:36" ht="14.4">
      <c r="C60" s="455"/>
      <c r="D60" s="552"/>
      <c r="E60" s="455"/>
      <c r="F60" s="455"/>
      <c r="G60" s="552"/>
      <c r="H60" s="455"/>
      <c r="I60" s="455"/>
      <c r="J60" s="455"/>
      <c r="K60" s="455"/>
      <c r="L60" s="455"/>
      <c r="M60" s="552"/>
      <c r="N60" s="552"/>
      <c r="O60" s="552"/>
      <c r="P60" s="552"/>
      <c r="Q60" s="552"/>
      <c r="R60" s="552"/>
      <c r="S60" s="455"/>
      <c r="T60" s="455"/>
      <c r="U60" s="455"/>
      <c r="V60" s="455"/>
      <c r="W60" s="572"/>
      <c r="X60" s="455"/>
      <c r="Y60" s="552"/>
      <c r="Z60" s="458"/>
      <c r="AA60" s="458"/>
      <c r="AB60" s="458"/>
      <c r="AC60" s="458"/>
      <c r="AD60" s="458"/>
      <c r="AE60" s="458"/>
      <c r="AF60" s="458"/>
      <c r="AG60" s="458"/>
      <c r="AH60" s="458"/>
      <c r="AI60" s="458"/>
      <c r="AJ60" s="428"/>
    </row>
    <row r="61" spans="1:36" ht="14.4">
      <c r="C61" s="455"/>
      <c r="D61" s="455"/>
      <c r="E61" s="455"/>
      <c r="F61" s="455"/>
      <c r="G61" s="455"/>
      <c r="H61" s="455"/>
      <c r="I61" s="455"/>
      <c r="J61" s="455"/>
      <c r="K61" s="455"/>
      <c r="L61" s="455"/>
      <c r="M61" s="455"/>
      <c r="N61" s="455"/>
      <c r="O61" s="455"/>
      <c r="P61" s="455"/>
      <c r="Q61" s="455"/>
      <c r="R61" s="455"/>
      <c r="S61" s="455"/>
      <c r="T61" s="455"/>
      <c r="U61" s="455"/>
      <c r="V61" s="455"/>
      <c r="W61" s="572"/>
      <c r="X61" s="455"/>
      <c r="Y61" s="455"/>
      <c r="Z61" s="458"/>
      <c r="AA61" s="458"/>
      <c r="AB61" s="458"/>
      <c r="AC61" s="458"/>
      <c r="AD61" s="458"/>
      <c r="AE61" s="458"/>
      <c r="AF61" s="458"/>
      <c r="AG61" s="458"/>
      <c r="AH61" s="458"/>
      <c r="AI61" s="458"/>
      <c r="AJ61" s="428"/>
    </row>
    <row r="62" spans="1:36" ht="14.4">
      <c r="C62" s="455"/>
      <c r="D62" s="573"/>
      <c r="E62" s="455"/>
      <c r="F62" s="455"/>
      <c r="G62" s="573"/>
      <c r="H62" s="455"/>
      <c r="I62" s="455"/>
      <c r="J62" s="455"/>
      <c r="K62" s="455"/>
      <c r="L62" s="455"/>
      <c r="M62" s="573"/>
      <c r="N62" s="573"/>
      <c r="O62" s="573"/>
      <c r="P62" s="573"/>
      <c r="Q62" s="573"/>
      <c r="R62" s="573"/>
      <c r="S62" s="455"/>
      <c r="T62" s="455"/>
      <c r="U62" s="455"/>
      <c r="V62" s="455"/>
      <c r="W62" s="572"/>
      <c r="X62" s="455"/>
      <c r="Y62" s="573"/>
      <c r="Z62" s="458"/>
      <c r="AA62" s="458"/>
      <c r="AB62" s="458"/>
      <c r="AC62" s="458"/>
      <c r="AD62" s="458"/>
      <c r="AE62" s="458"/>
      <c r="AF62" s="458"/>
      <c r="AG62" s="458"/>
      <c r="AH62" s="458"/>
      <c r="AI62" s="458"/>
      <c r="AJ62" s="428"/>
    </row>
    <row r="63" spans="1:36" ht="14.4">
      <c r="B63" s="509"/>
      <c r="C63" s="455"/>
      <c r="D63" s="455"/>
      <c r="E63" s="455"/>
      <c r="F63" s="455"/>
      <c r="G63" s="455"/>
      <c r="H63" s="455"/>
      <c r="I63" s="455"/>
      <c r="J63" s="455"/>
      <c r="K63" s="455"/>
      <c r="L63" s="455"/>
      <c r="M63" s="455"/>
      <c r="N63" s="455"/>
      <c r="O63" s="455"/>
      <c r="P63" s="455"/>
      <c r="Q63" s="455"/>
      <c r="R63" s="455"/>
      <c r="S63" s="455"/>
      <c r="T63" s="455"/>
      <c r="U63" s="455"/>
      <c r="V63" s="455"/>
      <c r="W63" s="455"/>
      <c r="X63" s="455"/>
      <c r="Y63" s="455"/>
      <c r="Z63" s="458"/>
      <c r="AA63" s="458"/>
      <c r="AB63" s="458"/>
      <c r="AC63" s="458"/>
      <c r="AD63" s="458"/>
      <c r="AE63" s="458"/>
      <c r="AF63" s="458"/>
      <c r="AG63" s="458"/>
      <c r="AH63" s="458"/>
      <c r="AI63" s="458"/>
      <c r="AJ63" s="428"/>
    </row>
    <row r="64" spans="1:36" ht="14.4">
      <c r="B64" s="509"/>
      <c r="C64" s="455"/>
      <c r="D64" s="455"/>
      <c r="E64" s="455"/>
      <c r="F64" s="455"/>
      <c r="G64" s="455"/>
      <c r="H64" s="455"/>
      <c r="I64" s="455"/>
      <c r="J64" s="455"/>
      <c r="K64" s="455"/>
      <c r="L64" s="455"/>
      <c r="M64" s="455"/>
      <c r="N64" s="455"/>
      <c r="O64" s="455"/>
      <c r="P64" s="455"/>
      <c r="Q64" s="455"/>
      <c r="R64" s="455"/>
      <c r="S64" s="455"/>
      <c r="T64" s="455"/>
      <c r="U64" s="455"/>
      <c r="V64" s="455"/>
      <c r="W64" s="455"/>
      <c r="X64" s="455"/>
      <c r="Y64" s="455"/>
      <c r="Z64" s="458"/>
      <c r="AA64" s="458"/>
      <c r="AB64" s="458"/>
      <c r="AC64" s="458"/>
      <c r="AD64" s="458"/>
      <c r="AE64" s="458"/>
      <c r="AF64" s="458"/>
      <c r="AG64" s="458"/>
      <c r="AH64" s="458"/>
      <c r="AI64" s="458"/>
      <c r="AJ64" s="428"/>
    </row>
    <row r="65" spans="2:36" ht="14.4">
      <c r="B65" s="455"/>
      <c r="C65" s="455"/>
      <c r="D65" s="455"/>
      <c r="E65" s="455"/>
      <c r="F65" s="455"/>
      <c r="G65" s="455"/>
      <c r="H65" s="455"/>
      <c r="I65" s="455"/>
      <c r="J65" s="455"/>
      <c r="K65" s="455"/>
      <c r="L65" s="455"/>
      <c r="M65" s="455"/>
      <c r="N65" s="455"/>
      <c r="O65" s="455"/>
      <c r="P65" s="455"/>
      <c r="Q65" s="455"/>
      <c r="R65" s="455"/>
      <c r="S65" s="455"/>
      <c r="T65" s="455"/>
      <c r="U65" s="455"/>
      <c r="V65" s="455"/>
      <c r="W65" s="455"/>
      <c r="X65" s="455"/>
      <c r="Y65" s="455"/>
      <c r="Z65" s="458"/>
      <c r="AA65" s="458"/>
      <c r="AB65" s="458"/>
      <c r="AC65" s="458"/>
      <c r="AD65" s="458"/>
      <c r="AE65" s="458"/>
      <c r="AF65" s="458"/>
      <c r="AG65" s="458"/>
      <c r="AH65" s="458"/>
      <c r="AI65" s="458"/>
      <c r="AJ65" s="428"/>
    </row>
    <row r="66" spans="2:36" ht="14.4">
      <c r="B66" s="574"/>
      <c r="C66" s="455"/>
      <c r="D66" s="542"/>
      <c r="E66" s="455"/>
      <c r="F66" s="455"/>
      <c r="G66" s="455"/>
      <c r="H66" s="455"/>
      <c r="I66" s="455"/>
      <c r="J66" s="455"/>
      <c r="K66" s="455"/>
      <c r="L66" s="455"/>
      <c r="M66" s="455"/>
      <c r="N66" s="455"/>
      <c r="O66" s="455"/>
      <c r="P66" s="455"/>
      <c r="Q66" s="455"/>
      <c r="R66" s="455"/>
      <c r="S66" s="455"/>
      <c r="T66" s="455"/>
      <c r="U66" s="455"/>
      <c r="V66" s="455"/>
      <c r="W66" s="455"/>
      <c r="X66" s="455"/>
      <c r="Y66" s="455"/>
      <c r="Z66" s="458"/>
      <c r="AA66" s="458"/>
      <c r="AB66" s="458"/>
      <c r="AC66" s="458"/>
      <c r="AD66" s="458"/>
      <c r="AE66" s="458"/>
      <c r="AF66" s="458"/>
      <c r="AG66" s="458"/>
      <c r="AH66" s="458"/>
      <c r="AI66" s="458"/>
      <c r="AJ66" s="428"/>
    </row>
    <row r="67" spans="2:36" ht="14.4">
      <c r="B67" s="574"/>
      <c r="C67" s="455"/>
      <c r="D67" s="542"/>
      <c r="E67" s="455"/>
      <c r="F67" s="455"/>
      <c r="G67" s="455"/>
      <c r="H67" s="455"/>
      <c r="I67" s="455"/>
      <c r="J67" s="455"/>
      <c r="K67" s="455"/>
      <c r="L67" s="455"/>
      <c r="M67" s="455"/>
      <c r="N67" s="455"/>
      <c r="O67" s="455"/>
      <c r="P67" s="455"/>
      <c r="Q67" s="455"/>
      <c r="R67" s="455"/>
      <c r="S67" s="458"/>
      <c r="T67" s="458"/>
      <c r="U67" s="458"/>
      <c r="V67" s="458"/>
      <c r="W67" s="458"/>
      <c r="X67" s="458"/>
      <c r="Y67" s="458"/>
      <c r="Z67" s="458"/>
      <c r="AA67" s="458"/>
      <c r="AB67" s="458"/>
      <c r="AC67" s="458"/>
      <c r="AD67" s="458"/>
      <c r="AE67" s="458"/>
      <c r="AF67" s="458"/>
      <c r="AG67" s="458"/>
      <c r="AH67" s="458"/>
      <c r="AI67" s="458"/>
      <c r="AJ67" s="428"/>
    </row>
    <row r="68" spans="2:36" ht="14.4">
      <c r="B68" s="575"/>
      <c r="C68" s="576"/>
      <c r="D68" s="576"/>
      <c r="E68" s="576"/>
      <c r="F68" s="576"/>
      <c r="G68" s="576"/>
      <c r="H68" s="576"/>
      <c r="I68" s="576"/>
      <c r="J68" s="576"/>
      <c r="K68" s="576"/>
      <c r="L68" s="455"/>
      <c r="M68" s="455"/>
      <c r="N68" s="455"/>
      <c r="O68" s="455"/>
      <c r="P68" s="455"/>
      <c r="Q68" s="455"/>
      <c r="R68" s="455"/>
      <c r="S68" s="458"/>
      <c r="T68" s="458"/>
      <c r="U68" s="458"/>
      <c r="V68" s="458"/>
      <c r="W68" s="458"/>
      <c r="X68" s="458"/>
      <c r="Y68" s="458"/>
      <c r="Z68" s="458"/>
      <c r="AA68" s="458"/>
      <c r="AB68" s="458"/>
      <c r="AC68" s="458"/>
      <c r="AD68" s="458"/>
      <c r="AE68" s="458"/>
      <c r="AF68" s="458"/>
      <c r="AG68" s="458"/>
      <c r="AH68" s="458"/>
      <c r="AI68" s="458"/>
      <c r="AJ68" s="428"/>
    </row>
    <row r="69" spans="2:36" ht="14.4">
      <c r="B69" s="455"/>
      <c r="C69" s="455"/>
      <c r="D69" s="449"/>
      <c r="E69" s="455"/>
      <c r="F69" s="455"/>
      <c r="G69" s="449"/>
      <c r="H69" s="455"/>
      <c r="I69" s="449"/>
      <c r="J69" s="455"/>
      <c r="K69" s="449"/>
      <c r="L69" s="455"/>
      <c r="M69" s="455"/>
      <c r="N69" s="455"/>
      <c r="O69" s="455"/>
      <c r="P69" s="455"/>
      <c r="Q69" s="455"/>
      <c r="R69" s="455"/>
      <c r="S69" s="458"/>
      <c r="T69" s="458"/>
      <c r="U69" s="458"/>
      <c r="V69" s="458"/>
      <c r="W69" s="458"/>
      <c r="X69" s="458"/>
      <c r="Y69" s="458"/>
      <c r="Z69" s="458"/>
      <c r="AA69" s="458"/>
      <c r="AB69" s="458"/>
      <c r="AC69" s="458"/>
      <c r="AD69" s="458"/>
      <c r="AE69" s="458"/>
      <c r="AF69" s="458"/>
      <c r="AG69" s="458"/>
      <c r="AH69" s="458"/>
      <c r="AI69" s="458"/>
      <c r="AJ69" s="428"/>
    </row>
    <row r="70" spans="2:36" ht="14.4">
      <c r="B70" s="455"/>
      <c r="C70" s="455"/>
      <c r="D70" s="449"/>
      <c r="E70" s="455"/>
      <c r="F70" s="455"/>
      <c r="G70" s="449"/>
      <c r="H70" s="455"/>
      <c r="I70" s="449"/>
      <c r="J70" s="455"/>
      <c r="K70" s="449"/>
      <c r="L70" s="455"/>
      <c r="M70" s="455"/>
      <c r="N70" s="455"/>
      <c r="O70" s="455"/>
      <c r="P70" s="455"/>
      <c r="Q70" s="455"/>
      <c r="R70" s="455"/>
      <c r="S70" s="458"/>
      <c r="T70" s="458"/>
      <c r="U70" s="458"/>
      <c r="V70" s="458"/>
      <c r="W70" s="458"/>
      <c r="X70" s="458"/>
      <c r="Y70" s="458"/>
      <c r="Z70" s="458"/>
      <c r="AA70" s="458"/>
      <c r="AB70" s="458"/>
      <c r="AC70" s="458"/>
      <c r="AD70" s="458"/>
      <c r="AE70" s="458"/>
      <c r="AF70" s="458"/>
      <c r="AG70" s="458"/>
      <c r="AH70" s="458"/>
      <c r="AI70" s="458"/>
      <c r="AJ70" s="428"/>
    </row>
    <row r="71" spans="2:36" ht="14.4">
      <c r="B71" s="455"/>
      <c r="C71" s="455"/>
      <c r="D71" s="542"/>
      <c r="E71" s="455"/>
      <c r="F71" s="455"/>
      <c r="G71" s="577"/>
      <c r="H71" s="455"/>
      <c r="I71" s="577"/>
      <c r="J71" s="455"/>
      <c r="K71" s="577"/>
      <c r="L71" s="455"/>
      <c r="M71" s="455"/>
      <c r="N71" s="455"/>
      <c r="O71" s="455"/>
      <c r="P71" s="455"/>
      <c r="Q71" s="455"/>
      <c r="R71" s="455"/>
      <c r="S71" s="458"/>
      <c r="T71" s="458"/>
      <c r="U71" s="458"/>
      <c r="V71" s="458"/>
      <c r="W71" s="458"/>
      <c r="X71" s="458"/>
      <c r="Y71" s="458"/>
      <c r="Z71" s="458"/>
      <c r="AA71" s="458"/>
      <c r="AB71" s="458"/>
      <c r="AC71" s="458"/>
      <c r="AD71" s="458"/>
      <c r="AE71" s="458"/>
      <c r="AF71" s="458"/>
      <c r="AG71" s="458"/>
      <c r="AH71" s="458"/>
      <c r="AI71" s="458"/>
      <c r="AJ71" s="428"/>
    </row>
    <row r="72" spans="2:36" ht="14.4">
      <c r="B72" s="455"/>
      <c r="C72" s="455"/>
      <c r="D72" s="542"/>
      <c r="E72" s="455"/>
      <c r="F72" s="455"/>
      <c r="G72" s="577"/>
      <c r="H72" s="455"/>
      <c r="I72" s="577"/>
      <c r="J72" s="455"/>
      <c r="K72" s="455"/>
      <c r="L72" s="455"/>
      <c r="M72" s="455"/>
      <c r="N72" s="455"/>
      <c r="O72" s="455"/>
      <c r="P72" s="455"/>
      <c r="Q72" s="455"/>
      <c r="R72" s="455"/>
      <c r="S72" s="458"/>
      <c r="T72" s="458"/>
      <c r="U72" s="458"/>
      <c r="V72" s="458"/>
      <c r="W72" s="458"/>
      <c r="X72" s="458"/>
      <c r="Y72" s="458"/>
      <c r="Z72" s="458"/>
      <c r="AA72" s="458"/>
      <c r="AB72" s="458"/>
      <c r="AC72" s="458"/>
      <c r="AD72" s="458"/>
      <c r="AE72" s="458"/>
      <c r="AF72" s="458"/>
      <c r="AG72" s="458"/>
      <c r="AH72" s="458"/>
      <c r="AI72" s="458"/>
      <c r="AJ72" s="428"/>
    </row>
    <row r="73" spans="2:36" ht="14.4">
      <c r="B73" s="455"/>
      <c r="C73" s="455"/>
      <c r="D73" s="542"/>
      <c r="E73" s="455"/>
      <c r="F73" s="455"/>
      <c r="G73" s="577"/>
      <c r="H73" s="455"/>
      <c r="I73" s="577"/>
      <c r="J73" s="455"/>
      <c r="K73" s="577"/>
      <c r="L73" s="455"/>
      <c r="M73" s="455"/>
      <c r="N73" s="455"/>
      <c r="O73" s="455"/>
      <c r="P73" s="455"/>
      <c r="Q73" s="455"/>
      <c r="R73" s="455"/>
      <c r="S73" s="458"/>
      <c r="T73" s="458"/>
      <c r="U73" s="458"/>
      <c r="V73" s="458"/>
      <c r="W73" s="458"/>
      <c r="X73" s="458"/>
      <c r="Y73" s="458"/>
      <c r="Z73" s="458"/>
      <c r="AA73" s="458"/>
      <c r="AB73" s="458"/>
      <c r="AC73" s="458"/>
      <c r="AD73" s="458"/>
      <c r="AE73" s="458"/>
      <c r="AF73" s="458"/>
      <c r="AG73" s="458"/>
      <c r="AH73" s="458"/>
      <c r="AI73" s="458"/>
      <c r="AJ73" s="428"/>
    </row>
    <row r="74" spans="2:36" ht="14.4">
      <c r="B74" s="455"/>
      <c r="C74" s="455"/>
      <c r="D74" s="542"/>
      <c r="E74" s="455"/>
      <c r="F74" s="455"/>
      <c r="G74" s="577"/>
      <c r="H74" s="455"/>
      <c r="I74" s="577"/>
      <c r="J74" s="455"/>
      <c r="K74" s="455"/>
      <c r="L74" s="455"/>
      <c r="M74" s="455"/>
      <c r="N74" s="455"/>
      <c r="O74" s="455"/>
      <c r="P74" s="455"/>
      <c r="Q74" s="455"/>
      <c r="R74" s="455"/>
      <c r="S74" s="458"/>
      <c r="T74" s="458"/>
      <c r="U74" s="458"/>
      <c r="V74" s="458"/>
      <c r="W74" s="458"/>
      <c r="X74" s="458"/>
      <c r="Y74" s="458"/>
      <c r="Z74" s="458"/>
      <c r="AA74" s="458"/>
      <c r="AB74" s="458"/>
      <c r="AC74" s="458"/>
      <c r="AD74" s="458"/>
      <c r="AE74" s="458"/>
      <c r="AF74" s="458"/>
      <c r="AG74" s="458"/>
      <c r="AH74" s="458"/>
      <c r="AI74" s="458"/>
      <c r="AJ74" s="428"/>
    </row>
    <row r="75" spans="2:36" ht="14.4">
      <c r="B75" s="455"/>
      <c r="C75" s="455"/>
      <c r="D75" s="542"/>
      <c r="E75" s="455"/>
      <c r="F75" s="455"/>
      <c r="G75" s="577"/>
      <c r="H75" s="455"/>
      <c r="I75" s="577"/>
      <c r="J75" s="455"/>
      <c r="K75" s="577"/>
      <c r="L75" s="455"/>
      <c r="M75" s="455"/>
      <c r="N75" s="455"/>
      <c r="O75" s="455"/>
      <c r="P75" s="455"/>
      <c r="Q75" s="455"/>
      <c r="R75" s="455"/>
      <c r="S75" s="458"/>
      <c r="T75" s="458"/>
      <c r="U75" s="458"/>
      <c r="V75" s="458"/>
      <c r="W75" s="458"/>
      <c r="X75" s="458"/>
      <c r="Y75" s="458"/>
      <c r="Z75" s="458"/>
      <c r="AA75" s="458"/>
      <c r="AB75" s="458"/>
      <c r="AC75" s="458"/>
      <c r="AD75" s="458"/>
      <c r="AE75" s="458"/>
      <c r="AF75" s="458"/>
      <c r="AG75" s="458"/>
      <c r="AH75" s="458"/>
      <c r="AI75" s="458"/>
      <c r="AJ75" s="428"/>
    </row>
    <row r="76" spans="2:36" ht="14.4">
      <c r="B76" s="455"/>
      <c r="C76" s="455"/>
      <c r="D76" s="542"/>
      <c r="E76" s="455"/>
      <c r="F76" s="455"/>
      <c r="G76" s="577"/>
      <c r="H76" s="455"/>
      <c r="I76" s="577"/>
      <c r="J76" s="455"/>
      <c r="K76" s="455"/>
      <c r="L76" s="455"/>
      <c r="M76" s="455"/>
      <c r="N76" s="455"/>
      <c r="O76" s="455"/>
      <c r="P76" s="455"/>
      <c r="Q76" s="455"/>
      <c r="R76" s="455"/>
      <c r="S76" s="458"/>
      <c r="T76" s="458"/>
      <c r="U76" s="458"/>
      <c r="V76" s="458"/>
      <c r="W76" s="458"/>
      <c r="X76" s="458"/>
      <c r="Y76" s="458"/>
      <c r="Z76" s="458"/>
      <c r="AA76" s="458"/>
      <c r="AB76" s="458"/>
      <c r="AC76" s="458"/>
      <c r="AD76" s="458"/>
      <c r="AE76" s="458"/>
      <c r="AF76" s="458"/>
      <c r="AG76" s="458"/>
      <c r="AH76" s="458"/>
      <c r="AI76" s="458"/>
      <c r="AJ76" s="428"/>
    </row>
    <row r="77" spans="2:36" ht="14.4">
      <c r="B77" s="455"/>
      <c r="C77" s="455"/>
      <c r="D77" s="542"/>
      <c r="E77" s="455"/>
      <c r="F77" s="455"/>
      <c r="G77" s="577"/>
      <c r="H77" s="455"/>
      <c r="I77" s="455"/>
      <c r="J77" s="455"/>
      <c r="K77" s="577"/>
      <c r="L77" s="576"/>
      <c r="M77" s="576"/>
      <c r="N77" s="576"/>
      <c r="O77" s="576"/>
      <c r="P77" s="576"/>
      <c r="Q77" s="576"/>
      <c r="R77" s="576"/>
      <c r="S77" s="576"/>
      <c r="T77" s="576"/>
      <c r="U77" s="576"/>
      <c r="V77" s="576"/>
      <c r="W77" s="576"/>
      <c r="X77" s="576"/>
      <c r="Y77" s="576"/>
      <c r="Z77" s="576"/>
      <c r="AA77" s="458"/>
      <c r="AB77" s="458"/>
      <c r="AC77" s="458"/>
      <c r="AD77" s="458"/>
      <c r="AE77" s="458"/>
      <c r="AF77" s="458"/>
      <c r="AG77" s="458"/>
      <c r="AH77" s="458"/>
      <c r="AI77" s="458"/>
      <c r="AJ77" s="428"/>
    </row>
    <row r="78" spans="2:36">
      <c r="B78" s="438"/>
      <c r="C78" s="438"/>
      <c r="D78" s="578"/>
      <c r="E78" s="438"/>
      <c r="F78" s="438"/>
      <c r="G78" s="579"/>
      <c r="H78" s="438"/>
      <c r="I78" s="438"/>
      <c r="J78" s="438"/>
      <c r="K78" s="579"/>
      <c r="L78" s="427"/>
      <c r="M78" s="427"/>
      <c r="N78" s="427"/>
      <c r="O78" s="427"/>
      <c r="P78" s="427"/>
      <c r="Q78" s="427"/>
      <c r="R78" s="427"/>
      <c r="S78" s="427"/>
      <c r="T78" s="427"/>
      <c r="U78" s="427"/>
      <c r="V78" s="427"/>
      <c r="W78" s="427"/>
      <c r="X78" s="427"/>
      <c r="Y78" s="427"/>
      <c r="Z78" s="427"/>
      <c r="AA78" s="428"/>
      <c r="AB78" s="428"/>
      <c r="AC78" s="428"/>
      <c r="AD78" s="428"/>
      <c r="AE78" s="428"/>
      <c r="AF78" s="428"/>
      <c r="AG78" s="428"/>
      <c r="AH78" s="428"/>
      <c r="AI78" s="428"/>
      <c r="AJ78" s="428"/>
    </row>
    <row r="79" spans="2:36">
      <c r="B79" s="438"/>
      <c r="C79" s="438"/>
      <c r="D79" s="578"/>
      <c r="E79" s="438"/>
      <c r="F79" s="438"/>
      <c r="G79" s="579"/>
      <c r="H79" s="438"/>
      <c r="I79" s="438"/>
      <c r="J79" s="438"/>
      <c r="K79" s="579"/>
      <c r="L79" s="427"/>
      <c r="M79" s="427"/>
      <c r="N79" s="427"/>
      <c r="O79" s="427"/>
      <c r="P79" s="427"/>
      <c r="Q79" s="427"/>
      <c r="R79" s="427"/>
      <c r="S79" s="427"/>
      <c r="T79" s="427"/>
      <c r="U79" s="427"/>
      <c r="V79" s="427"/>
      <c r="W79" s="427"/>
      <c r="X79" s="427"/>
      <c r="Y79" s="427"/>
      <c r="Z79" s="427"/>
      <c r="AA79" s="428"/>
      <c r="AB79" s="428"/>
      <c r="AC79" s="428"/>
      <c r="AD79" s="428"/>
      <c r="AE79" s="428"/>
      <c r="AF79" s="428"/>
      <c r="AG79" s="428"/>
      <c r="AH79" s="428"/>
      <c r="AI79" s="428"/>
      <c r="AJ79" s="428"/>
    </row>
    <row r="80" spans="2:36">
      <c r="B80" s="438"/>
      <c r="C80" s="438"/>
      <c r="D80" s="578"/>
      <c r="E80" s="438"/>
      <c r="F80" s="438"/>
      <c r="G80" s="579"/>
      <c r="H80" s="438"/>
      <c r="I80" s="438"/>
      <c r="J80" s="438"/>
      <c r="K80" s="579"/>
      <c r="L80" s="427"/>
      <c r="M80" s="427"/>
      <c r="N80" s="427"/>
      <c r="O80" s="427"/>
      <c r="P80" s="427"/>
      <c r="Q80" s="427"/>
      <c r="R80" s="427"/>
      <c r="S80" s="427"/>
      <c r="T80" s="427"/>
      <c r="U80" s="427"/>
      <c r="V80" s="427"/>
      <c r="W80" s="427"/>
      <c r="X80" s="427"/>
      <c r="Y80" s="427"/>
      <c r="Z80" s="427"/>
      <c r="AA80" s="428"/>
      <c r="AB80" s="428"/>
      <c r="AC80" s="428"/>
      <c r="AD80" s="428"/>
      <c r="AE80" s="428"/>
      <c r="AF80" s="428"/>
      <c r="AG80" s="428"/>
      <c r="AH80" s="428"/>
      <c r="AI80" s="428"/>
      <c r="AJ80" s="428"/>
    </row>
    <row r="81" spans="2:35">
      <c r="B81" s="427"/>
      <c r="C81" s="427"/>
      <c r="D81" s="427"/>
      <c r="E81" s="427"/>
      <c r="F81" s="427"/>
      <c r="G81" s="427"/>
      <c r="H81" s="427"/>
      <c r="I81" s="427"/>
      <c r="J81" s="427"/>
      <c r="K81" s="427"/>
      <c r="L81" s="427"/>
      <c r="M81" s="427"/>
      <c r="N81" s="427"/>
      <c r="O81" s="427"/>
      <c r="P81" s="427"/>
      <c r="Q81" s="427"/>
      <c r="R81" s="427"/>
      <c r="S81" s="427"/>
      <c r="T81" s="427"/>
      <c r="U81" s="427"/>
      <c r="V81" s="427"/>
      <c r="W81" s="427"/>
      <c r="X81" s="427"/>
      <c r="Y81" s="427"/>
      <c r="Z81" s="427"/>
      <c r="AA81" s="438"/>
      <c r="AB81" s="438"/>
      <c r="AC81" s="438"/>
      <c r="AD81" s="438"/>
      <c r="AE81" s="438"/>
      <c r="AF81" s="438"/>
      <c r="AG81" s="438"/>
      <c r="AH81" s="438"/>
      <c r="AI81" s="438"/>
    </row>
    <row r="82" spans="2:35">
      <c r="B82" s="580"/>
      <c r="C82" s="438"/>
      <c r="D82" s="438"/>
      <c r="E82" s="438"/>
      <c r="F82" s="438"/>
      <c r="G82" s="438"/>
      <c r="H82" s="438"/>
      <c r="I82" s="438"/>
      <c r="J82" s="438"/>
      <c r="K82" s="438"/>
      <c r="L82" s="438"/>
      <c r="M82" s="438"/>
      <c r="N82" s="438"/>
      <c r="O82" s="438"/>
      <c r="P82" s="438"/>
      <c r="Q82" s="438"/>
      <c r="R82" s="438"/>
      <c r="S82" s="438"/>
      <c r="T82" s="438"/>
      <c r="U82" s="438"/>
      <c r="V82" s="438"/>
      <c r="W82" s="438"/>
      <c r="X82" s="438"/>
      <c r="Y82" s="438"/>
      <c r="Z82" s="438"/>
      <c r="AA82" s="438"/>
      <c r="AB82" s="438"/>
      <c r="AC82" s="438"/>
      <c r="AD82" s="438"/>
      <c r="AE82" s="438"/>
      <c r="AF82" s="438"/>
      <c r="AG82" s="438"/>
      <c r="AH82" s="438"/>
      <c r="AI82" s="438"/>
    </row>
    <row r="83" spans="2:35">
      <c r="B83" s="581"/>
      <c r="C83" s="438"/>
      <c r="D83" s="438"/>
      <c r="E83" s="438"/>
      <c r="F83" s="438"/>
      <c r="G83" s="582"/>
      <c r="H83" s="582"/>
      <c r="I83" s="582"/>
      <c r="J83" s="582"/>
      <c r="K83" s="582"/>
      <c r="L83" s="582"/>
      <c r="M83" s="582"/>
      <c r="N83" s="582"/>
      <c r="O83" s="582"/>
      <c r="P83" s="582"/>
      <c r="Q83" s="582"/>
      <c r="R83" s="582"/>
      <c r="S83" s="582"/>
      <c r="T83" s="582"/>
      <c r="U83" s="582"/>
      <c r="V83" s="582"/>
      <c r="W83" s="438"/>
      <c r="X83" s="438"/>
      <c r="Y83" s="438"/>
      <c r="Z83" s="438"/>
      <c r="AA83" s="438"/>
      <c r="AB83" s="438"/>
      <c r="AC83" s="438"/>
      <c r="AD83" s="438"/>
      <c r="AE83" s="438"/>
      <c r="AF83" s="438"/>
      <c r="AG83" s="438"/>
      <c r="AH83" s="438"/>
      <c r="AI83" s="438"/>
    </row>
    <row r="84" spans="2:35">
      <c r="B84" s="438"/>
      <c r="C84" s="438"/>
      <c r="D84" s="582"/>
      <c r="E84" s="582"/>
      <c r="F84" s="582"/>
      <c r="G84" s="582"/>
      <c r="H84" s="582"/>
      <c r="I84" s="582"/>
      <c r="J84" s="582"/>
      <c r="K84" s="582"/>
      <c r="L84" s="582"/>
      <c r="M84" s="582"/>
      <c r="N84" s="582"/>
      <c r="O84" s="582"/>
      <c r="P84" s="582"/>
      <c r="Q84" s="582"/>
      <c r="R84" s="582"/>
      <c r="S84" s="582"/>
      <c r="T84" s="582"/>
      <c r="U84" s="582"/>
      <c r="V84" s="582"/>
      <c r="W84" s="582"/>
      <c r="X84" s="438"/>
      <c r="Y84" s="582"/>
      <c r="Z84" s="582"/>
      <c r="AA84" s="438"/>
      <c r="AB84" s="438"/>
      <c r="AC84" s="438"/>
      <c r="AD84" s="438"/>
      <c r="AE84" s="438"/>
      <c r="AF84" s="438"/>
      <c r="AG84" s="438"/>
      <c r="AH84" s="438"/>
      <c r="AI84" s="438"/>
    </row>
    <row r="85" spans="2:35">
      <c r="B85" s="583"/>
      <c r="C85" s="438"/>
      <c r="D85" s="582"/>
      <c r="E85" s="582"/>
      <c r="F85" s="582"/>
      <c r="G85" s="582"/>
      <c r="H85" s="582"/>
      <c r="I85" s="582"/>
      <c r="J85" s="582"/>
      <c r="K85" s="582"/>
      <c r="L85" s="582"/>
      <c r="M85" s="582"/>
      <c r="N85" s="582"/>
      <c r="O85" s="582"/>
      <c r="P85" s="582"/>
      <c r="Q85" s="582"/>
      <c r="R85" s="582"/>
      <c r="S85" s="582"/>
      <c r="T85" s="582"/>
      <c r="U85" s="582"/>
      <c r="V85" s="582"/>
      <c r="W85" s="582"/>
      <c r="X85" s="438"/>
      <c r="Y85" s="582"/>
      <c r="Z85" s="582"/>
      <c r="AA85" s="438"/>
      <c r="AB85" s="438"/>
      <c r="AC85" s="438"/>
      <c r="AD85" s="438"/>
      <c r="AE85" s="438"/>
      <c r="AF85" s="438"/>
      <c r="AG85" s="438"/>
      <c r="AH85" s="438"/>
      <c r="AI85" s="438"/>
    </row>
    <row r="86" spans="2:35">
      <c r="B86" s="583"/>
      <c r="C86" s="438"/>
      <c r="D86" s="582"/>
      <c r="E86" s="582"/>
      <c r="F86" s="582"/>
      <c r="G86" s="582"/>
      <c r="H86" s="582"/>
      <c r="I86" s="582"/>
      <c r="J86" s="582"/>
      <c r="K86" s="582"/>
      <c r="L86" s="582"/>
      <c r="M86" s="582"/>
      <c r="N86" s="582"/>
      <c r="O86" s="582"/>
      <c r="P86" s="582"/>
      <c r="Q86" s="582"/>
      <c r="R86" s="582"/>
      <c r="S86" s="582"/>
      <c r="T86" s="582"/>
      <c r="U86" s="582"/>
      <c r="V86" s="582"/>
      <c r="W86" s="582"/>
      <c r="X86" s="438"/>
      <c r="Y86" s="582"/>
      <c r="Z86" s="582"/>
      <c r="AA86" s="438"/>
      <c r="AB86" s="438"/>
      <c r="AC86" s="438"/>
      <c r="AD86" s="438"/>
      <c r="AE86" s="438"/>
      <c r="AF86" s="438"/>
      <c r="AG86" s="438"/>
      <c r="AH86" s="438"/>
      <c r="AI86" s="438"/>
    </row>
    <row r="87" spans="2:35">
      <c r="B87" s="514"/>
      <c r="C87" s="438"/>
      <c r="D87" s="452"/>
      <c r="E87" s="452"/>
      <c r="F87" s="452"/>
      <c r="G87" s="452"/>
      <c r="H87" s="584"/>
      <c r="I87" s="452"/>
      <c r="J87" s="584"/>
      <c r="K87" s="584"/>
      <c r="L87" s="584"/>
      <c r="M87" s="584"/>
      <c r="N87" s="584"/>
      <c r="O87" s="584"/>
      <c r="P87" s="584"/>
      <c r="Q87" s="584"/>
      <c r="R87" s="584"/>
      <c r="S87" s="438"/>
      <c r="T87" s="438"/>
      <c r="U87" s="438"/>
      <c r="V87" s="438"/>
      <c r="W87" s="514"/>
      <c r="X87" s="438"/>
      <c r="Y87" s="584"/>
      <c r="Z87" s="582"/>
      <c r="AA87" s="438"/>
      <c r="AB87" s="438"/>
      <c r="AC87" s="438"/>
      <c r="AD87" s="438"/>
      <c r="AE87" s="438"/>
      <c r="AF87" s="438"/>
      <c r="AG87" s="438"/>
      <c r="AH87" s="438"/>
      <c r="AI87" s="438"/>
    </row>
    <row r="88" spans="2:35">
      <c r="B88" s="514"/>
      <c r="C88" s="438"/>
      <c r="D88" s="452"/>
      <c r="E88" s="452"/>
      <c r="F88" s="452"/>
      <c r="G88" s="452"/>
      <c r="H88" s="584"/>
      <c r="I88" s="452"/>
      <c r="J88" s="584"/>
      <c r="K88" s="584"/>
      <c r="L88" s="584"/>
      <c r="M88" s="584"/>
      <c r="N88" s="584"/>
      <c r="O88" s="584"/>
      <c r="P88" s="584"/>
      <c r="Q88" s="584"/>
      <c r="R88" s="584"/>
      <c r="S88" s="438"/>
      <c r="T88" s="438"/>
      <c r="U88" s="438"/>
      <c r="V88" s="438"/>
      <c r="W88" s="514"/>
      <c r="X88" s="438"/>
      <c r="Y88" s="584"/>
      <c r="Z88" s="582"/>
      <c r="AA88" s="438"/>
      <c r="AB88" s="438"/>
      <c r="AC88" s="438"/>
      <c r="AD88" s="438"/>
      <c r="AE88" s="438"/>
      <c r="AF88" s="438"/>
      <c r="AG88" s="438"/>
      <c r="AH88" s="438"/>
      <c r="AI88" s="438"/>
    </row>
    <row r="89" spans="2:35">
      <c r="B89" s="514"/>
      <c r="C89" s="438"/>
      <c r="D89" s="452"/>
      <c r="E89" s="452"/>
      <c r="F89" s="452"/>
      <c r="G89" s="452"/>
      <c r="H89" s="584"/>
      <c r="I89" s="452"/>
      <c r="J89" s="584"/>
      <c r="K89" s="584"/>
      <c r="L89" s="584"/>
      <c r="M89" s="584"/>
      <c r="N89" s="584"/>
      <c r="O89" s="584"/>
      <c r="P89" s="584"/>
      <c r="Q89" s="584"/>
      <c r="R89" s="584"/>
      <c r="S89" s="438"/>
      <c r="T89" s="438"/>
      <c r="U89" s="438"/>
      <c r="V89" s="438"/>
      <c r="W89" s="514"/>
      <c r="X89" s="438"/>
      <c r="Y89" s="584"/>
      <c r="Z89" s="582"/>
      <c r="AA89" s="438"/>
      <c r="AB89" s="438"/>
      <c r="AC89" s="438"/>
      <c r="AD89" s="438"/>
      <c r="AE89" s="438"/>
      <c r="AF89" s="438"/>
      <c r="AG89" s="438"/>
      <c r="AH89" s="438"/>
      <c r="AI89" s="438"/>
    </row>
    <row r="90" spans="2:35">
      <c r="B90" s="585"/>
      <c r="C90" s="438"/>
      <c r="D90" s="452"/>
      <c r="E90" s="452"/>
      <c r="F90" s="452"/>
      <c r="G90" s="452"/>
      <c r="H90" s="584"/>
      <c r="I90" s="452"/>
      <c r="J90" s="584"/>
      <c r="K90" s="584"/>
      <c r="L90" s="584"/>
      <c r="M90" s="584"/>
      <c r="N90" s="584"/>
      <c r="O90" s="584"/>
      <c r="P90" s="584"/>
      <c r="Q90" s="584"/>
      <c r="R90" s="584"/>
      <c r="S90" s="438"/>
      <c r="T90" s="438"/>
      <c r="U90" s="438"/>
      <c r="V90" s="438"/>
      <c r="W90" s="514"/>
      <c r="X90" s="438"/>
      <c r="Y90" s="584"/>
      <c r="Z90" s="582"/>
      <c r="AA90" s="438"/>
      <c r="AB90" s="438"/>
      <c r="AC90" s="438"/>
      <c r="AD90" s="438"/>
      <c r="AE90" s="438"/>
      <c r="AF90" s="438"/>
      <c r="AG90" s="438"/>
      <c r="AH90" s="438"/>
      <c r="AI90" s="438"/>
    </row>
    <row r="91" spans="2:35">
      <c r="B91" s="585"/>
      <c r="C91" s="438"/>
      <c r="D91" s="452"/>
      <c r="E91" s="452"/>
      <c r="F91" s="452"/>
      <c r="G91" s="452"/>
      <c r="H91" s="584"/>
      <c r="I91" s="452"/>
      <c r="J91" s="584"/>
      <c r="K91" s="584"/>
      <c r="L91" s="584"/>
      <c r="M91" s="584"/>
      <c r="N91" s="584"/>
      <c r="O91" s="584"/>
      <c r="P91" s="584"/>
      <c r="Q91" s="584"/>
      <c r="R91" s="584"/>
      <c r="S91" s="438"/>
      <c r="T91" s="438"/>
      <c r="U91" s="438"/>
      <c r="V91" s="438"/>
      <c r="W91" s="514"/>
      <c r="X91" s="438"/>
      <c r="Y91" s="584"/>
      <c r="Z91" s="582"/>
      <c r="AA91" s="438"/>
      <c r="AB91" s="438"/>
      <c r="AC91" s="438"/>
      <c r="AD91" s="438"/>
      <c r="AE91" s="438"/>
      <c r="AF91" s="438"/>
      <c r="AG91" s="438"/>
      <c r="AH91" s="438"/>
      <c r="AI91" s="438"/>
    </row>
    <row r="92" spans="2:35">
      <c r="B92" s="586"/>
      <c r="C92" s="438"/>
      <c r="D92" s="452"/>
      <c r="E92" s="452"/>
      <c r="F92" s="452"/>
      <c r="G92" s="452"/>
      <c r="H92" s="584"/>
      <c r="I92" s="452"/>
      <c r="J92" s="584"/>
      <c r="K92" s="584"/>
      <c r="L92" s="584"/>
      <c r="M92" s="584"/>
      <c r="N92" s="584"/>
      <c r="O92" s="584"/>
      <c r="P92" s="584"/>
      <c r="Q92" s="584"/>
      <c r="R92" s="584"/>
      <c r="S92" s="438"/>
      <c r="T92" s="438"/>
      <c r="U92" s="438"/>
      <c r="V92" s="438"/>
      <c r="W92" s="514"/>
      <c r="X92" s="438"/>
      <c r="Y92" s="584"/>
      <c r="Z92" s="582"/>
      <c r="AA92" s="438"/>
      <c r="AB92" s="438"/>
      <c r="AC92" s="438"/>
      <c r="AD92" s="438"/>
      <c r="AE92" s="438"/>
      <c r="AF92" s="438"/>
      <c r="AG92" s="438"/>
      <c r="AH92" s="438"/>
      <c r="AI92" s="438"/>
    </row>
    <row r="93" spans="2:35">
      <c r="B93" s="514"/>
      <c r="C93" s="438"/>
      <c r="D93" s="452"/>
      <c r="E93" s="452"/>
      <c r="F93" s="452"/>
      <c r="G93" s="452"/>
      <c r="H93" s="584"/>
      <c r="I93" s="452"/>
      <c r="J93" s="584"/>
      <c r="K93" s="584"/>
      <c r="L93" s="584"/>
      <c r="M93" s="584"/>
      <c r="N93" s="584"/>
      <c r="O93" s="584"/>
      <c r="P93" s="584"/>
      <c r="Q93" s="584"/>
      <c r="R93" s="584"/>
      <c r="S93" s="438"/>
      <c r="T93" s="438"/>
      <c r="U93" s="438"/>
      <c r="V93" s="438"/>
      <c r="W93" s="514"/>
      <c r="X93" s="438"/>
      <c r="Y93" s="584"/>
      <c r="Z93" s="582"/>
      <c r="AA93" s="438"/>
      <c r="AB93" s="438"/>
      <c r="AC93" s="438"/>
      <c r="AD93" s="438"/>
      <c r="AE93" s="438"/>
      <c r="AF93" s="438"/>
      <c r="AG93" s="438"/>
      <c r="AH93" s="438"/>
      <c r="AI93" s="438"/>
    </row>
    <row r="94" spans="2:35">
      <c r="B94" s="514"/>
      <c r="C94" s="438"/>
      <c r="D94" s="452"/>
      <c r="E94" s="452"/>
      <c r="F94" s="452"/>
      <c r="G94" s="452"/>
      <c r="H94" s="584"/>
      <c r="I94" s="452"/>
      <c r="J94" s="584"/>
      <c r="K94" s="584"/>
      <c r="L94" s="584"/>
      <c r="M94" s="584"/>
      <c r="N94" s="584"/>
      <c r="O94" s="584"/>
      <c r="P94" s="584"/>
      <c r="Q94" s="584"/>
      <c r="R94" s="584"/>
      <c r="S94" s="438"/>
      <c r="T94" s="438"/>
      <c r="U94" s="438"/>
      <c r="V94" s="438"/>
      <c r="W94" s="514"/>
      <c r="X94" s="438"/>
      <c r="Y94" s="584"/>
      <c r="Z94" s="582"/>
      <c r="AA94" s="438"/>
      <c r="AB94" s="438"/>
      <c r="AC94" s="438"/>
      <c r="AD94" s="438"/>
      <c r="AE94" s="438"/>
      <c r="AF94" s="438"/>
      <c r="AG94" s="438"/>
      <c r="AH94" s="438"/>
      <c r="AI94" s="438"/>
    </row>
    <row r="95" spans="2:35">
      <c r="B95" s="514"/>
      <c r="C95" s="438"/>
      <c r="D95" s="452"/>
      <c r="E95" s="452"/>
      <c r="F95" s="452"/>
      <c r="G95" s="452"/>
      <c r="H95" s="584"/>
      <c r="I95" s="452"/>
      <c r="J95" s="584"/>
      <c r="K95" s="584"/>
      <c r="L95" s="584"/>
      <c r="M95" s="584"/>
      <c r="N95" s="584"/>
      <c r="O95" s="584"/>
      <c r="P95" s="584"/>
      <c r="Q95" s="584"/>
      <c r="R95" s="584"/>
      <c r="S95" s="438"/>
      <c r="T95" s="438"/>
      <c r="U95" s="438"/>
      <c r="V95" s="438"/>
      <c r="W95" s="514"/>
      <c r="X95" s="438"/>
      <c r="Y95" s="584"/>
      <c r="Z95" s="582"/>
      <c r="AA95" s="438"/>
      <c r="AB95" s="438"/>
      <c r="AC95" s="438"/>
      <c r="AD95" s="438"/>
      <c r="AE95" s="438"/>
      <c r="AF95" s="438"/>
      <c r="AG95" s="438"/>
      <c r="AH95" s="438"/>
      <c r="AI95" s="438"/>
    </row>
    <row r="96" spans="2:35">
      <c r="B96" s="514"/>
      <c r="C96" s="438"/>
      <c r="D96" s="452"/>
      <c r="E96" s="452"/>
      <c r="F96" s="452"/>
      <c r="G96" s="452"/>
      <c r="H96" s="584"/>
      <c r="I96" s="452"/>
      <c r="J96" s="584"/>
      <c r="K96" s="584"/>
      <c r="L96" s="584"/>
      <c r="M96" s="584"/>
      <c r="N96" s="584"/>
      <c r="O96" s="584"/>
      <c r="P96" s="584"/>
      <c r="Q96" s="584"/>
      <c r="R96" s="584"/>
      <c r="S96" s="438"/>
      <c r="T96" s="438"/>
      <c r="U96" s="438"/>
      <c r="V96" s="438"/>
      <c r="W96" s="514"/>
      <c r="X96" s="438"/>
      <c r="Y96" s="584"/>
      <c r="Z96" s="582"/>
      <c r="AA96" s="438"/>
      <c r="AB96" s="438"/>
      <c r="AC96" s="438"/>
      <c r="AD96" s="438"/>
      <c r="AE96" s="438"/>
      <c r="AF96" s="438"/>
      <c r="AG96" s="438"/>
      <c r="AH96" s="438"/>
      <c r="AI96" s="438"/>
    </row>
    <row r="97" spans="2:35">
      <c r="B97" s="514"/>
      <c r="C97" s="438"/>
      <c r="D97" s="452"/>
      <c r="E97" s="452"/>
      <c r="F97" s="452"/>
      <c r="G97" s="452"/>
      <c r="H97" s="584"/>
      <c r="I97" s="452"/>
      <c r="J97" s="584"/>
      <c r="K97" s="584"/>
      <c r="L97" s="584"/>
      <c r="M97" s="584"/>
      <c r="N97" s="584"/>
      <c r="O97" s="584"/>
      <c r="P97" s="584"/>
      <c r="Q97" s="584"/>
      <c r="R97" s="584"/>
      <c r="S97" s="438"/>
      <c r="T97" s="438"/>
      <c r="U97" s="438"/>
      <c r="V97" s="438"/>
      <c r="W97" s="514"/>
      <c r="X97" s="438"/>
      <c r="Y97" s="584"/>
      <c r="Z97" s="582"/>
      <c r="AA97" s="438"/>
      <c r="AB97" s="438"/>
      <c r="AC97" s="438"/>
      <c r="AD97" s="438"/>
      <c r="AE97" s="438"/>
      <c r="AF97" s="438"/>
      <c r="AG97" s="438"/>
      <c r="AH97" s="438"/>
      <c r="AI97" s="438"/>
    </row>
    <row r="98" spans="2:35">
      <c r="B98" s="514"/>
      <c r="C98" s="438"/>
      <c r="D98" s="452"/>
      <c r="E98" s="452"/>
      <c r="F98" s="452"/>
      <c r="G98" s="452"/>
      <c r="H98" s="584"/>
      <c r="I98" s="452"/>
      <c r="J98" s="584"/>
      <c r="K98" s="584"/>
      <c r="L98" s="584"/>
      <c r="M98" s="584"/>
      <c r="N98" s="584"/>
      <c r="O98" s="584"/>
      <c r="P98" s="584"/>
      <c r="Q98" s="584"/>
      <c r="R98" s="584"/>
      <c r="S98" s="438"/>
      <c r="T98" s="438"/>
      <c r="U98" s="438"/>
      <c r="V98" s="438"/>
      <c r="W98" s="514"/>
      <c r="X98" s="438"/>
      <c r="Y98" s="584"/>
      <c r="Z98" s="582"/>
      <c r="AA98" s="438"/>
      <c r="AB98" s="438"/>
      <c r="AC98" s="438"/>
      <c r="AD98" s="438"/>
      <c r="AE98" s="438"/>
      <c r="AF98" s="438"/>
      <c r="AG98" s="438"/>
      <c r="AH98" s="438"/>
      <c r="AI98" s="438"/>
    </row>
    <row r="99" spans="2:35">
      <c r="B99" s="514"/>
      <c r="C99" s="438"/>
      <c r="D99" s="452"/>
      <c r="E99" s="452"/>
      <c r="F99" s="452"/>
      <c r="G99" s="452"/>
      <c r="H99" s="584"/>
      <c r="I99" s="452"/>
      <c r="J99" s="584"/>
      <c r="K99" s="584"/>
      <c r="L99" s="584"/>
      <c r="M99" s="584"/>
      <c r="N99" s="584"/>
      <c r="O99" s="584"/>
      <c r="P99" s="584"/>
      <c r="Q99" s="584"/>
      <c r="R99" s="584"/>
      <c r="S99" s="438"/>
      <c r="T99" s="438"/>
      <c r="U99" s="438"/>
      <c r="V99" s="438"/>
      <c r="W99" s="514"/>
      <c r="X99" s="438"/>
      <c r="Y99" s="584"/>
      <c r="Z99" s="582"/>
      <c r="AA99" s="438"/>
      <c r="AB99" s="438"/>
      <c r="AC99" s="438"/>
      <c r="AD99" s="438"/>
      <c r="AE99" s="438"/>
      <c r="AF99" s="438"/>
      <c r="AG99" s="438"/>
      <c r="AH99" s="438"/>
      <c r="AI99" s="438"/>
    </row>
    <row r="100" spans="2:35">
      <c r="B100" s="514"/>
      <c r="C100" s="438"/>
      <c r="D100" s="452"/>
      <c r="E100" s="452"/>
      <c r="F100" s="452"/>
      <c r="G100" s="452"/>
      <c r="H100" s="584"/>
      <c r="I100" s="452"/>
      <c r="J100" s="584"/>
      <c r="K100" s="584"/>
      <c r="L100" s="584"/>
      <c r="M100" s="584"/>
      <c r="N100" s="584"/>
      <c r="O100" s="584"/>
      <c r="P100" s="584"/>
      <c r="Q100" s="584"/>
      <c r="R100" s="584"/>
      <c r="S100" s="438"/>
      <c r="T100" s="438"/>
      <c r="U100" s="438"/>
      <c r="V100" s="438"/>
      <c r="W100" s="514"/>
      <c r="X100" s="438"/>
      <c r="Y100" s="584"/>
      <c r="Z100" s="582"/>
      <c r="AA100" s="438"/>
      <c r="AB100" s="438"/>
      <c r="AC100" s="438"/>
      <c r="AD100" s="438"/>
      <c r="AE100" s="438"/>
      <c r="AF100" s="438"/>
      <c r="AG100" s="438"/>
      <c r="AH100" s="438"/>
      <c r="AI100" s="438"/>
    </row>
    <row r="101" spans="2:35">
      <c r="B101" s="514"/>
      <c r="C101" s="438"/>
      <c r="D101" s="452"/>
      <c r="E101" s="452"/>
      <c r="F101" s="452"/>
      <c r="G101" s="452"/>
      <c r="H101" s="584"/>
      <c r="I101" s="452"/>
      <c r="J101" s="584"/>
      <c r="K101" s="584"/>
      <c r="L101" s="584"/>
      <c r="M101" s="584"/>
      <c r="N101" s="584"/>
      <c r="O101" s="584"/>
      <c r="P101" s="584"/>
      <c r="Q101" s="584"/>
      <c r="R101" s="584"/>
      <c r="S101" s="438"/>
      <c r="T101" s="438"/>
      <c r="U101" s="438"/>
      <c r="V101" s="438"/>
      <c r="W101" s="514"/>
      <c r="X101" s="438"/>
      <c r="Y101" s="584"/>
      <c r="Z101" s="582"/>
      <c r="AA101" s="438"/>
      <c r="AB101" s="438"/>
      <c r="AC101" s="438"/>
      <c r="AD101" s="438"/>
      <c r="AE101" s="438"/>
      <c r="AF101" s="438"/>
      <c r="AG101" s="438"/>
      <c r="AH101" s="438"/>
      <c r="AI101" s="438"/>
    </row>
    <row r="102" spans="2:35">
      <c r="B102" s="514"/>
      <c r="C102" s="438"/>
      <c r="D102" s="452"/>
      <c r="E102" s="452"/>
      <c r="F102" s="452"/>
      <c r="G102" s="452"/>
      <c r="H102" s="584"/>
      <c r="I102" s="452"/>
      <c r="J102" s="584"/>
      <c r="K102" s="584"/>
      <c r="L102" s="584"/>
      <c r="M102" s="584"/>
      <c r="N102" s="584"/>
      <c r="O102" s="584"/>
      <c r="P102" s="584"/>
      <c r="Q102" s="584"/>
      <c r="R102" s="584"/>
      <c r="S102" s="438"/>
      <c r="T102" s="438"/>
      <c r="U102" s="438"/>
      <c r="V102" s="438"/>
      <c r="W102" s="514"/>
      <c r="X102" s="438"/>
      <c r="Y102" s="584"/>
      <c r="Z102" s="582"/>
      <c r="AA102" s="438"/>
      <c r="AB102" s="438"/>
      <c r="AC102" s="438"/>
      <c r="AD102" s="438"/>
      <c r="AE102" s="438"/>
      <c r="AF102" s="438"/>
      <c r="AG102" s="438"/>
      <c r="AH102" s="438"/>
      <c r="AI102" s="438"/>
    </row>
    <row r="103" spans="2:35">
      <c r="B103" s="514"/>
      <c r="C103" s="438"/>
      <c r="D103" s="452"/>
      <c r="E103" s="452"/>
      <c r="F103" s="452"/>
      <c r="G103" s="452"/>
      <c r="H103" s="584"/>
      <c r="I103" s="452"/>
      <c r="J103" s="584"/>
      <c r="K103" s="584"/>
      <c r="L103" s="584"/>
      <c r="M103" s="584"/>
      <c r="N103" s="584"/>
      <c r="O103" s="584"/>
      <c r="P103" s="584"/>
      <c r="Q103" s="584"/>
      <c r="R103" s="584"/>
      <c r="S103" s="438"/>
      <c r="T103" s="438"/>
      <c r="U103" s="438"/>
      <c r="V103" s="438"/>
      <c r="W103" s="514"/>
      <c r="X103" s="438"/>
      <c r="Y103" s="584"/>
      <c r="Z103" s="582"/>
      <c r="AA103" s="438"/>
      <c r="AB103" s="438"/>
      <c r="AC103" s="438"/>
      <c r="AD103" s="438"/>
      <c r="AE103" s="438"/>
      <c r="AF103" s="438"/>
      <c r="AG103" s="438"/>
      <c r="AH103" s="438"/>
      <c r="AI103" s="438"/>
    </row>
    <row r="104" spans="2:35">
      <c r="B104" s="438"/>
      <c r="C104" s="438"/>
      <c r="D104" s="452"/>
      <c r="E104" s="452"/>
      <c r="F104" s="452"/>
      <c r="G104" s="452"/>
      <c r="H104" s="438"/>
      <c r="I104" s="452"/>
      <c r="J104" s="438"/>
      <c r="K104" s="438"/>
      <c r="L104" s="438"/>
      <c r="M104" s="584"/>
      <c r="N104" s="584"/>
      <c r="O104" s="584"/>
      <c r="P104" s="584"/>
      <c r="Q104" s="584"/>
      <c r="R104" s="584"/>
      <c r="S104" s="438"/>
      <c r="T104" s="438"/>
      <c r="U104" s="438"/>
      <c r="V104" s="438"/>
      <c r="W104" s="438"/>
      <c r="X104" s="438"/>
      <c r="Y104" s="438"/>
      <c r="Z104" s="438"/>
      <c r="AA104" s="438"/>
      <c r="AB104" s="438"/>
      <c r="AC104" s="438"/>
      <c r="AD104" s="438"/>
      <c r="AE104" s="438"/>
      <c r="AF104" s="438"/>
      <c r="AG104" s="438"/>
      <c r="AH104" s="438"/>
      <c r="AI104" s="438"/>
    </row>
    <row r="105" spans="2:35">
      <c r="B105" s="584"/>
      <c r="C105" s="584"/>
      <c r="D105" s="452"/>
      <c r="E105" s="452"/>
      <c r="F105" s="452"/>
      <c r="G105" s="452"/>
      <c r="H105" s="584"/>
      <c r="I105" s="452"/>
      <c r="J105" s="584"/>
      <c r="K105" s="452"/>
      <c r="L105" s="584"/>
      <c r="M105" s="584"/>
      <c r="N105" s="584"/>
      <c r="O105" s="584"/>
      <c r="P105" s="584"/>
      <c r="Q105" s="584"/>
      <c r="R105" s="584"/>
      <c r="S105" s="584"/>
      <c r="T105" s="584"/>
      <c r="U105" s="584"/>
      <c r="V105" s="584"/>
      <c r="W105" s="514"/>
      <c r="X105" s="584"/>
      <c r="Y105" s="584"/>
      <c r="Z105" s="584"/>
      <c r="AA105" s="438"/>
      <c r="AB105" s="438"/>
      <c r="AC105" s="438"/>
      <c r="AD105" s="438"/>
      <c r="AE105" s="438"/>
      <c r="AF105" s="438"/>
      <c r="AG105" s="438"/>
      <c r="AH105" s="438"/>
      <c r="AI105" s="438"/>
    </row>
    <row r="106" spans="2:35">
      <c r="B106" s="584"/>
      <c r="C106" s="584"/>
      <c r="D106" s="584"/>
      <c r="E106" s="584"/>
      <c r="F106" s="584"/>
      <c r="G106" s="584"/>
      <c r="H106" s="584"/>
      <c r="I106" s="584"/>
      <c r="J106" s="584"/>
      <c r="K106" s="584"/>
      <c r="L106" s="584"/>
      <c r="M106" s="584"/>
      <c r="N106" s="584"/>
      <c r="O106" s="584"/>
      <c r="P106" s="584"/>
      <c r="Q106" s="584"/>
      <c r="R106" s="584"/>
      <c r="S106" s="584"/>
      <c r="T106" s="584"/>
      <c r="U106" s="584"/>
      <c r="V106" s="584"/>
      <c r="W106" s="514"/>
      <c r="X106" s="584"/>
      <c r="Y106" s="584"/>
      <c r="Z106" s="584"/>
      <c r="AA106" s="438"/>
      <c r="AB106" s="438"/>
      <c r="AC106" s="438"/>
      <c r="AD106" s="438"/>
      <c r="AE106" s="438"/>
      <c r="AF106" s="438"/>
      <c r="AG106" s="438"/>
      <c r="AH106" s="438"/>
      <c r="AI106" s="438"/>
    </row>
    <row r="107" spans="2:35">
      <c r="B107" s="587"/>
      <c r="C107" s="584"/>
      <c r="D107" s="584"/>
      <c r="E107" s="584"/>
      <c r="F107" s="584"/>
      <c r="G107" s="584"/>
      <c r="H107" s="584"/>
      <c r="I107" s="584"/>
      <c r="J107" s="584"/>
      <c r="K107" s="584"/>
      <c r="L107" s="584"/>
      <c r="M107" s="584"/>
      <c r="N107" s="584"/>
      <c r="O107" s="584"/>
      <c r="P107" s="584"/>
      <c r="Q107" s="584"/>
      <c r="R107" s="584"/>
      <c r="S107" s="584"/>
      <c r="T107" s="584"/>
      <c r="U107" s="584"/>
      <c r="V107" s="584"/>
      <c r="W107" s="584"/>
      <c r="X107" s="584"/>
      <c r="Y107" s="584"/>
      <c r="Z107" s="584"/>
      <c r="AA107" s="438"/>
      <c r="AB107" s="438"/>
      <c r="AC107" s="438"/>
      <c r="AD107" s="438"/>
      <c r="AE107" s="438"/>
      <c r="AF107" s="438"/>
      <c r="AG107" s="438"/>
      <c r="AH107" s="438"/>
      <c r="AI107" s="438"/>
    </row>
    <row r="108" spans="2:35">
      <c r="B108" s="581"/>
      <c r="C108" s="438"/>
      <c r="D108" s="438"/>
      <c r="E108" s="438"/>
      <c r="F108" s="438"/>
      <c r="G108" s="438"/>
      <c r="H108" s="438"/>
      <c r="I108" s="438"/>
      <c r="J108" s="438"/>
      <c r="K108" s="438"/>
      <c r="L108" s="438"/>
      <c r="M108" s="438"/>
      <c r="N108" s="438"/>
      <c r="O108" s="438"/>
      <c r="P108" s="438"/>
      <c r="Q108" s="438"/>
      <c r="R108" s="438"/>
      <c r="S108" s="438"/>
      <c r="T108" s="438"/>
      <c r="U108" s="438"/>
      <c r="V108" s="438"/>
      <c r="W108" s="438"/>
      <c r="X108" s="438"/>
      <c r="Y108" s="438"/>
      <c r="Z108" s="438"/>
      <c r="AA108" s="438"/>
      <c r="AB108" s="438"/>
      <c r="AC108" s="438"/>
      <c r="AD108" s="438"/>
      <c r="AE108" s="438"/>
      <c r="AF108" s="438"/>
      <c r="AG108" s="438"/>
      <c r="AH108" s="438"/>
      <c r="AI108" s="438"/>
    </row>
    <row r="109" spans="2:35">
      <c r="B109" s="430"/>
      <c r="C109" s="438"/>
      <c r="D109" s="588"/>
      <c r="E109" s="438"/>
      <c r="F109" s="438"/>
      <c r="G109" s="438"/>
      <c r="H109" s="438"/>
      <c r="I109" s="438"/>
      <c r="J109" s="438"/>
      <c r="K109" s="588"/>
      <c r="L109" s="438"/>
      <c r="M109" s="589"/>
      <c r="N109" s="589"/>
      <c r="O109" s="589"/>
      <c r="P109" s="589"/>
      <c r="Q109" s="589"/>
      <c r="R109" s="589"/>
      <c r="S109" s="438"/>
      <c r="T109" s="438"/>
      <c r="U109" s="438"/>
      <c r="V109" s="438"/>
      <c r="W109" s="590"/>
      <c r="X109" s="438"/>
      <c r="Y109" s="589"/>
      <c r="Z109" s="438"/>
      <c r="AA109" s="438"/>
      <c r="AB109" s="438"/>
      <c r="AC109" s="438"/>
      <c r="AD109" s="438"/>
      <c r="AE109" s="438"/>
      <c r="AF109" s="438"/>
      <c r="AG109" s="438"/>
      <c r="AH109" s="438"/>
      <c r="AI109" s="438"/>
    </row>
    <row r="110" spans="2:35">
      <c r="B110" s="430"/>
      <c r="C110" s="438"/>
      <c r="D110" s="591"/>
      <c r="E110" s="438"/>
      <c r="F110" s="438"/>
      <c r="G110" s="438"/>
      <c r="H110" s="438"/>
      <c r="I110" s="438"/>
      <c r="J110" s="438"/>
      <c r="K110" s="591"/>
      <c r="L110" s="438"/>
      <c r="M110" s="591"/>
      <c r="N110" s="591"/>
      <c r="O110" s="591"/>
      <c r="P110" s="591"/>
      <c r="Q110" s="591"/>
      <c r="R110" s="591"/>
      <c r="S110" s="438"/>
      <c r="T110" s="438"/>
      <c r="U110" s="438"/>
      <c r="V110" s="438"/>
      <c r="W110" s="590"/>
      <c r="X110" s="438"/>
      <c r="Y110" s="591"/>
      <c r="Z110" s="438"/>
      <c r="AA110" s="438"/>
      <c r="AB110" s="438"/>
      <c r="AC110" s="438"/>
      <c r="AD110" s="438"/>
      <c r="AE110" s="438"/>
      <c r="AF110" s="438"/>
      <c r="AG110" s="438"/>
      <c r="AH110" s="438"/>
      <c r="AI110" s="438"/>
    </row>
    <row r="111" spans="2:35">
      <c r="B111" s="430"/>
      <c r="C111" s="438"/>
      <c r="D111" s="591"/>
      <c r="E111" s="438"/>
      <c r="F111" s="438"/>
      <c r="G111" s="438"/>
      <c r="H111" s="438"/>
      <c r="I111" s="438"/>
      <c r="J111" s="438"/>
      <c r="K111" s="591"/>
      <c r="L111" s="438"/>
      <c r="M111" s="591"/>
      <c r="N111" s="591"/>
      <c r="O111" s="591"/>
      <c r="P111" s="591"/>
      <c r="Q111" s="591"/>
      <c r="R111" s="591"/>
      <c r="S111" s="438"/>
      <c r="T111" s="438"/>
      <c r="U111" s="438"/>
      <c r="V111" s="438"/>
      <c r="W111" s="590"/>
      <c r="X111" s="438"/>
      <c r="Y111" s="591"/>
      <c r="Z111" s="438"/>
      <c r="AA111" s="438"/>
      <c r="AB111" s="438"/>
      <c r="AC111" s="438"/>
      <c r="AD111" s="438"/>
      <c r="AE111" s="438"/>
      <c r="AF111" s="438"/>
      <c r="AG111" s="438"/>
      <c r="AH111" s="438"/>
      <c r="AI111" s="438"/>
    </row>
    <row r="112" spans="2:35">
      <c r="B112" s="430"/>
      <c r="C112" s="438"/>
      <c r="D112" s="591"/>
      <c r="E112" s="438"/>
      <c r="F112" s="438"/>
      <c r="G112" s="438"/>
      <c r="H112" s="438"/>
      <c r="I112" s="438"/>
      <c r="J112" s="438"/>
      <c r="K112" s="591"/>
      <c r="L112" s="438"/>
      <c r="M112" s="591"/>
      <c r="N112" s="591"/>
      <c r="O112" s="591"/>
      <c r="P112" s="591"/>
      <c r="Q112" s="591"/>
      <c r="R112" s="591"/>
      <c r="S112" s="438"/>
      <c r="T112" s="438"/>
      <c r="U112" s="438"/>
      <c r="V112" s="438"/>
      <c r="W112" s="590"/>
      <c r="X112" s="438"/>
      <c r="Y112" s="591"/>
      <c r="Z112" s="438"/>
      <c r="AA112" s="438"/>
      <c r="AB112" s="438"/>
      <c r="AC112" s="438"/>
      <c r="AD112" s="438"/>
      <c r="AE112" s="438"/>
      <c r="AF112" s="438"/>
      <c r="AG112" s="438"/>
      <c r="AH112" s="438"/>
      <c r="AI112" s="438"/>
    </row>
    <row r="113" spans="2:35">
      <c r="B113" s="430"/>
      <c r="C113" s="438"/>
      <c r="D113" s="591"/>
      <c r="E113" s="438"/>
      <c r="F113" s="438"/>
      <c r="G113" s="438"/>
      <c r="H113" s="438"/>
      <c r="I113" s="438"/>
      <c r="J113" s="438"/>
      <c r="K113" s="591"/>
      <c r="L113" s="438"/>
      <c r="M113" s="591"/>
      <c r="N113" s="591"/>
      <c r="O113" s="591"/>
      <c r="P113" s="591"/>
      <c r="Q113" s="591"/>
      <c r="R113" s="591"/>
      <c r="S113" s="438"/>
      <c r="T113" s="438"/>
      <c r="U113" s="438"/>
      <c r="V113" s="438"/>
      <c r="W113" s="590"/>
      <c r="X113" s="438"/>
      <c r="Y113" s="591"/>
      <c r="Z113" s="438"/>
      <c r="AA113" s="438"/>
      <c r="AB113" s="438"/>
      <c r="AC113" s="438"/>
      <c r="AD113" s="438"/>
      <c r="AE113" s="438"/>
      <c r="AF113" s="438"/>
      <c r="AG113" s="438"/>
      <c r="AH113" s="438"/>
      <c r="AI113" s="438"/>
    </row>
    <row r="114" spans="2:35">
      <c r="B114" s="514"/>
      <c r="C114" s="438"/>
      <c r="D114" s="430"/>
      <c r="E114" s="438"/>
      <c r="F114" s="438"/>
      <c r="G114" s="438"/>
      <c r="H114" s="438"/>
      <c r="I114" s="438"/>
      <c r="J114" s="438"/>
      <c r="K114" s="430"/>
      <c r="L114" s="438"/>
      <c r="M114" s="438"/>
      <c r="N114" s="438"/>
      <c r="O114" s="438"/>
      <c r="P114" s="438"/>
      <c r="Q114" s="438"/>
      <c r="R114" s="438"/>
      <c r="S114" s="438"/>
      <c r="T114" s="438"/>
      <c r="U114" s="438"/>
      <c r="V114" s="438"/>
      <c r="W114" s="590"/>
      <c r="X114" s="438"/>
      <c r="Y114" s="438"/>
      <c r="Z114" s="438"/>
      <c r="AA114" s="438"/>
      <c r="AB114" s="438"/>
      <c r="AC114" s="438"/>
      <c r="AD114" s="438"/>
      <c r="AE114" s="438"/>
      <c r="AF114" s="438"/>
      <c r="AG114" s="438"/>
      <c r="AH114" s="438"/>
      <c r="AI114" s="438"/>
    </row>
    <row r="115" spans="2:35">
      <c r="B115" s="514"/>
      <c r="C115" s="438"/>
      <c r="D115" s="588"/>
      <c r="E115" s="438"/>
      <c r="F115" s="438"/>
      <c r="G115" s="438"/>
      <c r="H115" s="438"/>
      <c r="I115" s="438"/>
      <c r="J115" s="438"/>
      <c r="K115" s="588"/>
      <c r="L115" s="438"/>
      <c r="M115" s="588"/>
      <c r="N115" s="588"/>
      <c r="O115" s="588"/>
      <c r="P115" s="588"/>
      <c r="Q115" s="588"/>
      <c r="R115" s="588"/>
      <c r="S115" s="438"/>
      <c r="T115" s="438"/>
      <c r="U115" s="438"/>
      <c r="V115" s="438"/>
      <c r="W115" s="590"/>
      <c r="X115" s="438"/>
      <c r="Y115" s="588"/>
      <c r="Z115" s="438"/>
      <c r="AA115" s="438"/>
      <c r="AB115" s="438"/>
      <c r="AC115" s="438"/>
      <c r="AD115" s="438"/>
      <c r="AE115" s="438"/>
      <c r="AF115" s="438"/>
      <c r="AG115" s="438"/>
      <c r="AH115" s="438"/>
      <c r="AI115" s="438"/>
    </row>
    <row r="116" spans="2:35">
      <c r="B116" s="438"/>
      <c r="C116" s="438"/>
      <c r="D116" s="438"/>
      <c r="E116" s="438"/>
      <c r="F116" s="438"/>
      <c r="G116" s="438"/>
      <c r="H116" s="438"/>
      <c r="I116" s="438"/>
      <c r="J116" s="438"/>
      <c r="K116" s="438"/>
      <c r="L116" s="438"/>
      <c r="M116" s="438"/>
      <c r="N116" s="438"/>
      <c r="O116" s="438"/>
      <c r="P116" s="438"/>
      <c r="Q116" s="438"/>
      <c r="R116" s="438"/>
      <c r="S116" s="438"/>
      <c r="T116" s="438"/>
      <c r="U116" s="438"/>
      <c r="V116" s="438"/>
      <c r="W116" s="438"/>
      <c r="X116" s="438"/>
      <c r="Y116" s="438"/>
      <c r="Z116" s="438"/>
      <c r="AA116" s="438"/>
      <c r="AB116" s="438"/>
      <c r="AC116" s="438"/>
      <c r="AD116" s="438"/>
      <c r="AE116" s="438"/>
      <c r="AF116" s="438"/>
      <c r="AG116" s="438"/>
      <c r="AH116" s="438"/>
      <c r="AI116" s="438"/>
    </row>
    <row r="117" spans="2:35">
      <c r="B117" s="581"/>
      <c r="C117" s="438"/>
      <c r="D117" s="438"/>
      <c r="E117" s="438"/>
      <c r="F117" s="438"/>
      <c r="G117" s="438"/>
      <c r="H117" s="438"/>
      <c r="I117" s="438"/>
      <c r="J117" s="438"/>
      <c r="K117" s="438"/>
      <c r="L117" s="438"/>
      <c r="M117" s="438"/>
      <c r="N117" s="438"/>
      <c r="O117" s="438"/>
      <c r="P117" s="438"/>
      <c r="Q117" s="438"/>
      <c r="R117" s="438"/>
      <c r="S117" s="438"/>
      <c r="T117" s="438"/>
      <c r="U117" s="438"/>
      <c r="V117" s="438"/>
      <c r="W117" s="438"/>
      <c r="X117" s="438"/>
      <c r="Y117" s="438"/>
      <c r="Z117" s="438"/>
      <c r="AA117" s="438"/>
      <c r="AB117" s="438"/>
      <c r="AC117" s="438"/>
      <c r="AD117" s="438"/>
      <c r="AE117" s="438"/>
      <c r="AF117" s="438"/>
      <c r="AG117" s="438"/>
      <c r="AH117" s="438"/>
      <c r="AI117" s="438"/>
    </row>
    <row r="118" spans="2:35">
      <c r="B118" s="580"/>
      <c r="C118" s="438"/>
      <c r="D118" s="438"/>
      <c r="E118" s="438"/>
      <c r="F118" s="438"/>
      <c r="G118" s="438"/>
      <c r="H118" s="438"/>
      <c r="I118" s="438"/>
      <c r="J118" s="438"/>
      <c r="K118" s="438"/>
      <c r="L118" s="438"/>
      <c r="M118" s="438"/>
      <c r="N118" s="438"/>
      <c r="O118" s="438"/>
      <c r="P118" s="438"/>
      <c r="Q118" s="438"/>
      <c r="R118" s="438"/>
      <c r="S118" s="438"/>
      <c r="T118" s="438"/>
      <c r="U118" s="438"/>
      <c r="V118" s="438"/>
      <c r="W118" s="438"/>
      <c r="X118" s="438"/>
      <c r="Y118" s="438"/>
      <c r="Z118" s="438"/>
      <c r="AA118" s="438"/>
      <c r="AB118" s="438"/>
      <c r="AC118" s="438"/>
      <c r="AD118" s="438"/>
      <c r="AE118" s="438"/>
      <c r="AF118" s="438"/>
      <c r="AG118" s="438"/>
      <c r="AH118" s="438"/>
      <c r="AI118" s="438"/>
    </row>
    <row r="119" spans="2:35">
      <c r="B119" s="438"/>
      <c r="C119" s="438"/>
      <c r="D119" s="578"/>
      <c r="E119" s="438"/>
      <c r="F119" s="438"/>
      <c r="G119" s="438"/>
      <c r="H119" s="438"/>
      <c r="I119" s="438"/>
      <c r="J119" s="438"/>
      <c r="K119" s="438"/>
      <c r="L119" s="438"/>
      <c r="M119" s="438"/>
      <c r="N119" s="438"/>
      <c r="O119" s="438"/>
      <c r="P119" s="438"/>
      <c r="Q119" s="438"/>
      <c r="R119" s="438"/>
      <c r="S119" s="438"/>
      <c r="T119" s="438"/>
      <c r="U119" s="438"/>
      <c r="V119" s="438"/>
      <c r="W119" s="438"/>
      <c r="X119" s="438"/>
      <c r="Y119" s="438"/>
      <c r="Z119" s="438"/>
      <c r="AA119" s="438"/>
      <c r="AB119" s="438"/>
      <c r="AC119" s="438"/>
      <c r="AD119" s="438"/>
      <c r="AE119" s="438"/>
      <c r="AF119" s="438"/>
      <c r="AG119" s="438"/>
      <c r="AH119" s="438"/>
      <c r="AI119" s="438"/>
    </row>
    <row r="120" spans="2:35">
      <c r="B120" s="438"/>
      <c r="C120" s="438"/>
      <c r="D120" s="503"/>
      <c r="E120" s="438"/>
      <c r="F120" s="438"/>
      <c r="G120" s="438"/>
      <c r="H120" s="438"/>
      <c r="I120" s="438"/>
      <c r="J120" s="438"/>
      <c r="K120" s="438"/>
      <c r="L120" s="438"/>
      <c r="M120" s="438"/>
      <c r="N120" s="438"/>
      <c r="O120" s="438"/>
      <c r="P120" s="438"/>
      <c r="Q120" s="438"/>
      <c r="R120" s="438"/>
      <c r="S120" s="438"/>
      <c r="T120" s="438"/>
      <c r="U120" s="438"/>
      <c r="V120" s="438"/>
      <c r="W120" s="438"/>
      <c r="X120" s="438"/>
      <c r="Y120" s="438"/>
      <c r="Z120" s="438"/>
      <c r="AA120" s="438"/>
      <c r="AB120" s="438"/>
      <c r="AC120" s="438"/>
      <c r="AD120" s="438"/>
      <c r="AE120" s="438"/>
      <c r="AF120" s="438"/>
      <c r="AG120" s="438"/>
      <c r="AH120" s="438"/>
      <c r="AI120" s="438"/>
    </row>
    <row r="121" spans="2:35">
      <c r="B121" s="438"/>
      <c r="C121" s="438"/>
      <c r="D121" s="503"/>
      <c r="E121" s="438"/>
      <c r="F121" s="438"/>
      <c r="G121" s="438"/>
      <c r="H121" s="438"/>
      <c r="I121" s="438"/>
      <c r="J121" s="438"/>
      <c r="K121" s="438"/>
      <c r="L121" s="438"/>
      <c r="M121" s="438"/>
      <c r="N121" s="438"/>
      <c r="O121" s="438"/>
      <c r="P121" s="438"/>
      <c r="Q121" s="438"/>
      <c r="R121" s="438"/>
      <c r="S121" s="438"/>
      <c r="T121" s="438"/>
      <c r="U121" s="438"/>
      <c r="V121" s="438"/>
      <c r="W121" s="438"/>
      <c r="X121" s="438"/>
      <c r="Y121" s="438"/>
      <c r="Z121" s="438"/>
      <c r="AA121" s="438"/>
      <c r="AB121" s="438"/>
      <c r="AC121" s="438"/>
      <c r="AD121" s="438"/>
      <c r="AE121" s="438"/>
      <c r="AF121" s="438"/>
      <c r="AG121" s="438"/>
      <c r="AH121" s="438"/>
      <c r="AI121" s="438"/>
    </row>
    <row r="122" spans="2:35">
      <c r="B122" s="438"/>
      <c r="C122" s="438"/>
      <c r="D122" s="592"/>
      <c r="E122" s="438"/>
      <c r="F122" s="438"/>
      <c r="G122" s="438"/>
      <c r="H122" s="438"/>
      <c r="I122" s="438"/>
      <c r="J122" s="438"/>
      <c r="K122" s="438"/>
      <c r="L122" s="438"/>
      <c r="M122" s="438"/>
      <c r="N122" s="438"/>
      <c r="O122" s="438"/>
      <c r="P122" s="438"/>
      <c r="Q122" s="438"/>
      <c r="R122" s="438"/>
      <c r="S122" s="438"/>
      <c r="T122" s="438"/>
      <c r="U122" s="438"/>
      <c r="V122" s="438"/>
      <c r="W122" s="438"/>
      <c r="X122" s="438"/>
      <c r="Y122" s="438"/>
      <c r="Z122" s="438"/>
      <c r="AA122" s="438"/>
      <c r="AB122" s="438"/>
      <c r="AC122" s="438"/>
      <c r="AD122" s="438"/>
      <c r="AE122" s="438"/>
      <c r="AF122" s="438"/>
      <c r="AG122" s="438"/>
      <c r="AH122" s="438"/>
      <c r="AI122" s="438"/>
    </row>
    <row r="123" spans="2:35">
      <c r="B123" s="438"/>
      <c r="C123" s="438"/>
      <c r="D123" s="503"/>
      <c r="E123" s="438"/>
      <c r="F123" s="438"/>
      <c r="G123" s="438"/>
      <c r="H123" s="438"/>
      <c r="I123" s="438"/>
      <c r="J123" s="438"/>
      <c r="K123" s="438"/>
      <c r="L123" s="438"/>
      <c r="M123" s="438"/>
      <c r="N123" s="438"/>
      <c r="O123" s="438"/>
      <c r="P123" s="438"/>
      <c r="Q123" s="438"/>
      <c r="R123" s="438"/>
      <c r="S123" s="438"/>
      <c r="T123" s="438"/>
      <c r="U123" s="438"/>
      <c r="V123" s="438"/>
      <c r="W123" s="438"/>
      <c r="X123" s="438"/>
      <c r="Y123" s="438"/>
      <c r="Z123" s="438"/>
      <c r="AA123" s="438"/>
      <c r="AB123" s="438"/>
      <c r="AC123" s="438"/>
      <c r="AD123" s="438"/>
      <c r="AE123" s="438"/>
      <c r="AF123" s="438"/>
      <c r="AG123" s="438"/>
      <c r="AH123" s="438"/>
      <c r="AI123" s="438"/>
    </row>
    <row r="124" spans="2:35">
      <c r="B124" s="438"/>
      <c r="C124" s="438"/>
      <c r="D124" s="503"/>
      <c r="E124" s="438"/>
      <c r="F124" s="438"/>
      <c r="G124" s="438"/>
      <c r="H124" s="438"/>
      <c r="I124" s="438"/>
      <c r="J124" s="438"/>
      <c r="K124" s="438"/>
      <c r="L124" s="438"/>
      <c r="M124" s="438"/>
      <c r="N124" s="438"/>
      <c r="O124" s="438"/>
      <c r="P124" s="438"/>
      <c r="Q124" s="438"/>
      <c r="R124" s="438"/>
      <c r="S124" s="438"/>
      <c r="T124" s="438"/>
      <c r="U124" s="438"/>
      <c r="V124" s="438"/>
      <c r="W124" s="438"/>
      <c r="X124" s="438"/>
      <c r="Y124" s="438"/>
      <c r="Z124" s="438"/>
      <c r="AA124" s="438"/>
      <c r="AB124" s="438"/>
      <c r="AC124" s="438"/>
      <c r="AD124" s="438"/>
      <c r="AE124" s="438"/>
      <c r="AF124" s="438"/>
      <c r="AG124" s="438"/>
      <c r="AH124" s="438"/>
      <c r="AI124" s="438"/>
    </row>
    <row r="125" spans="2:35">
      <c r="B125" s="593"/>
      <c r="C125" s="438"/>
      <c r="D125" s="578"/>
      <c r="E125" s="438"/>
      <c r="F125" s="438"/>
      <c r="G125" s="438"/>
      <c r="H125" s="438"/>
      <c r="I125" s="438"/>
      <c r="J125" s="438"/>
      <c r="K125" s="438"/>
      <c r="L125" s="438"/>
      <c r="M125" s="438"/>
      <c r="N125" s="438"/>
      <c r="O125" s="438"/>
      <c r="P125" s="438"/>
      <c r="Q125" s="438"/>
      <c r="R125" s="438"/>
      <c r="S125" s="438"/>
      <c r="T125" s="438"/>
      <c r="U125" s="438"/>
      <c r="V125" s="438"/>
      <c r="W125" s="438"/>
      <c r="X125" s="438"/>
      <c r="Y125" s="438"/>
      <c r="Z125" s="438"/>
      <c r="AA125" s="438"/>
      <c r="AB125" s="438"/>
      <c r="AC125" s="438"/>
      <c r="AD125" s="438"/>
      <c r="AE125" s="438"/>
      <c r="AF125" s="438"/>
      <c r="AG125" s="438"/>
      <c r="AH125" s="438"/>
      <c r="AI125" s="438"/>
    </row>
    <row r="126" spans="2:35">
      <c r="B126" s="593"/>
      <c r="C126" s="438"/>
      <c r="D126" s="438"/>
      <c r="E126" s="438"/>
      <c r="F126" s="438"/>
      <c r="G126" s="438"/>
      <c r="H126" s="438"/>
      <c r="I126" s="438"/>
      <c r="J126" s="438"/>
      <c r="K126" s="438"/>
      <c r="L126" s="438"/>
      <c r="M126" s="438"/>
      <c r="N126" s="438"/>
      <c r="O126" s="438"/>
      <c r="P126" s="438"/>
      <c r="Q126" s="438"/>
      <c r="R126" s="438"/>
      <c r="S126" s="438"/>
      <c r="T126" s="438"/>
      <c r="U126" s="438"/>
      <c r="V126" s="438"/>
      <c r="W126" s="438"/>
      <c r="X126" s="438"/>
      <c r="Y126" s="438"/>
      <c r="Z126" s="438"/>
      <c r="AA126" s="438"/>
      <c r="AB126" s="438"/>
      <c r="AC126" s="438"/>
      <c r="AD126" s="438"/>
      <c r="AE126" s="438"/>
      <c r="AF126" s="438"/>
      <c r="AG126" s="438"/>
      <c r="AH126" s="438"/>
      <c r="AI126" s="438"/>
    </row>
    <row r="127" spans="2:35">
      <c r="B127" s="438"/>
      <c r="C127" s="427"/>
      <c r="D127" s="438"/>
      <c r="E127" s="438"/>
      <c r="F127" s="438"/>
      <c r="G127" s="438"/>
      <c r="H127" s="438"/>
      <c r="I127" s="438"/>
      <c r="J127" s="438"/>
      <c r="K127" s="438"/>
      <c r="L127" s="438"/>
      <c r="M127" s="438"/>
      <c r="N127" s="438"/>
      <c r="O127" s="438"/>
      <c r="P127" s="438"/>
      <c r="Q127" s="438"/>
      <c r="R127" s="438"/>
      <c r="S127" s="438"/>
      <c r="T127" s="438"/>
      <c r="U127" s="438"/>
      <c r="V127" s="438"/>
      <c r="W127" s="438"/>
      <c r="X127" s="438"/>
      <c r="Y127" s="438"/>
      <c r="Z127" s="438"/>
      <c r="AA127" s="438"/>
      <c r="AB127" s="438"/>
      <c r="AC127" s="438"/>
      <c r="AD127" s="438"/>
      <c r="AE127" s="438"/>
      <c r="AF127" s="438"/>
      <c r="AG127" s="438"/>
      <c r="AH127" s="438"/>
      <c r="AI127" s="438"/>
    </row>
    <row r="128" spans="2:35">
      <c r="B128" s="594"/>
      <c r="C128" s="438"/>
      <c r="D128" s="582"/>
      <c r="E128" s="438"/>
      <c r="F128" s="438"/>
      <c r="G128" s="582"/>
      <c r="H128" s="438"/>
      <c r="I128" s="582"/>
      <c r="J128" s="438"/>
      <c r="K128" s="582"/>
      <c r="L128" s="438"/>
      <c r="M128" s="438"/>
      <c r="N128" s="438"/>
      <c r="O128" s="438"/>
      <c r="P128" s="438"/>
      <c r="Q128" s="438"/>
      <c r="R128" s="438"/>
      <c r="S128" s="438"/>
      <c r="T128" s="438"/>
      <c r="U128" s="438"/>
      <c r="V128" s="438"/>
      <c r="W128" s="438"/>
      <c r="X128" s="438"/>
      <c r="Y128" s="438"/>
      <c r="Z128" s="438"/>
      <c r="AA128" s="438"/>
      <c r="AB128" s="438"/>
      <c r="AC128" s="438"/>
      <c r="AD128" s="438"/>
      <c r="AE128" s="438"/>
      <c r="AF128" s="438"/>
      <c r="AG128" s="438"/>
      <c r="AH128" s="438"/>
      <c r="AI128" s="438"/>
    </row>
    <row r="129" spans="2:35">
      <c r="B129" s="438"/>
      <c r="C129" s="438"/>
      <c r="D129" s="582"/>
      <c r="E129" s="438"/>
      <c r="F129" s="438"/>
      <c r="G129" s="582"/>
      <c r="H129" s="438"/>
      <c r="I129" s="582"/>
      <c r="J129" s="438"/>
      <c r="K129" s="582"/>
      <c r="L129" s="438"/>
      <c r="M129" s="438"/>
      <c r="N129" s="438"/>
      <c r="O129" s="438"/>
      <c r="P129" s="438"/>
      <c r="Q129" s="438"/>
      <c r="R129" s="438"/>
      <c r="S129" s="438"/>
      <c r="T129" s="438"/>
      <c r="U129" s="438"/>
      <c r="V129" s="438"/>
      <c r="W129" s="438"/>
      <c r="X129" s="438"/>
      <c r="Y129" s="438"/>
      <c r="Z129" s="438"/>
      <c r="AA129" s="438"/>
      <c r="AB129" s="438"/>
      <c r="AC129" s="438"/>
      <c r="AD129" s="438"/>
      <c r="AE129" s="438"/>
      <c r="AF129" s="438"/>
      <c r="AG129" s="438"/>
      <c r="AH129" s="438"/>
      <c r="AI129" s="438"/>
    </row>
    <row r="130" spans="2:35">
      <c r="B130" s="438"/>
      <c r="C130" s="438"/>
      <c r="D130" s="578"/>
      <c r="E130" s="438"/>
      <c r="F130" s="438"/>
      <c r="G130" s="514"/>
      <c r="H130" s="438"/>
      <c r="I130" s="514"/>
      <c r="J130" s="438"/>
      <c r="K130" s="595"/>
      <c r="L130" s="438"/>
      <c r="M130" s="438"/>
      <c r="N130" s="438"/>
      <c r="O130" s="438"/>
      <c r="P130" s="438"/>
      <c r="Q130" s="438"/>
      <c r="R130" s="438"/>
      <c r="S130" s="438"/>
      <c r="T130" s="438"/>
      <c r="U130" s="438"/>
      <c r="V130" s="438"/>
      <c r="W130" s="438"/>
      <c r="X130" s="438"/>
      <c r="Y130" s="438"/>
      <c r="Z130" s="438"/>
      <c r="AA130" s="438"/>
      <c r="AB130" s="438"/>
      <c r="AC130" s="438"/>
      <c r="AD130" s="438"/>
      <c r="AE130" s="438"/>
      <c r="AF130" s="438"/>
      <c r="AG130" s="438"/>
      <c r="AH130" s="438"/>
      <c r="AI130" s="438"/>
    </row>
    <row r="131" spans="2:35">
      <c r="B131" s="438"/>
      <c r="C131" s="438"/>
      <c r="D131" s="578"/>
      <c r="E131" s="438"/>
      <c r="F131" s="438"/>
      <c r="G131" s="514"/>
      <c r="H131" s="438"/>
      <c r="I131" s="514"/>
      <c r="J131" s="438"/>
      <c r="K131" s="514"/>
      <c r="L131" s="438"/>
      <c r="M131" s="438"/>
      <c r="N131" s="438"/>
      <c r="O131" s="438"/>
      <c r="P131" s="438"/>
      <c r="Q131" s="438"/>
      <c r="R131" s="438"/>
      <c r="S131" s="438"/>
      <c r="T131" s="438"/>
      <c r="U131" s="438"/>
      <c r="V131" s="438"/>
      <c r="W131" s="438"/>
      <c r="X131" s="438"/>
      <c r="Y131" s="438"/>
      <c r="Z131" s="438"/>
      <c r="AA131" s="438"/>
      <c r="AB131" s="438"/>
      <c r="AC131" s="438"/>
      <c r="AD131" s="438"/>
      <c r="AE131" s="438"/>
      <c r="AF131" s="438"/>
      <c r="AG131" s="438"/>
      <c r="AH131" s="438"/>
      <c r="AI131" s="438"/>
    </row>
    <row r="132" spans="2:35">
      <c r="B132" s="438"/>
      <c r="C132" s="438"/>
      <c r="D132" s="578"/>
      <c r="E132" s="438"/>
      <c r="F132" s="438"/>
      <c r="G132" s="514"/>
      <c r="H132" s="438"/>
      <c r="I132" s="514"/>
      <c r="J132" s="438"/>
      <c r="K132" s="514"/>
      <c r="L132" s="438"/>
      <c r="M132" s="438"/>
      <c r="N132" s="438"/>
      <c r="O132" s="438"/>
      <c r="P132" s="438"/>
      <c r="Q132" s="438"/>
      <c r="R132" s="438"/>
      <c r="S132" s="438"/>
      <c r="T132" s="438"/>
      <c r="U132" s="438"/>
      <c r="V132" s="438"/>
      <c r="W132" s="438"/>
      <c r="X132" s="438"/>
      <c r="Y132" s="438"/>
      <c r="Z132" s="438"/>
      <c r="AA132" s="438"/>
      <c r="AB132" s="438"/>
      <c r="AC132" s="438"/>
      <c r="AD132" s="438"/>
      <c r="AE132" s="438"/>
      <c r="AF132" s="438"/>
      <c r="AG132" s="438"/>
      <c r="AH132" s="438"/>
      <c r="AI132" s="438"/>
    </row>
    <row r="133" spans="2:35">
      <c r="B133" s="438"/>
      <c r="C133" s="438"/>
      <c r="D133" s="578"/>
      <c r="E133" s="438"/>
      <c r="F133" s="438"/>
      <c r="G133" s="514"/>
      <c r="H133" s="438"/>
      <c r="I133" s="514"/>
      <c r="J133" s="438"/>
      <c r="K133" s="514"/>
      <c r="L133" s="438"/>
      <c r="M133" s="438"/>
      <c r="N133" s="438"/>
      <c r="O133" s="438"/>
      <c r="P133" s="438"/>
      <c r="Q133" s="438"/>
      <c r="R133" s="438"/>
      <c r="S133" s="438"/>
      <c r="T133" s="438"/>
      <c r="U133" s="438"/>
      <c r="V133" s="438"/>
      <c r="W133" s="438"/>
      <c r="X133" s="438"/>
      <c r="Y133" s="438"/>
      <c r="Z133" s="438"/>
      <c r="AA133" s="438"/>
      <c r="AB133" s="438"/>
      <c r="AC133" s="438"/>
      <c r="AD133" s="438"/>
      <c r="AE133" s="438"/>
      <c r="AF133" s="438"/>
      <c r="AG133" s="438"/>
      <c r="AH133" s="438"/>
      <c r="AI133" s="438"/>
    </row>
    <row r="134" spans="2:35">
      <c r="B134" s="438"/>
      <c r="C134" s="438"/>
      <c r="D134" s="578"/>
      <c r="E134" s="438"/>
      <c r="F134" s="438"/>
      <c r="G134" s="514"/>
      <c r="H134" s="438"/>
      <c r="I134" s="514"/>
      <c r="J134" s="438"/>
      <c r="K134" s="514"/>
      <c r="L134" s="438"/>
      <c r="M134" s="438"/>
      <c r="N134" s="438"/>
      <c r="O134" s="438"/>
      <c r="P134" s="438"/>
      <c r="Q134" s="438"/>
      <c r="R134" s="438"/>
      <c r="S134" s="438"/>
      <c r="T134" s="438"/>
      <c r="U134" s="438"/>
      <c r="V134" s="438"/>
      <c r="W134" s="438"/>
      <c r="X134" s="438"/>
      <c r="Y134" s="438"/>
      <c r="Z134" s="438"/>
      <c r="AA134" s="438"/>
      <c r="AB134" s="438"/>
      <c r="AC134" s="438"/>
      <c r="AD134" s="438"/>
      <c r="AE134" s="438"/>
      <c r="AF134" s="438"/>
      <c r="AG134" s="438"/>
      <c r="AH134" s="438"/>
      <c r="AI134" s="438"/>
    </row>
    <row r="135" spans="2:35">
      <c r="B135" s="438"/>
      <c r="C135" s="438"/>
      <c r="D135" s="578"/>
      <c r="E135" s="438"/>
      <c r="F135" s="438"/>
      <c r="G135" s="514"/>
      <c r="H135" s="438"/>
      <c r="I135" s="514"/>
      <c r="J135" s="438"/>
      <c r="K135" s="514"/>
      <c r="L135" s="438"/>
      <c r="M135" s="438"/>
      <c r="N135" s="438"/>
      <c r="O135" s="438"/>
      <c r="P135" s="438"/>
      <c r="Q135" s="438"/>
      <c r="R135" s="438"/>
      <c r="S135" s="438"/>
      <c r="T135" s="438"/>
      <c r="U135" s="438"/>
      <c r="V135" s="438"/>
      <c r="W135" s="438"/>
      <c r="X135" s="438"/>
      <c r="Y135" s="438"/>
      <c r="Z135" s="438"/>
      <c r="AA135" s="438"/>
      <c r="AB135" s="438"/>
      <c r="AC135" s="438"/>
      <c r="AD135" s="438"/>
      <c r="AE135" s="438"/>
      <c r="AF135" s="438"/>
      <c r="AG135" s="438"/>
      <c r="AH135" s="438"/>
      <c r="AI135" s="438"/>
    </row>
    <row r="136" spans="2:35">
      <c r="B136" s="438"/>
      <c r="C136" s="438"/>
      <c r="D136" s="578"/>
      <c r="E136" s="438"/>
      <c r="F136" s="438"/>
      <c r="G136" s="514"/>
      <c r="H136" s="438"/>
      <c r="I136" s="514"/>
      <c r="J136" s="438"/>
      <c r="K136" s="514"/>
      <c r="L136" s="438"/>
      <c r="M136" s="438"/>
      <c r="N136" s="438"/>
      <c r="O136" s="438"/>
      <c r="P136" s="438"/>
      <c r="Q136" s="438"/>
      <c r="R136" s="438"/>
      <c r="S136" s="438"/>
      <c r="T136" s="438"/>
      <c r="U136" s="438"/>
      <c r="V136" s="438"/>
      <c r="W136" s="438"/>
      <c r="X136" s="438"/>
      <c r="Y136" s="438"/>
      <c r="Z136" s="438"/>
      <c r="AA136" s="438"/>
      <c r="AB136" s="438"/>
      <c r="AC136" s="438"/>
      <c r="AD136" s="438"/>
      <c r="AE136" s="438"/>
      <c r="AF136" s="438"/>
      <c r="AG136" s="438"/>
      <c r="AH136" s="438"/>
      <c r="AI136" s="438"/>
    </row>
    <row r="137" spans="2:35">
      <c r="B137" s="430"/>
      <c r="C137" s="430"/>
      <c r="D137" s="430"/>
      <c r="E137" s="430"/>
      <c r="F137" s="430"/>
      <c r="G137" s="430"/>
      <c r="H137" s="430"/>
      <c r="I137" s="430"/>
      <c r="J137" s="430"/>
      <c r="K137" s="430"/>
      <c r="L137" s="430"/>
      <c r="M137" s="430"/>
      <c r="N137" s="430"/>
      <c r="O137" s="430"/>
      <c r="P137" s="430"/>
      <c r="Q137" s="430"/>
      <c r="R137" s="430"/>
      <c r="S137" s="430"/>
      <c r="T137" s="430"/>
      <c r="U137" s="430"/>
      <c r="V137" s="430"/>
      <c r="W137" s="430"/>
      <c r="X137" s="430"/>
      <c r="Y137" s="430"/>
      <c r="Z137" s="430"/>
      <c r="AA137" s="430"/>
      <c r="AB137" s="430"/>
      <c r="AC137" s="430"/>
      <c r="AD137" s="430"/>
      <c r="AE137" s="430"/>
      <c r="AF137" s="430"/>
      <c r="AG137" s="430"/>
      <c r="AH137" s="430"/>
      <c r="AI137" s="430"/>
    </row>
    <row r="138" spans="2:35">
      <c r="B138" s="438"/>
      <c r="C138" s="430"/>
      <c r="D138" s="430"/>
      <c r="E138" s="430"/>
      <c r="F138" s="430"/>
      <c r="G138" s="430"/>
      <c r="H138" s="430"/>
      <c r="I138" s="430"/>
      <c r="J138" s="430"/>
      <c r="K138" s="430"/>
      <c r="L138" s="430"/>
      <c r="M138" s="430"/>
      <c r="N138" s="430"/>
      <c r="O138" s="430"/>
      <c r="P138" s="430"/>
      <c r="Q138" s="430"/>
      <c r="R138" s="430"/>
      <c r="S138" s="430"/>
      <c r="T138" s="430"/>
      <c r="U138" s="430"/>
      <c r="V138" s="430"/>
      <c r="W138" s="430"/>
      <c r="X138" s="430"/>
      <c r="Y138" s="430"/>
      <c r="Z138" s="430"/>
      <c r="AA138" s="430"/>
      <c r="AB138" s="430"/>
      <c r="AC138" s="430"/>
      <c r="AD138" s="430"/>
      <c r="AE138" s="430"/>
      <c r="AF138" s="430"/>
      <c r="AG138" s="430"/>
      <c r="AH138" s="430"/>
      <c r="AI138" s="430"/>
    </row>
    <row r="139" spans="2:35">
      <c r="B139" s="430"/>
      <c r="C139" s="430"/>
      <c r="D139" s="430"/>
      <c r="E139" s="430"/>
      <c r="F139" s="430"/>
      <c r="G139" s="430"/>
      <c r="H139" s="430"/>
      <c r="I139" s="430"/>
      <c r="J139" s="430"/>
      <c r="K139" s="430"/>
      <c r="L139" s="430"/>
      <c r="M139" s="430"/>
      <c r="N139" s="430"/>
      <c r="O139" s="430"/>
      <c r="P139" s="430"/>
      <c r="Q139" s="430"/>
      <c r="R139" s="430"/>
      <c r="S139" s="430"/>
      <c r="T139" s="430"/>
      <c r="U139" s="430"/>
      <c r="V139" s="430"/>
      <c r="W139" s="430"/>
      <c r="X139" s="430"/>
      <c r="Y139" s="430"/>
      <c r="Z139" s="430"/>
      <c r="AA139" s="430"/>
      <c r="AB139" s="430"/>
      <c r="AC139" s="430"/>
      <c r="AD139" s="430"/>
      <c r="AE139" s="430"/>
      <c r="AF139" s="430"/>
      <c r="AG139" s="430"/>
      <c r="AH139" s="430"/>
      <c r="AI139" s="430"/>
    </row>
    <row r="140" spans="2:35">
      <c r="B140" s="430"/>
      <c r="C140" s="430"/>
      <c r="D140" s="430"/>
      <c r="E140" s="430"/>
      <c r="F140" s="430"/>
      <c r="G140" s="430"/>
      <c r="H140" s="430"/>
      <c r="I140" s="430"/>
      <c r="J140" s="430"/>
      <c r="K140" s="430"/>
      <c r="L140" s="430"/>
      <c r="M140" s="430"/>
      <c r="N140" s="430"/>
      <c r="O140" s="430"/>
      <c r="P140" s="430"/>
      <c r="Q140" s="430"/>
      <c r="R140" s="430"/>
      <c r="S140" s="430"/>
      <c r="T140" s="430"/>
      <c r="U140" s="430"/>
      <c r="V140" s="430"/>
      <c r="W140" s="430"/>
      <c r="X140" s="430"/>
      <c r="Y140" s="430"/>
      <c r="Z140" s="430"/>
      <c r="AA140" s="430"/>
      <c r="AB140" s="430"/>
      <c r="AC140" s="430"/>
      <c r="AD140" s="430"/>
      <c r="AE140" s="430"/>
      <c r="AF140" s="430"/>
      <c r="AG140" s="430"/>
      <c r="AH140" s="430"/>
      <c r="AI140" s="430"/>
    </row>
    <row r="141" spans="2:35">
      <c r="B141" s="430"/>
      <c r="C141" s="430"/>
      <c r="D141" s="430"/>
      <c r="E141" s="430"/>
      <c r="F141" s="430"/>
      <c r="G141" s="430"/>
      <c r="H141" s="430"/>
      <c r="I141" s="430"/>
      <c r="J141" s="430"/>
      <c r="K141" s="430"/>
      <c r="L141" s="430"/>
      <c r="M141" s="430"/>
      <c r="N141" s="430"/>
      <c r="O141" s="430"/>
      <c r="P141" s="430"/>
      <c r="Q141" s="430"/>
      <c r="R141" s="430"/>
      <c r="S141" s="430"/>
      <c r="T141" s="430"/>
      <c r="U141" s="430"/>
      <c r="V141" s="430"/>
      <c r="W141" s="430"/>
      <c r="X141" s="430"/>
      <c r="Y141" s="430"/>
      <c r="Z141" s="430"/>
      <c r="AA141" s="430"/>
      <c r="AB141" s="430"/>
      <c r="AC141" s="430"/>
      <c r="AD141" s="430"/>
      <c r="AE141" s="430"/>
      <c r="AF141" s="430"/>
      <c r="AG141" s="430"/>
      <c r="AH141" s="430"/>
      <c r="AI141" s="430"/>
    </row>
    <row r="142" spans="2:35">
      <c r="B142" s="430"/>
      <c r="C142" s="430"/>
      <c r="D142" s="430"/>
      <c r="E142" s="430"/>
      <c r="F142" s="430"/>
      <c r="G142" s="430"/>
      <c r="H142" s="430"/>
      <c r="I142" s="430"/>
      <c r="J142" s="430"/>
      <c r="K142" s="430"/>
      <c r="L142" s="430"/>
      <c r="M142" s="430"/>
      <c r="N142" s="430"/>
      <c r="O142" s="430"/>
      <c r="P142" s="430"/>
      <c r="Q142" s="430"/>
      <c r="R142" s="430"/>
      <c r="S142" s="430"/>
      <c r="T142" s="430"/>
      <c r="U142" s="430"/>
      <c r="V142" s="430"/>
      <c r="W142" s="430"/>
      <c r="X142" s="430"/>
      <c r="Y142" s="430"/>
      <c r="Z142" s="430"/>
      <c r="AA142" s="430"/>
      <c r="AB142" s="430"/>
      <c r="AC142" s="430"/>
      <c r="AD142" s="430"/>
      <c r="AE142" s="430"/>
      <c r="AF142" s="430"/>
      <c r="AG142" s="430"/>
      <c r="AH142" s="430"/>
      <c r="AI142" s="430"/>
    </row>
    <row r="143" spans="2:35">
      <c r="B143" s="430"/>
      <c r="C143" s="430"/>
      <c r="D143" s="430"/>
      <c r="E143" s="430"/>
      <c r="F143" s="430"/>
      <c r="G143" s="430"/>
      <c r="H143" s="430"/>
      <c r="I143" s="430"/>
      <c r="J143" s="430"/>
      <c r="K143" s="430"/>
      <c r="L143" s="430"/>
      <c r="M143" s="430"/>
      <c r="N143" s="430"/>
      <c r="O143" s="430"/>
      <c r="P143" s="430"/>
      <c r="Q143" s="430"/>
      <c r="R143" s="430"/>
      <c r="S143" s="430"/>
      <c r="T143" s="430"/>
      <c r="U143" s="430"/>
      <c r="V143" s="430"/>
      <c r="W143" s="430"/>
      <c r="X143" s="430"/>
      <c r="Y143" s="430"/>
      <c r="Z143" s="430"/>
      <c r="AA143" s="430"/>
      <c r="AB143" s="430"/>
      <c r="AC143" s="430"/>
      <c r="AD143" s="430"/>
      <c r="AE143" s="430"/>
      <c r="AF143" s="430"/>
      <c r="AG143" s="430"/>
      <c r="AH143" s="430"/>
      <c r="AI143" s="430"/>
    </row>
    <row r="144" spans="2:35">
      <c r="B144" s="430"/>
      <c r="C144" s="430"/>
      <c r="D144" s="430"/>
      <c r="E144" s="430"/>
      <c r="F144" s="430"/>
      <c r="G144" s="430"/>
      <c r="H144" s="430"/>
      <c r="I144" s="430"/>
      <c r="J144" s="430"/>
      <c r="K144" s="430"/>
      <c r="L144" s="430"/>
      <c r="M144" s="430"/>
      <c r="N144" s="430"/>
      <c r="O144" s="430"/>
      <c r="P144" s="430"/>
      <c r="Q144" s="430"/>
      <c r="R144" s="430"/>
      <c r="S144" s="430"/>
      <c r="T144" s="430"/>
      <c r="U144" s="430"/>
      <c r="V144" s="430"/>
      <c r="W144" s="430"/>
      <c r="X144" s="430"/>
      <c r="Y144" s="430"/>
      <c r="Z144" s="430"/>
      <c r="AA144" s="430"/>
      <c r="AB144" s="430"/>
      <c r="AC144" s="430"/>
      <c r="AD144" s="430"/>
      <c r="AE144" s="430"/>
      <c r="AF144" s="430"/>
      <c r="AG144" s="430"/>
      <c r="AH144" s="430"/>
      <c r="AI144" s="430"/>
    </row>
    <row r="145" spans="2:35">
      <c r="B145" s="430"/>
      <c r="C145" s="430"/>
      <c r="D145" s="430"/>
      <c r="E145" s="430"/>
      <c r="F145" s="430"/>
      <c r="G145" s="430"/>
      <c r="H145" s="430"/>
      <c r="I145" s="430"/>
      <c r="J145" s="430"/>
      <c r="K145" s="430"/>
      <c r="L145" s="430"/>
      <c r="M145" s="430"/>
      <c r="N145" s="430"/>
      <c r="O145" s="430"/>
      <c r="P145" s="430"/>
      <c r="Q145" s="430"/>
      <c r="R145" s="430"/>
      <c r="S145" s="430"/>
      <c r="T145" s="430"/>
      <c r="U145" s="430"/>
      <c r="V145" s="430"/>
      <c r="W145" s="430"/>
      <c r="X145" s="430"/>
      <c r="Y145" s="430"/>
      <c r="Z145" s="430"/>
      <c r="AA145" s="430"/>
      <c r="AB145" s="430"/>
      <c r="AC145" s="430"/>
      <c r="AD145" s="430"/>
      <c r="AE145" s="430"/>
      <c r="AF145" s="430"/>
      <c r="AG145" s="430"/>
      <c r="AH145" s="430"/>
      <c r="AI145" s="430"/>
    </row>
    <row r="146" spans="2:35">
      <c r="B146" s="430"/>
      <c r="C146" s="430"/>
      <c r="D146" s="430"/>
      <c r="E146" s="430"/>
      <c r="F146" s="430"/>
      <c r="G146" s="430"/>
      <c r="H146" s="430"/>
      <c r="I146" s="430"/>
      <c r="J146" s="430"/>
      <c r="K146" s="430"/>
      <c r="L146" s="430"/>
      <c r="M146" s="430"/>
      <c r="N146" s="430"/>
      <c r="O146" s="430"/>
      <c r="P146" s="430"/>
      <c r="Q146" s="430"/>
      <c r="R146" s="430"/>
      <c r="S146" s="430"/>
      <c r="T146" s="430"/>
      <c r="U146" s="430"/>
      <c r="V146" s="430"/>
      <c r="W146" s="430"/>
      <c r="X146" s="430"/>
      <c r="Y146" s="430"/>
      <c r="Z146" s="430"/>
      <c r="AA146" s="430"/>
      <c r="AB146" s="430"/>
      <c r="AC146" s="430"/>
      <c r="AD146" s="430"/>
      <c r="AE146" s="430"/>
      <c r="AF146" s="430"/>
      <c r="AG146" s="430"/>
      <c r="AH146" s="430"/>
      <c r="AI146" s="430"/>
    </row>
    <row r="147" spans="2:35">
      <c r="B147" s="430"/>
      <c r="C147" s="430"/>
      <c r="D147" s="430"/>
      <c r="E147" s="430"/>
      <c r="F147" s="430"/>
      <c r="G147" s="430"/>
      <c r="H147" s="430"/>
      <c r="I147" s="430"/>
      <c r="J147" s="430"/>
      <c r="K147" s="430"/>
      <c r="L147" s="430"/>
      <c r="M147" s="430"/>
      <c r="N147" s="430"/>
      <c r="O147" s="430"/>
      <c r="P147" s="430"/>
      <c r="Q147" s="430"/>
      <c r="R147" s="430"/>
      <c r="S147" s="430"/>
      <c r="T147" s="430"/>
      <c r="U147" s="430"/>
      <c r="V147" s="430"/>
      <c r="W147" s="430"/>
      <c r="X147" s="430"/>
      <c r="Y147" s="430"/>
      <c r="Z147" s="430"/>
      <c r="AA147" s="430"/>
      <c r="AB147" s="430"/>
      <c r="AC147" s="430"/>
      <c r="AD147" s="430"/>
      <c r="AE147" s="430"/>
      <c r="AF147" s="430"/>
      <c r="AG147" s="430"/>
      <c r="AH147" s="430"/>
      <c r="AI147" s="430"/>
    </row>
    <row r="148" spans="2:35">
      <c r="B148" s="430"/>
      <c r="C148" s="430"/>
      <c r="D148" s="430"/>
      <c r="E148" s="430"/>
      <c r="F148" s="430"/>
      <c r="G148" s="430"/>
      <c r="H148" s="430"/>
      <c r="I148" s="430"/>
      <c r="J148" s="430"/>
      <c r="K148" s="430"/>
      <c r="L148" s="430"/>
      <c r="M148" s="430"/>
      <c r="N148" s="430"/>
      <c r="O148" s="430"/>
      <c r="P148" s="430"/>
      <c r="Q148" s="430"/>
      <c r="R148" s="430"/>
      <c r="S148" s="430"/>
      <c r="T148" s="430"/>
      <c r="U148" s="430"/>
      <c r="V148" s="430"/>
      <c r="W148" s="430"/>
      <c r="X148" s="430"/>
      <c r="Y148" s="430"/>
      <c r="Z148" s="430"/>
      <c r="AA148" s="430"/>
      <c r="AB148" s="430"/>
      <c r="AC148" s="430"/>
      <c r="AD148" s="430"/>
      <c r="AE148" s="430"/>
      <c r="AF148" s="430"/>
      <c r="AG148" s="430"/>
      <c r="AH148" s="430"/>
      <c r="AI148" s="430"/>
    </row>
    <row r="149" spans="2:35">
      <c r="B149" s="430"/>
      <c r="C149" s="430"/>
      <c r="D149" s="430"/>
      <c r="E149" s="430"/>
      <c r="F149" s="430"/>
      <c r="G149" s="430"/>
      <c r="H149" s="430"/>
      <c r="I149" s="430"/>
      <c r="J149" s="430"/>
      <c r="K149" s="430"/>
      <c r="L149" s="430"/>
      <c r="M149" s="430"/>
      <c r="N149" s="430"/>
      <c r="O149" s="430"/>
      <c r="P149" s="430"/>
      <c r="Q149" s="430"/>
      <c r="R149" s="430"/>
      <c r="S149" s="430"/>
      <c r="T149" s="430"/>
      <c r="U149" s="430"/>
      <c r="V149" s="430"/>
      <c r="W149" s="430"/>
      <c r="X149" s="430"/>
      <c r="Y149" s="430"/>
      <c r="Z149" s="430"/>
      <c r="AA149" s="430"/>
      <c r="AB149" s="430"/>
      <c r="AC149" s="430"/>
      <c r="AD149" s="430"/>
      <c r="AE149" s="430"/>
      <c r="AF149" s="430"/>
      <c r="AG149" s="430"/>
      <c r="AH149" s="430"/>
      <c r="AI149" s="430"/>
    </row>
  </sheetData>
  <mergeCells count="1">
    <mergeCell ref="AT12:AU12"/>
  </mergeCells>
  <pageMargins left="0.17" right="0.16" top="1" bottom="1" header="0.5" footer="0.5"/>
  <pageSetup scale="46" fitToHeight="0" orientation="landscape" r:id="rId1"/>
  <headerFooter alignWithMargins="0"/>
  <colBreaks count="1" manualBreakCount="1">
    <brk id="27" max="54" man="1"/>
  </col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4">
    <pageSetUpPr fitToPage="1"/>
  </sheetPr>
  <dimension ref="A1:S292"/>
  <sheetViews>
    <sheetView view="pageBreakPreview" topLeftCell="A28" zoomScale="60" zoomScaleNormal="85" workbookViewId="0">
      <selection activeCell="L80" sqref="L80"/>
    </sheetView>
  </sheetViews>
  <sheetFormatPr defaultColWidth="8.90625" defaultRowHeight="15.05"/>
  <cols>
    <col min="1" max="1" width="6" style="678" customWidth="1"/>
    <col min="2" max="2" width="1.453125" style="678" customWidth="1"/>
    <col min="3" max="3" width="62.08984375" style="678" customWidth="1"/>
    <col min="4" max="4" width="18.1796875" style="678" customWidth="1"/>
    <col min="5" max="5" width="14.453125" style="678" customWidth="1"/>
    <col min="6" max="6" width="18.1796875" style="678" customWidth="1"/>
    <col min="7" max="7" width="18" style="678" customWidth="1"/>
    <col min="8" max="8" width="13.90625" style="678" customWidth="1"/>
    <col min="9" max="10" width="12.81640625" style="678" customWidth="1"/>
    <col min="11" max="11" width="13.54296875" style="678" customWidth="1"/>
    <col min="12" max="12" width="15.90625" style="678" customWidth="1"/>
    <col min="13" max="13" width="18" style="678" customWidth="1"/>
    <col min="14" max="14" width="15.453125" style="678" customWidth="1"/>
    <col min="15" max="15" width="14.6328125" style="678" customWidth="1"/>
    <col min="16" max="16" width="13.54296875" style="678" customWidth="1"/>
    <col min="17" max="17" width="16.1796875" style="678" customWidth="1"/>
    <col min="18" max="18" width="8.90625" style="678"/>
    <col min="19" max="19" width="14.36328125" style="678" customWidth="1"/>
    <col min="20" max="16384" width="8.90625" style="678"/>
  </cols>
  <sheetData>
    <row r="1" spans="1:19">
      <c r="N1" s="679"/>
      <c r="Q1" s="679"/>
      <c r="S1" s="679" t="s">
        <v>804</v>
      </c>
    </row>
    <row r="2" spans="1:19">
      <c r="G2" s="680"/>
      <c r="N2" s="679"/>
      <c r="Q2" s="679"/>
      <c r="S2" s="679" t="s">
        <v>224</v>
      </c>
    </row>
    <row r="3" spans="1:19">
      <c r="N3" s="681"/>
      <c r="Q3" s="681"/>
      <c r="S3" s="681" t="str">
        <f>'Attachment H-28A MAIT '!K4</f>
        <v>For the 12 months ended 12/31/2019</v>
      </c>
    </row>
    <row r="5" spans="1:19">
      <c r="A5" s="1356" t="s">
        <v>985</v>
      </c>
      <c r="B5" s="1356"/>
      <c r="C5" s="1356"/>
      <c r="D5" s="1356"/>
      <c r="E5" s="1356"/>
      <c r="F5" s="1356"/>
      <c r="G5" s="1356"/>
      <c r="H5" s="1356"/>
      <c r="I5" s="1356"/>
      <c r="J5" s="1356"/>
      <c r="K5" s="1356"/>
      <c r="L5" s="1356"/>
      <c r="M5" s="1356"/>
      <c r="N5" s="1356"/>
    </row>
    <row r="6" spans="1:19">
      <c r="A6" s="1357" t="s">
        <v>808</v>
      </c>
      <c r="B6" s="1357"/>
      <c r="C6" s="1357"/>
      <c r="D6" s="1357"/>
      <c r="E6" s="1357"/>
      <c r="F6" s="1357"/>
      <c r="G6" s="1357"/>
      <c r="H6" s="1357"/>
      <c r="I6" s="1357"/>
      <c r="J6" s="1357"/>
      <c r="K6" s="1357"/>
      <c r="L6" s="1357"/>
      <c r="M6" s="1357"/>
      <c r="N6" s="1357"/>
    </row>
    <row r="7" spans="1:19">
      <c r="A7" s="1357"/>
      <c r="B7" s="1357"/>
      <c r="C7" s="1357"/>
      <c r="D7" s="1357"/>
      <c r="E7" s="1357"/>
      <c r="F7" s="1357"/>
      <c r="G7" s="1357"/>
      <c r="H7" s="1357"/>
      <c r="I7" s="1357"/>
      <c r="J7" s="1357"/>
      <c r="K7" s="1357"/>
      <c r="L7" s="1357"/>
    </row>
    <row r="8" spans="1:19">
      <c r="A8" s="682"/>
      <c r="C8" s="683"/>
      <c r="D8" s="683"/>
      <c r="F8" s="683"/>
      <c r="H8" s="683"/>
      <c r="I8" s="683"/>
      <c r="J8" s="683"/>
      <c r="K8" s="683"/>
      <c r="L8" s="683"/>
    </row>
    <row r="9" spans="1:19">
      <c r="A9" s="682"/>
      <c r="C9" s="683"/>
      <c r="D9" s="683"/>
      <c r="E9" s="683"/>
      <c r="F9" s="683"/>
      <c r="G9" s="684"/>
      <c r="H9" s="683"/>
      <c r="I9" s="683"/>
      <c r="J9" s="683"/>
      <c r="K9" s="683"/>
      <c r="L9" s="683"/>
    </row>
    <row r="10" spans="1:19">
      <c r="A10" s="682"/>
      <c r="D10" s="683"/>
      <c r="E10" s="683"/>
      <c r="F10" s="683"/>
      <c r="G10" s="684"/>
      <c r="H10" s="683"/>
      <c r="I10" s="683"/>
      <c r="J10" s="683"/>
      <c r="K10" s="683"/>
      <c r="L10" s="683"/>
    </row>
    <row r="11" spans="1:19">
      <c r="A11" s="682"/>
      <c r="C11" s="683"/>
      <c r="D11" s="683"/>
      <c r="E11" s="683"/>
      <c r="F11" s="683"/>
      <c r="G11" s="684"/>
      <c r="K11" s="1359" t="s">
        <v>809</v>
      </c>
      <c r="L11" s="1360"/>
      <c r="M11" s="1360"/>
      <c r="N11" s="1360"/>
      <c r="O11" s="1360"/>
      <c r="P11" s="1360"/>
      <c r="Q11" s="1360"/>
      <c r="R11" s="1360"/>
      <c r="S11" s="1361"/>
    </row>
    <row r="12" spans="1:19">
      <c r="A12" s="682"/>
      <c r="C12" s="683"/>
      <c r="D12" s="683"/>
      <c r="E12" s="683"/>
      <c r="F12" s="683"/>
      <c r="G12" s="683"/>
      <c r="K12" s="685"/>
      <c r="L12" s="686"/>
      <c r="S12" s="687"/>
    </row>
    <row r="13" spans="1:19">
      <c r="C13" s="688" t="s">
        <v>22</v>
      </c>
      <c r="D13" s="688"/>
      <c r="E13" s="688" t="s">
        <v>23</v>
      </c>
      <c r="F13" s="688"/>
      <c r="G13" s="688" t="s">
        <v>24</v>
      </c>
      <c r="I13" s="689" t="s">
        <v>25</v>
      </c>
      <c r="K13" s="690" t="s">
        <v>26</v>
      </c>
      <c r="L13" s="689" t="s">
        <v>27</v>
      </c>
      <c r="O13" s="689" t="s">
        <v>500</v>
      </c>
      <c r="Q13" s="689" t="s">
        <v>501</v>
      </c>
      <c r="S13" s="691" t="s">
        <v>502</v>
      </c>
    </row>
    <row r="14" spans="1:19">
      <c r="C14" s="692"/>
      <c r="D14" s="692"/>
      <c r="E14" s="693"/>
      <c r="F14" s="693"/>
      <c r="G14" s="694"/>
      <c r="K14" s="685"/>
      <c r="S14" s="687"/>
    </row>
    <row r="15" spans="1:19">
      <c r="A15" s="682" t="s">
        <v>5</v>
      </c>
      <c r="C15" s="692"/>
      <c r="D15" s="692"/>
      <c r="E15" s="695" t="s">
        <v>223</v>
      </c>
      <c r="F15" s="695"/>
      <c r="G15" s="696" t="s">
        <v>28</v>
      </c>
      <c r="I15" s="696" t="s">
        <v>11</v>
      </c>
      <c r="K15" s="697" t="s">
        <v>5</v>
      </c>
      <c r="L15" s="695"/>
      <c r="O15" s="695" t="s">
        <v>223</v>
      </c>
      <c r="Q15" s="695" t="s">
        <v>503</v>
      </c>
      <c r="S15" s="698" t="s">
        <v>11</v>
      </c>
    </row>
    <row r="16" spans="1:19">
      <c r="A16" s="682" t="s">
        <v>7</v>
      </c>
      <c r="C16" s="699"/>
      <c r="D16" s="699"/>
      <c r="E16" s="694"/>
      <c r="F16" s="694"/>
      <c r="G16" s="694"/>
      <c r="I16" s="694"/>
      <c r="K16" s="697" t="s">
        <v>7</v>
      </c>
      <c r="S16" s="687"/>
    </row>
    <row r="17" spans="1:19">
      <c r="A17" s="700"/>
      <c r="C17" s="692"/>
      <c r="D17" s="692"/>
      <c r="E17" s="694"/>
      <c r="F17" s="694"/>
      <c r="G17" s="694"/>
      <c r="I17" s="694"/>
      <c r="K17" s="685"/>
      <c r="S17" s="687"/>
    </row>
    <row r="18" spans="1:19">
      <c r="A18" s="701">
        <v>1</v>
      </c>
      <c r="C18" s="692" t="s">
        <v>191</v>
      </c>
      <c r="D18" s="692"/>
      <c r="E18" s="701" t="s">
        <v>844</v>
      </c>
      <c r="F18" s="701"/>
      <c r="G18" s="702">
        <f>'Attachment H-28A MAIT '!I57</f>
        <v>1584539137.284615</v>
      </c>
      <c r="K18" s="685"/>
      <c r="S18" s="687"/>
    </row>
    <row r="19" spans="1:19">
      <c r="A19" s="701">
        <v>2</v>
      </c>
      <c r="C19" s="692" t="s">
        <v>192</v>
      </c>
      <c r="D19" s="692"/>
      <c r="E19" s="701" t="s">
        <v>845</v>
      </c>
      <c r="F19" s="701"/>
      <c r="G19" s="702">
        <f>'Attachment H-28A MAIT '!I73</f>
        <v>1247253656.534615</v>
      </c>
      <c r="K19" s="685"/>
      <c r="S19" s="687"/>
    </row>
    <row r="20" spans="1:19">
      <c r="A20" s="701"/>
      <c r="E20" s="701"/>
      <c r="F20" s="701"/>
      <c r="K20" s="685"/>
      <c r="S20" s="687"/>
    </row>
    <row r="21" spans="1:19">
      <c r="A21" s="701"/>
      <c r="C21" s="692" t="s">
        <v>193</v>
      </c>
      <c r="D21" s="692"/>
      <c r="E21" s="701"/>
      <c r="F21" s="701"/>
      <c r="G21" s="694"/>
      <c r="I21" s="694"/>
      <c r="K21" s="685"/>
      <c r="S21" s="687"/>
    </row>
    <row r="22" spans="1:19">
      <c r="A22" s="701">
        <v>3</v>
      </c>
      <c r="C22" s="692" t="s">
        <v>194</v>
      </c>
      <c r="D22" s="692"/>
      <c r="E22" s="701" t="s">
        <v>861</v>
      </c>
      <c r="F22" s="701"/>
      <c r="G22" s="702">
        <f>'Attachment H-28A MAIT '!I144</f>
        <v>81579778.826937988</v>
      </c>
      <c r="K22" s="685"/>
      <c r="S22" s="687"/>
    </row>
    <row r="23" spans="1:19">
      <c r="A23" s="701">
        <v>4</v>
      </c>
      <c r="C23" s="692" t="s">
        <v>195</v>
      </c>
      <c r="D23" s="692"/>
      <c r="E23" s="701" t="s">
        <v>225</v>
      </c>
      <c r="F23" s="701"/>
      <c r="G23" s="703">
        <f>IF(G22=0,0,G22/G18)</f>
        <v>5.1484862006462781E-2</v>
      </c>
      <c r="I23" s="704">
        <f>G23</f>
        <v>5.1484862006462781E-2</v>
      </c>
      <c r="K23" s="685"/>
      <c r="S23" s="687"/>
    </row>
    <row r="24" spans="1:19">
      <c r="A24" s="701"/>
      <c r="C24" s="692"/>
      <c r="D24" s="692"/>
      <c r="E24" s="701"/>
      <c r="F24" s="701"/>
      <c r="G24" s="703"/>
      <c r="I24" s="704"/>
      <c r="K24" s="685"/>
      <c r="S24" s="687"/>
    </row>
    <row r="25" spans="1:19">
      <c r="A25" s="701"/>
      <c r="C25" s="692" t="s">
        <v>407</v>
      </c>
      <c r="D25" s="692"/>
      <c r="E25" s="701"/>
      <c r="F25" s="701"/>
      <c r="G25" s="703"/>
      <c r="I25" s="704"/>
      <c r="K25" s="685"/>
      <c r="S25" s="687"/>
    </row>
    <row r="26" spans="1:19">
      <c r="A26" s="701">
        <v>5</v>
      </c>
      <c r="C26" s="692" t="s">
        <v>408</v>
      </c>
      <c r="D26" s="692"/>
      <c r="E26" s="701" t="s">
        <v>862</v>
      </c>
      <c r="F26" s="701"/>
      <c r="G26" s="702">
        <f>'Attachment H-28A MAIT '!I148+'Attachment H-28A MAIT '!I149</f>
        <v>3227114</v>
      </c>
      <c r="I26" s="704"/>
      <c r="K26" s="685"/>
      <c r="S26" s="687"/>
    </row>
    <row r="27" spans="1:19">
      <c r="A27" s="701">
        <v>6</v>
      </c>
      <c r="C27" s="692" t="s">
        <v>409</v>
      </c>
      <c r="D27" s="692"/>
      <c r="E27" s="701" t="s">
        <v>226</v>
      </c>
      <c r="F27" s="701"/>
      <c r="G27" s="703">
        <f>G26/G18</f>
        <v>2.0366262492766346E-3</v>
      </c>
      <c r="I27" s="704">
        <f>G27</f>
        <v>2.0366262492766346E-3</v>
      </c>
      <c r="K27" s="685"/>
      <c r="S27" s="687"/>
    </row>
    <row r="28" spans="1:19">
      <c r="A28" s="701"/>
      <c r="C28" s="692"/>
      <c r="D28" s="692"/>
      <c r="E28" s="701"/>
      <c r="F28" s="701"/>
      <c r="G28" s="703"/>
      <c r="I28" s="704"/>
      <c r="K28" s="685"/>
      <c r="S28" s="687"/>
    </row>
    <row r="29" spans="1:19">
      <c r="A29" s="689"/>
      <c r="C29" s="692" t="s">
        <v>196</v>
      </c>
      <c r="D29" s="692"/>
      <c r="E29" s="705"/>
      <c r="F29" s="705"/>
      <c r="G29" s="694"/>
      <c r="I29" s="703"/>
      <c r="K29" s="685"/>
      <c r="S29" s="687"/>
    </row>
    <row r="30" spans="1:19">
      <c r="A30" s="689" t="s">
        <v>200</v>
      </c>
      <c r="C30" s="692" t="s">
        <v>198</v>
      </c>
      <c r="D30" s="692"/>
      <c r="E30" s="701" t="s">
        <v>863</v>
      </c>
      <c r="F30" s="701"/>
      <c r="G30" s="702">
        <f>'Attachment H-28A MAIT '!I162</f>
        <v>683004</v>
      </c>
      <c r="I30" s="703"/>
      <c r="K30" s="685"/>
      <c r="S30" s="687"/>
    </row>
    <row r="31" spans="1:19">
      <c r="A31" s="689" t="s">
        <v>203</v>
      </c>
      <c r="C31" s="692" t="s">
        <v>199</v>
      </c>
      <c r="D31" s="692"/>
      <c r="E31" s="701" t="s">
        <v>410</v>
      </c>
      <c r="F31" s="701"/>
      <c r="G31" s="703">
        <f>IF(G30=0,0,G30/G18)</f>
        <v>4.3104268233503328E-4</v>
      </c>
      <c r="I31" s="704">
        <f>G31</f>
        <v>4.3104268233503328E-4</v>
      </c>
      <c r="K31" s="685"/>
      <c r="S31" s="687"/>
    </row>
    <row r="32" spans="1:19">
      <c r="A32" s="689"/>
      <c r="C32" s="692"/>
      <c r="D32" s="692"/>
      <c r="E32" s="701"/>
      <c r="F32" s="701"/>
      <c r="G32" s="703"/>
      <c r="I32" s="704"/>
      <c r="K32" s="685"/>
      <c r="S32" s="687"/>
    </row>
    <row r="33" spans="1:19">
      <c r="A33" s="706" t="s">
        <v>204</v>
      </c>
      <c r="B33" s="680"/>
      <c r="C33" s="699" t="s">
        <v>201</v>
      </c>
      <c r="D33" s="699"/>
      <c r="E33" s="693" t="s">
        <v>652</v>
      </c>
      <c r="F33" s="693"/>
      <c r="G33" s="707"/>
      <c r="I33" s="708">
        <f>I23+I27+I31</f>
        <v>5.395253093807445E-2</v>
      </c>
      <c r="K33" s="685"/>
      <c r="S33" s="687"/>
    </row>
    <row r="34" spans="1:19">
      <c r="A34" s="689"/>
      <c r="C34" s="692"/>
      <c r="D34" s="692"/>
      <c r="E34" s="701"/>
      <c r="F34" s="701"/>
      <c r="G34" s="694"/>
      <c r="I34" s="703"/>
      <c r="K34" s="685"/>
      <c r="S34" s="687"/>
    </row>
    <row r="35" spans="1:19">
      <c r="A35" s="689"/>
      <c r="C35" s="694" t="s">
        <v>202</v>
      </c>
      <c r="D35" s="694"/>
      <c r="E35" s="701"/>
      <c r="F35" s="701"/>
      <c r="G35" s="694"/>
      <c r="I35" s="703"/>
      <c r="K35" s="690"/>
      <c r="L35" s="694" t="s">
        <v>202</v>
      </c>
      <c r="M35" s="694"/>
      <c r="N35" s="694"/>
      <c r="O35" s="701"/>
      <c r="P35" s="701"/>
      <c r="Q35" s="694"/>
      <c r="S35" s="709"/>
    </row>
    <row r="36" spans="1:19">
      <c r="A36" s="689" t="s">
        <v>206</v>
      </c>
      <c r="C36" s="694" t="s">
        <v>78</v>
      </c>
      <c r="D36" s="694"/>
      <c r="E36" s="701" t="s">
        <v>864</v>
      </c>
      <c r="F36" s="701"/>
      <c r="G36" s="702">
        <f>'Attachment H-28A MAIT '!I177</f>
        <v>26445458.586834129</v>
      </c>
      <c r="I36" s="703"/>
      <c r="K36" s="690" t="s">
        <v>653</v>
      </c>
      <c r="L36" s="694" t="s">
        <v>78</v>
      </c>
      <c r="M36" s="694"/>
      <c r="N36" s="694"/>
      <c r="O36" s="701" t="s">
        <v>847</v>
      </c>
      <c r="P36" s="701"/>
      <c r="Q36" s="702">
        <f>'Attachment 2 - Incentive ROE'!I60</f>
        <v>26445458.586834129</v>
      </c>
      <c r="S36" s="709"/>
    </row>
    <row r="37" spans="1:19">
      <c r="A37" s="689" t="s">
        <v>208</v>
      </c>
      <c r="C37" s="694" t="s">
        <v>205</v>
      </c>
      <c r="D37" s="694"/>
      <c r="E37" s="701" t="s">
        <v>905</v>
      </c>
      <c r="F37" s="701"/>
      <c r="G37" s="703">
        <f>IF(G36=0,0,G36/G19)</f>
        <v>2.1202951338952589E-2</v>
      </c>
      <c r="I37" s="704">
        <f>G37</f>
        <v>2.1202951338952589E-2</v>
      </c>
      <c r="K37" s="690" t="s">
        <v>654</v>
      </c>
      <c r="L37" s="694" t="s">
        <v>205</v>
      </c>
      <c r="M37" s="694"/>
      <c r="N37" s="694"/>
      <c r="O37" s="701" t="s">
        <v>655</v>
      </c>
      <c r="P37" s="701"/>
      <c r="Q37" s="703">
        <f>IF(Q36=0,0,Q36/G19)</f>
        <v>2.1202951338952589E-2</v>
      </c>
      <c r="S37" s="710">
        <f>Q37</f>
        <v>2.1202951338952589E-2</v>
      </c>
    </row>
    <row r="38" spans="1:19">
      <c r="A38" s="689"/>
      <c r="C38" s="694"/>
      <c r="D38" s="694"/>
      <c r="E38" s="701"/>
      <c r="F38" s="701"/>
      <c r="G38" s="694"/>
      <c r="I38" s="703"/>
      <c r="K38" s="690"/>
      <c r="L38" s="694"/>
      <c r="M38" s="694"/>
      <c r="N38" s="694"/>
      <c r="O38" s="701"/>
      <c r="P38" s="701"/>
      <c r="Q38" s="694"/>
      <c r="S38" s="709"/>
    </row>
    <row r="39" spans="1:19">
      <c r="A39" s="689"/>
      <c r="C39" s="692" t="s">
        <v>79</v>
      </c>
      <c r="D39" s="692"/>
      <c r="E39" s="711"/>
      <c r="F39" s="711"/>
      <c r="I39" s="703"/>
      <c r="K39" s="690"/>
      <c r="L39" s="692" t="s">
        <v>79</v>
      </c>
      <c r="M39" s="692"/>
      <c r="N39" s="692"/>
      <c r="O39" s="711"/>
      <c r="P39" s="711"/>
      <c r="S39" s="709"/>
    </row>
    <row r="40" spans="1:19">
      <c r="A40" s="689" t="s">
        <v>210</v>
      </c>
      <c r="C40" s="692" t="s">
        <v>207</v>
      </c>
      <c r="D40" s="692"/>
      <c r="E40" s="701" t="s">
        <v>846</v>
      </c>
      <c r="F40" s="701"/>
      <c r="G40" s="702">
        <f>'Attachment H-28A MAIT '!I179</f>
        <v>80672084.177756757</v>
      </c>
      <c r="I40" s="703"/>
      <c r="K40" s="690" t="s">
        <v>497</v>
      </c>
      <c r="L40" s="692" t="s">
        <v>207</v>
      </c>
      <c r="M40" s="692"/>
      <c r="N40" s="692"/>
      <c r="O40" s="701" t="s">
        <v>848</v>
      </c>
      <c r="P40" s="701"/>
      <c r="Q40" s="702">
        <f>'Attachment 2 - Incentive ROE'!I43</f>
        <v>80672084.177756757</v>
      </c>
      <c r="S40" s="709"/>
    </row>
    <row r="41" spans="1:19">
      <c r="A41" s="689" t="s">
        <v>247</v>
      </c>
      <c r="C41" s="694" t="s">
        <v>209</v>
      </c>
      <c r="D41" s="694"/>
      <c r="E41" s="701" t="s">
        <v>504</v>
      </c>
      <c r="F41" s="701"/>
      <c r="G41" s="704">
        <f>IF(G40=0,0,G40/G19)</f>
        <v>6.4679773641150962E-2</v>
      </c>
      <c r="I41" s="704">
        <f>G41</f>
        <v>6.4679773641150962E-2</v>
      </c>
      <c r="K41" s="690" t="s">
        <v>498</v>
      </c>
      <c r="L41" s="694" t="s">
        <v>209</v>
      </c>
      <c r="M41" s="694"/>
      <c r="N41" s="694"/>
      <c r="O41" s="701" t="s">
        <v>505</v>
      </c>
      <c r="P41" s="701"/>
      <c r="Q41" s="704">
        <f>IF(Q40=0,0,Q40/G19)</f>
        <v>6.4679773641150962E-2</v>
      </c>
      <c r="S41" s="710">
        <f>Q41</f>
        <v>6.4679773641150962E-2</v>
      </c>
    </row>
    <row r="42" spans="1:19">
      <c r="A42" s="689"/>
      <c r="C42" s="692"/>
      <c r="D42" s="692"/>
      <c r="E42" s="701"/>
      <c r="F42" s="701"/>
      <c r="G42" s="694"/>
      <c r="I42" s="703"/>
      <c r="K42" s="690"/>
      <c r="L42" s="692"/>
      <c r="M42" s="692"/>
      <c r="N42" s="692"/>
      <c r="O42" s="701"/>
      <c r="P42" s="701"/>
      <c r="Q42" s="694"/>
      <c r="S42" s="709"/>
    </row>
    <row r="43" spans="1:19">
      <c r="A43" s="706" t="s">
        <v>248</v>
      </c>
      <c r="B43" s="680"/>
      <c r="C43" s="699" t="s">
        <v>211</v>
      </c>
      <c r="D43" s="699"/>
      <c r="E43" s="693" t="s">
        <v>658</v>
      </c>
      <c r="F43" s="693"/>
      <c r="G43" s="707"/>
      <c r="I43" s="708">
        <f>I37+I41</f>
        <v>8.5882724980103547E-2</v>
      </c>
      <c r="K43" s="712" t="s">
        <v>499</v>
      </c>
      <c r="L43" s="699" t="s">
        <v>211</v>
      </c>
      <c r="M43" s="699"/>
      <c r="N43" s="699"/>
      <c r="O43" s="693" t="s">
        <v>656</v>
      </c>
      <c r="P43" s="693"/>
      <c r="Q43" s="707"/>
      <c r="S43" s="713">
        <f>S37+S41</f>
        <v>8.5882724980103547E-2</v>
      </c>
    </row>
    <row r="44" spans="1:19">
      <c r="K44" s="685"/>
      <c r="S44" s="687"/>
    </row>
    <row r="45" spans="1:19">
      <c r="K45" s="714" t="s">
        <v>249</v>
      </c>
      <c r="L45" s="715" t="s">
        <v>605</v>
      </c>
      <c r="M45" s="716"/>
      <c r="N45" s="716"/>
      <c r="O45" s="717"/>
      <c r="P45" s="717" t="s">
        <v>657</v>
      </c>
      <c r="Q45" s="715"/>
      <c r="R45" s="715"/>
      <c r="S45" s="876">
        <f>S43-I43</f>
        <v>0</v>
      </c>
    </row>
    <row r="46" spans="1:19">
      <c r="A46" s="682"/>
      <c r="G46" s="694"/>
    </row>
    <row r="47" spans="1:19">
      <c r="N47" s="718"/>
      <c r="Q47" s="718"/>
      <c r="S47" s="718" t="str">
        <f>S1</f>
        <v>Attachment  H-28A, Attachment 11</v>
      </c>
    </row>
    <row r="48" spans="1:19">
      <c r="N48" s="718"/>
      <c r="Q48" s="718"/>
      <c r="S48" s="718" t="s">
        <v>227</v>
      </c>
    </row>
    <row r="49" spans="1:19">
      <c r="N49" s="718"/>
      <c r="Q49" s="718"/>
      <c r="S49" s="718" t="str">
        <f>S3</f>
        <v>For the 12 months ended 12/31/2019</v>
      </c>
    </row>
    <row r="50" spans="1:19">
      <c r="A50" s="682"/>
      <c r="G50" s="694"/>
    </row>
    <row r="51" spans="1:19">
      <c r="A51" s="682"/>
      <c r="C51" s="692"/>
      <c r="D51" s="692"/>
    </row>
    <row r="52" spans="1:19">
      <c r="A52" s="682"/>
      <c r="C52" s="692"/>
      <c r="D52" s="692"/>
      <c r="L52" s="694"/>
    </row>
    <row r="53" spans="1:19" ht="14.25" customHeight="1">
      <c r="A53" s="682"/>
    </row>
    <row r="54" spans="1:19">
      <c r="A54" s="1363" t="str">
        <f>A5</f>
        <v>Transmission Enhancement Charge (TEC) Worksheet</v>
      </c>
      <c r="B54" s="1363"/>
      <c r="C54" s="1363"/>
      <c r="D54" s="1363"/>
      <c r="E54" s="1363"/>
      <c r="F54" s="1363"/>
      <c r="G54" s="1363"/>
      <c r="H54" s="1363"/>
      <c r="I54" s="1363"/>
      <c r="J54" s="1363"/>
      <c r="K54" s="1363"/>
      <c r="L54" s="1363"/>
      <c r="M54" s="1363"/>
      <c r="N54" s="1363"/>
    </row>
    <row r="55" spans="1:19">
      <c r="A55" s="1364" t="str">
        <f>A6</f>
        <v>To be completed in conjunction with Attachment H-28A</v>
      </c>
      <c r="B55" s="1364"/>
      <c r="C55" s="1364"/>
      <c r="D55" s="1364"/>
      <c r="E55" s="1364"/>
      <c r="F55" s="1364"/>
      <c r="G55" s="1364"/>
      <c r="H55" s="1364"/>
      <c r="I55" s="1364"/>
      <c r="J55" s="1364"/>
      <c r="K55" s="1364"/>
      <c r="L55" s="1364"/>
      <c r="M55" s="1364"/>
      <c r="N55" s="1364"/>
    </row>
    <row r="56" spans="1:19">
      <c r="A56" s="682"/>
      <c r="E56" s="699"/>
      <c r="H56" s="683"/>
      <c r="I56" s="683"/>
      <c r="J56" s="683"/>
      <c r="K56" s="683"/>
      <c r="L56" s="683"/>
    </row>
    <row r="57" spans="1:19">
      <c r="A57" s="682"/>
      <c r="E57" s="699"/>
      <c r="F57" s="699"/>
      <c r="H57" s="683"/>
      <c r="I57" s="683"/>
      <c r="J57" s="683"/>
      <c r="K57" s="683"/>
      <c r="L57" s="683"/>
    </row>
    <row r="58" spans="1:19">
      <c r="A58" s="682"/>
      <c r="C58" s="719">
        <v>-1</v>
      </c>
      <c r="D58" s="719">
        <v>-2</v>
      </c>
      <c r="E58" s="719">
        <v>-3</v>
      </c>
      <c r="F58" s="719">
        <v>-4</v>
      </c>
      <c r="G58" s="719">
        <v>-5</v>
      </c>
      <c r="H58" s="719">
        <v>-6</v>
      </c>
      <c r="I58" s="719">
        <v>-7</v>
      </c>
      <c r="J58" s="719">
        <v>-8</v>
      </c>
      <c r="K58" s="719">
        <v>-9</v>
      </c>
      <c r="L58" s="719">
        <v>-10</v>
      </c>
      <c r="M58" s="719">
        <v>-11</v>
      </c>
      <c r="N58" s="719">
        <v>-12</v>
      </c>
      <c r="O58" s="719">
        <v>-13</v>
      </c>
      <c r="P58" s="719">
        <v>-14</v>
      </c>
      <c r="Q58" s="719"/>
    </row>
    <row r="59" spans="1:19" ht="60.1">
      <c r="A59" s="720" t="s">
        <v>212</v>
      </c>
      <c r="B59" s="721"/>
      <c r="C59" s="722" t="s">
        <v>213</v>
      </c>
      <c r="D59" s="723" t="s">
        <v>229</v>
      </c>
      <c r="E59" s="724" t="s">
        <v>340</v>
      </c>
      <c r="F59" s="724" t="s">
        <v>201</v>
      </c>
      <c r="G59" s="725" t="s">
        <v>214</v>
      </c>
      <c r="H59" s="724" t="s">
        <v>215</v>
      </c>
      <c r="I59" s="724" t="s">
        <v>211</v>
      </c>
      <c r="J59" s="725" t="s">
        <v>216</v>
      </c>
      <c r="K59" s="724" t="s">
        <v>217</v>
      </c>
      <c r="L59" s="726" t="s">
        <v>411</v>
      </c>
      <c r="M59" s="726" t="s">
        <v>677</v>
      </c>
      <c r="N59" s="726" t="s">
        <v>602</v>
      </c>
      <c r="O59" s="726" t="s">
        <v>295</v>
      </c>
      <c r="P59" s="726" t="s">
        <v>603</v>
      </c>
    </row>
    <row r="60" spans="1:19" ht="46.5" customHeight="1">
      <c r="A60" s="727"/>
      <c r="B60" s="728"/>
      <c r="C60" s="728"/>
      <c r="D60" s="728"/>
      <c r="E60" s="729" t="s">
        <v>673</v>
      </c>
      <c r="F60" s="729" t="s">
        <v>671</v>
      </c>
      <c r="G60" s="730" t="s">
        <v>218</v>
      </c>
      <c r="H60" s="729" t="s">
        <v>674</v>
      </c>
      <c r="I60" s="750" t="s">
        <v>672</v>
      </c>
      <c r="J60" s="730" t="s">
        <v>219</v>
      </c>
      <c r="K60" s="729" t="s">
        <v>164</v>
      </c>
      <c r="L60" s="731" t="s">
        <v>412</v>
      </c>
      <c r="M60" s="731" t="s">
        <v>906</v>
      </c>
      <c r="N60" s="731" t="s">
        <v>604</v>
      </c>
      <c r="O60" s="731" t="s">
        <v>441</v>
      </c>
      <c r="P60" s="731" t="s">
        <v>675</v>
      </c>
    </row>
    <row r="61" spans="1:19">
      <c r="A61" s="732"/>
      <c r="B61" s="683"/>
      <c r="C61" s="688"/>
      <c r="D61" s="683"/>
      <c r="E61" s="683"/>
      <c r="F61" s="683"/>
      <c r="G61" s="733"/>
      <c r="H61" s="683"/>
      <c r="I61" s="683"/>
      <c r="J61" s="733"/>
      <c r="K61" s="683"/>
      <c r="L61" s="733"/>
      <c r="M61" s="733"/>
      <c r="N61" s="733"/>
      <c r="O61" s="733"/>
      <c r="P61" s="733"/>
    </row>
    <row r="62" spans="1:19" ht="30.05">
      <c r="A62" s="697" t="s">
        <v>640</v>
      </c>
      <c r="B62" s="705"/>
      <c r="C62" s="1012" t="s">
        <v>1215</v>
      </c>
      <c r="D62" s="1013" t="s">
        <v>1216</v>
      </c>
      <c r="E62" s="702">
        <f>'Attach 11a - TEC Cost Support'!E10</f>
        <v>12637431.433846155</v>
      </c>
      <c r="F62" s="704">
        <f>$I$33</f>
        <v>5.395253093807445E-2</v>
      </c>
      <c r="G62" s="734">
        <f>E62*F62</f>
        <v>681821.41041237919</v>
      </c>
      <c r="H62" s="702">
        <f>'Attach 11a - TEC Cost Support'!AI10</f>
        <v>10226367.860372182</v>
      </c>
      <c r="I62" s="704">
        <f>$I$43</f>
        <v>8.5882724980103547E-2</v>
      </c>
      <c r="J62" s="734">
        <f>H62*I62</f>
        <v>878268.33849771402</v>
      </c>
      <c r="K62" s="1014">
        <v>193352.70089174999</v>
      </c>
      <c r="L62" s="735">
        <f t="shared" ref="L62" si="0">G62+J62+K62</f>
        <v>1753442.4498018431</v>
      </c>
      <c r="M62" s="1255">
        <f>H62*$S$45</f>
        <v>0</v>
      </c>
      <c r="N62" s="735">
        <f>L62+M62</f>
        <v>1753442.4498018431</v>
      </c>
      <c r="O62" s="736"/>
      <c r="P62" s="1295">
        <f>N62+O62</f>
        <v>1753442.4498018431</v>
      </c>
    </row>
    <row r="63" spans="1:19">
      <c r="A63" s="697" t="s">
        <v>641</v>
      </c>
      <c r="C63" s="842" t="s">
        <v>1217</v>
      </c>
      <c r="D63" s="843" t="s">
        <v>1218</v>
      </c>
      <c r="E63" s="702">
        <f>'Attach 11a - TEC Cost Support'!E11</f>
        <v>3207134.230769231</v>
      </c>
      <c r="F63" s="704">
        <f t="shared" ref="F63:F78" si="1">$I$33</f>
        <v>5.395253093807445E-2</v>
      </c>
      <c r="G63" s="734">
        <f t="shared" ref="G63:G68" si="2">E63*F63</f>
        <v>173033.00880813453</v>
      </c>
      <c r="H63" s="702">
        <f>'Attach 11a - TEC Cost Support'!AI11</f>
        <v>2833315.1288596154</v>
      </c>
      <c r="I63" s="704">
        <f t="shared" ref="I63:I78" si="3">$I$43</f>
        <v>8.5882724980103547E-2</v>
      </c>
      <c r="J63" s="734">
        <f t="shared" ref="J63:J68" si="4">H63*I63</f>
        <v>243332.823993817</v>
      </c>
      <c r="K63" s="1015">
        <v>44258.452362500007</v>
      </c>
      <c r="L63" s="735">
        <f t="shared" ref="L63:L68" si="5">G63+J63+K63</f>
        <v>460624.28516445158</v>
      </c>
      <c r="M63" s="1255">
        <f t="shared" ref="M63:M68" si="6">H63*$S$45</f>
        <v>0</v>
      </c>
      <c r="N63" s="735">
        <f t="shared" ref="N63:N68" si="7">L63+M63</f>
        <v>460624.28516445158</v>
      </c>
      <c r="O63" s="736"/>
      <c r="P63" s="735">
        <f t="shared" ref="P63:P68" si="8">N63+O63</f>
        <v>460624.28516445158</v>
      </c>
    </row>
    <row r="64" spans="1:19">
      <c r="A64" s="697" t="s">
        <v>642</v>
      </c>
      <c r="C64" s="842" t="s">
        <v>1220</v>
      </c>
      <c r="D64" s="843" t="s">
        <v>1221</v>
      </c>
      <c r="E64" s="702">
        <f>'Attach 11a - TEC Cost Support'!E12</f>
        <v>1380393.0999999999</v>
      </c>
      <c r="F64" s="704">
        <f t="shared" si="1"/>
        <v>5.395253093807445E-2</v>
      </c>
      <c r="G64" s="734">
        <f t="shared" si="2"/>
        <v>74475.701434454488</v>
      </c>
      <c r="H64" s="702">
        <f>'Attach 11a - TEC Cost Support'!AI12</f>
        <v>1113734.9753203958</v>
      </c>
      <c r="I64" s="704">
        <f t="shared" si="3"/>
        <v>8.5882724980103547E-2</v>
      </c>
      <c r="J64" s="734">
        <f t="shared" si="4"/>
        <v>95650.594586163963</v>
      </c>
      <c r="K64" s="1015">
        <v>18939.90852170335</v>
      </c>
      <c r="L64" s="735">
        <f t="shared" si="5"/>
        <v>189066.20454232182</v>
      </c>
      <c r="M64" s="1255">
        <f t="shared" si="6"/>
        <v>0</v>
      </c>
      <c r="N64" s="735">
        <f>L64+M64</f>
        <v>189066.20454232182</v>
      </c>
      <c r="O64" s="736"/>
      <c r="P64" s="735">
        <f t="shared" si="8"/>
        <v>189066.20454232182</v>
      </c>
    </row>
    <row r="65" spans="1:16">
      <c r="A65" s="697" t="s">
        <v>1219</v>
      </c>
      <c r="C65" s="842" t="s">
        <v>1223</v>
      </c>
      <c r="D65" s="843" t="s">
        <v>1224</v>
      </c>
      <c r="E65" s="702">
        <f>'Attach 11a - TEC Cost Support'!E13</f>
        <v>1038334.66</v>
      </c>
      <c r="F65" s="704">
        <f t="shared" si="1"/>
        <v>5.395253093807445E-2</v>
      </c>
      <c r="G65" s="734">
        <f t="shared" si="2"/>
        <v>56020.782867725015</v>
      </c>
      <c r="H65" s="702">
        <f>'Attach 11a - TEC Cost Support'!AI13</f>
        <v>943718.04526500008</v>
      </c>
      <c r="I65" s="704">
        <f t="shared" si="3"/>
        <v>8.5882724980103547E-2</v>
      </c>
      <c r="J65" s="734">
        <f t="shared" si="4"/>
        <v>81049.077340254909</v>
      </c>
      <c r="K65" s="1015">
        <v>14329.018308000004</v>
      </c>
      <c r="L65" s="735">
        <f t="shared" si="5"/>
        <v>151398.87851597992</v>
      </c>
      <c r="M65" s="1255">
        <f t="shared" si="6"/>
        <v>0</v>
      </c>
      <c r="N65" s="735">
        <f>L65+M65</f>
        <v>151398.87851597992</v>
      </c>
      <c r="O65" s="736"/>
      <c r="P65" s="735">
        <f t="shared" si="8"/>
        <v>151398.87851597992</v>
      </c>
    </row>
    <row r="66" spans="1:16">
      <c r="A66" s="697" t="s">
        <v>1222</v>
      </c>
      <c r="C66" s="842" t="s">
        <v>1226</v>
      </c>
      <c r="D66" s="843" t="s">
        <v>1227</v>
      </c>
      <c r="E66" s="702">
        <f>'Attach 11a - TEC Cost Support'!E14</f>
        <v>927946.84</v>
      </c>
      <c r="F66" s="704">
        <f t="shared" si="1"/>
        <v>5.395253093807445E-2</v>
      </c>
      <c r="G66" s="734">
        <f t="shared" si="2"/>
        <v>50065.080593988423</v>
      </c>
      <c r="H66" s="702">
        <f>'Attach 11a - TEC Cost Support'!AI14</f>
        <v>819444.21402000019</v>
      </c>
      <c r="I66" s="704">
        <f t="shared" si="3"/>
        <v>8.5882724980103547E-2</v>
      </c>
      <c r="J66" s="734">
        <f t="shared" si="4"/>
        <v>70376.102069216795</v>
      </c>
      <c r="K66" s="1015">
        <v>12805.666391999997</v>
      </c>
      <c r="L66" s="735">
        <f t="shared" si="5"/>
        <v>133246.84905520521</v>
      </c>
      <c r="M66" s="1255">
        <f t="shared" si="6"/>
        <v>0</v>
      </c>
      <c r="N66" s="735">
        <f t="shared" si="7"/>
        <v>133246.84905520521</v>
      </c>
      <c r="O66" s="736"/>
      <c r="P66" s="735">
        <f t="shared" si="8"/>
        <v>133246.84905520521</v>
      </c>
    </row>
    <row r="67" spans="1:16">
      <c r="A67" s="697" t="s">
        <v>1225</v>
      </c>
      <c r="C67" s="842" t="s">
        <v>1229</v>
      </c>
      <c r="D67" s="843" t="s">
        <v>1230</v>
      </c>
      <c r="E67" s="702">
        <f>'Attach 11a - TEC Cost Support'!E15</f>
        <v>2177814.3700000006</v>
      </c>
      <c r="F67" s="704">
        <f t="shared" si="1"/>
        <v>5.395253093807445E-2</v>
      </c>
      <c r="G67" s="734">
        <f t="shared" si="2"/>
        <v>117498.59717480815</v>
      </c>
      <c r="H67" s="702">
        <f>'Attach 11a - TEC Cost Support'!AI15</f>
        <v>1923517.3564771893</v>
      </c>
      <c r="I67" s="704">
        <f t="shared" si="3"/>
        <v>8.5882724980103547E-2</v>
      </c>
      <c r="J67" s="734">
        <f t="shared" si="4"/>
        <v>165196.91212078626</v>
      </c>
      <c r="K67" s="1015">
        <v>29867.18387449962</v>
      </c>
      <c r="L67" s="735">
        <f t="shared" si="5"/>
        <v>312562.69317009405</v>
      </c>
      <c r="M67" s="1255">
        <f t="shared" si="6"/>
        <v>0</v>
      </c>
      <c r="N67" s="735">
        <f t="shared" si="7"/>
        <v>312562.69317009405</v>
      </c>
      <c r="O67" s="736"/>
      <c r="P67" s="735">
        <f t="shared" si="8"/>
        <v>312562.69317009405</v>
      </c>
    </row>
    <row r="68" spans="1:16">
      <c r="A68" s="697" t="s">
        <v>1228</v>
      </c>
      <c r="C68" s="842" t="s">
        <v>1232</v>
      </c>
      <c r="D68" s="843" t="s">
        <v>1233</v>
      </c>
      <c r="E68" s="702">
        <f>'Attach 11a - TEC Cost Support'!E16</f>
        <v>10662990.764615379</v>
      </c>
      <c r="F68" s="704">
        <f t="shared" si="1"/>
        <v>5.395253093807445E-2</v>
      </c>
      <c r="G68" s="734">
        <f t="shared" si="2"/>
        <v>575295.33912031341</v>
      </c>
      <c r="H68" s="702">
        <f>'Attach 11a - TEC Cost Support'!AI16</f>
        <v>10011901.119837724</v>
      </c>
      <c r="I68" s="704">
        <f t="shared" si="3"/>
        <v>8.5882724980103547E-2</v>
      </c>
      <c r="J68" s="734">
        <f t="shared" si="4"/>
        <v>859849.35040301399</v>
      </c>
      <c r="K68" s="1015">
        <v>146906.45258862918</v>
      </c>
      <c r="L68" s="735">
        <f t="shared" si="5"/>
        <v>1582051.1421119566</v>
      </c>
      <c r="M68" s="1255">
        <f t="shared" si="6"/>
        <v>0</v>
      </c>
      <c r="N68" s="735">
        <f t="shared" si="7"/>
        <v>1582051.1421119566</v>
      </c>
      <c r="O68" s="736"/>
      <c r="P68" s="735">
        <f t="shared" si="8"/>
        <v>1582051.1421119566</v>
      </c>
    </row>
    <row r="69" spans="1:16" ht="25.7">
      <c r="A69" s="697" t="s">
        <v>1231</v>
      </c>
      <c r="C69" s="846" t="s">
        <v>1234</v>
      </c>
      <c r="D69" s="843" t="s">
        <v>1235</v>
      </c>
      <c r="E69" s="702">
        <f>'Attach 11a - TEC Cost Support'!E17</f>
        <v>61487666.600769244</v>
      </c>
      <c r="F69" s="704">
        <f>$I$33</f>
        <v>5.395253093807445E-2</v>
      </c>
      <c r="G69" s="734">
        <f>E69*F69</f>
        <v>3317415.2345880098</v>
      </c>
      <c r="H69" s="702">
        <f>'Attach 11a - TEC Cost Support'!AI17</f>
        <v>60521411.82249967</v>
      </c>
      <c r="I69" s="704">
        <f>$I$43</f>
        <v>8.5882724980103547E-2</v>
      </c>
      <c r="J69" s="734">
        <f>H69*I69</f>
        <v>5197743.7669593263</v>
      </c>
      <c r="K69" s="1015">
        <v>884789.10608220636</v>
      </c>
      <c r="L69" s="735">
        <f>G69+J69+K69</f>
        <v>9399948.1076295432</v>
      </c>
      <c r="M69" s="1255">
        <f>H69*$S$45</f>
        <v>0</v>
      </c>
      <c r="N69" s="735">
        <f>L69+M69</f>
        <v>9399948.1076295432</v>
      </c>
      <c r="O69" s="736"/>
      <c r="P69" s="735">
        <f>N69+O69</f>
        <v>9399948.1076295432</v>
      </c>
    </row>
    <row r="70" spans="1:16">
      <c r="A70" s="697" t="s">
        <v>1381</v>
      </c>
      <c r="C70" s="846" t="s">
        <v>1373</v>
      </c>
      <c r="D70" s="843" t="s">
        <v>1374</v>
      </c>
      <c r="E70" s="702">
        <f>'Attach 11a - TEC Cost Support'!E18</f>
        <v>130995.06000000004</v>
      </c>
      <c r="F70" s="704">
        <f t="shared" ref="F70:F73" si="9">$I$33</f>
        <v>5.395253093807445E-2</v>
      </c>
      <c r="G70" s="734">
        <f t="shared" ref="G70:G73" si="10">E70*F70</f>
        <v>7067.5150273849213</v>
      </c>
      <c r="H70" s="702">
        <f>'Attach 11a - TEC Cost Support'!AI18</f>
        <v>111358.72317500004</v>
      </c>
      <c r="I70" s="704">
        <f t="shared" ref="I70:I73" si="11">$I$43</f>
        <v>8.5882724980103547E-2</v>
      </c>
      <c r="J70" s="734">
        <f t="shared" ref="J70:J73" si="12">H70*I70</f>
        <v>9563.7905965740119</v>
      </c>
      <c r="K70" s="1015">
        <v>2685.3987300000003</v>
      </c>
      <c r="L70" s="735">
        <f t="shared" ref="L70:L73" si="13">G70+J70+K70</f>
        <v>19316.704353958936</v>
      </c>
      <c r="M70" s="1255">
        <f>H70*$S$45</f>
        <v>0</v>
      </c>
      <c r="N70" s="735">
        <f t="shared" ref="N70:N73" si="14">L70+M70</f>
        <v>19316.704353958936</v>
      </c>
      <c r="O70" s="736"/>
      <c r="P70" s="735">
        <f t="shared" ref="P70:P73" si="15">N70+O70</f>
        <v>19316.704353958936</v>
      </c>
    </row>
    <row r="71" spans="1:16">
      <c r="A71" s="697" t="s">
        <v>1236</v>
      </c>
      <c r="C71" s="846" t="s">
        <v>1375</v>
      </c>
      <c r="D71" s="843" t="s">
        <v>1376</v>
      </c>
      <c r="E71" s="702">
        <f>'Attach 11a - TEC Cost Support'!E19</f>
        <v>87274.76</v>
      </c>
      <c r="F71" s="704">
        <f t="shared" si="9"/>
        <v>5.395253093807445E-2</v>
      </c>
      <c r="G71" s="734">
        <f t="shared" si="10"/>
        <v>4708.694189013022</v>
      </c>
      <c r="H71" s="702">
        <f>'Attach 11a - TEC Cost Support'!AI19</f>
        <v>75428.247376875021</v>
      </c>
      <c r="I71" s="704">
        <f t="shared" si="11"/>
        <v>8.5882724980103547E-2</v>
      </c>
      <c r="J71" s="734">
        <f t="shared" si="12"/>
        <v>6477.9834251993743</v>
      </c>
      <c r="K71" s="1015">
        <v>1789.1325800000004</v>
      </c>
      <c r="L71" s="735">
        <f t="shared" si="13"/>
        <v>12975.810194212398</v>
      </c>
      <c r="M71" s="1255">
        <f t="shared" ref="M71:M73" si="16">H71*$S$45</f>
        <v>0</v>
      </c>
      <c r="N71" s="735">
        <f t="shared" si="14"/>
        <v>12975.810194212398</v>
      </c>
      <c r="O71" s="736"/>
      <c r="P71" s="735">
        <f t="shared" si="15"/>
        <v>12975.810194212398</v>
      </c>
    </row>
    <row r="72" spans="1:16">
      <c r="A72" s="697" t="s">
        <v>1239</v>
      </c>
      <c r="C72" s="846" t="s">
        <v>1377</v>
      </c>
      <c r="D72" s="843" t="s">
        <v>1378</v>
      </c>
      <c r="E72" s="702">
        <f>'Attach 11a - TEC Cost Support'!E20</f>
        <v>51019.640769230777</v>
      </c>
      <c r="F72" s="704">
        <f t="shared" si="9"/>
        <v>5.395253093807445E-2</v>
      </c>
      <c r="G72" s="734">
        <f t="shared" si="10"/>
        <v>2752.6387470513682</v>
      </c>
      <c r="H72" s="702">
        <f>'Attach 11a - TEC Cost Support'!AI20</f>
        <v>45793.03340225642</v>
      </c>
      <c r="I72" s="704">
        <f t="shared" si="11"/>
        <v>8.5882724980103547E-2</v>
      </c>
      <c r="J72" s="734">
        <f t="shared" si="12"/>
        <v>3932.8304936906834</v>
      </c>
      <c r="K72" s="1015">
        <v>653.9484746666667</v>
      </c>
      <c r="L72" s="735">
        <f t="shared" si="13"/>
        <v>7339.4177154087183</v>
      </c>
      <c r="M72" s="1255">
        <f t="shared" si="16"/>
        <v>0</v>
      </c>
      <c r="N72" s="735">
        <f t="shared" si="14"/>
        <v>7339.4177154087183</v>
      </c>
      <c r="O72" s="736"/>
      <c r="P72" s="735">
        <f t="shared" si="15"/>
        <v>7339.4177154087183</v>
      </c>
    </row>
    <row r="73" spans="1:16">
      <c r="A73" s="697" t="s">
        <v>1241</v>
      </c>
      <c r="C73" s="846" t="s">
        <v>1379</v>
      </c>
      <c r="D73" s="843" t="s">
        <v>1380</v>
      </c>
      <c r="E73" s="702">
        <f>'Attach 11a - TEC Cost Support'!E21</f>
        <v>40780.75230769231</v>
      </c>
      <c r="F73" s="704">
        <f t="shared" si="9"/>
        <v>5.395253093807445E-2</v>
      </c>
      <c r="G73" s="734">
        <f t="shared" si="10"/>
        <v>2200.2248005587203</v>
      </c>
      <c r="H73" s="702">
        <f>'Attach 11a - TEC Cost Support'!AI21</f>
        <v>30182.431284695533</v>
      </c>
      <c r="I73" s="704">
        <f t="shared" si="11"/>
        <v>8.5882724980103547E-2</v>
      </c>
      <c r="J73" s="734">
        <f t="shared" si="12"/>
        <v>2592.1494452543798</v>
      </c>
      <c r="K73" s="1015">
        <v>849.69119208333336</v>
      </c>
      <c r="L73" s="735">
        <f t="shared" si="13"/>
        <v>5642.0654378964337</v>
      </c>
      <c r="M73" s="1255">
        <f t="shared" si="16"/>
        <v>0</v>
      </c>
      <c r="N73" s="735">
        <f t="shared" si="14"/>
        <v>5642.0654378964337</v>
      </c>
      <c r="O73" s="736"/>
      <c r="P73" s="735">
        <f t="shared" si="15"/>
        <v>5642.0654378964337</v>
      </c>
    </row>
    <row r="74" spans="1:16" ht="21.95" customHeight="1">
      <c r="A74" s="697" t="s">
        <v>1252</v>
      </c>
      <c r="C74" s="846" t="s">
        <v>1357</v>
      </c>
      <c r="D74" s="843" t="s">
        <v>1404</v>
      </c>
      <c r="E74" s="702">
        <f>'Attach 11a - TEC Cost Support'!E22</f>
        <v>5967806.8438461535</v>
      </c>
      <c r="F74" s="704">
        <f>$I$33</f>
        <v>5.395253093807445E-2</v>
      </c>
      <c r="G74" s="734">
        <f>E74*F74</f>
        <v>321978.28337506205</v>
      </c>
      <c r="H74" s="702">
        <f>'Attach 11a - TEC Cost Support'!AI22</f>
        <v>5819069.8021980282</v>
      </c>
      <c r="I74" s="704">
        <f t="shared" si="3"/>
        <v>8.5882724980103547E-2</v>
      </c>
      <c r="J74" s="734">
        <f>H74*I74</f>
        <v>499757.5714621988</v>
      </c>
      <c r="K74" s="1015">
        <v>122333.5469560417</v>
      </c>
      <c r="L74" s="735">
        <f>G74+J74+K74</f>
        <v>944069.40179330262</v>
      </c>
      <c r="M74" s="1255">
        <f>H74*$S$45</f>
        <v>0</v>
      </c>
      <c r="N74" s="735">
        <f>L74+M74</f>
        <v>944069.40179330262</v>
      </c>
      <c r="O74" s="736"/>
      <c r="P74" s="735">
        <f>N74+O74</f>
        <v>944069.40179330262</v>
      </c>
    </row>
    <row r="75" spans="1:16" ht="30.05">
      <c r="A75" s="697" t="s">
        <v>1382</v>
      </c>
      <c r="C75" s="846" t="s">
        <v>1237</v>
      </c>
      <c r="D75" s="845" t="s">
        <v>1238</v>
      </c>
      <c r="E75" s="702">
        <f>'Attach 11a - TEC Cost Support'!E23</f>
        <v>2214932.7292307694</v>
      </c>
      <c r="F75" s="704">
        <f t="shared" si="1"/>
        <v>5.395253093807445E-2</v>
      </c>
      <c r="G75" s="734">
        <f t="shared" ref="G75:G78" si="17">E75*F75</f>
        <v>119501.22659957677</v>
      </c>
      <c r="H75" s="702">
        <f>'Attach 11a - TEC Cost Support'!AI23</f>
        <v>2100389.2964327885</v>
      </c>
      <c r="I75" s="704">
        <f t="shared" si="3"/>
        <v>8.5882724980103547E-2</v>
      </c>
      <c r="J75" s="734">
        <f>H75*I75</f>
        <v>180387.15629669037</v>
      </c>
      <c r="K75" s="1015">
        <v>54487.861322375</v>
      </c>
      <c r="L75" s="735">
        <f t="shared" ref="L75:L78" si="18">G75+J75+K75</f>
        <v>354376.24421864212</v>
      </c>
      <c r="M75" s="1255">
        <f t="shared" ref="M75:M78" si="19">H75*$S$45</f>
        <v>0</v>
      </c>
      <c r="N75" s="735">
        <f t="shared" ref="N75:N78" si="20">L75+M75</f>
        <v>354376.24421864212</v>
      </c>
      <c r="O75" s="736"/>
      <c r="P75" s="735">
        <f t="shared" ref="P75:P78" si="21">N75+O75</f>
        <v>354376.24421864212</v>
      </c>
    </row>
    <row r="76" spans="1:16" ht="30.05">
      <c r="A76" s="697" t="s">
        <v>1383</v>
      </c>
      <c r="C76" s="846" t="s">
        <v>1237</v>
      </c>
      <c r="D76" s="845" t="s">
        <v>1240</v>
      </c>
      <c r="E76" s="702">
        <f>'Attach 11a - TEC Cost Support'!E24</f>
        <v>2214932.7292307694</v>
      </c>
      <c r="F76" s="704">
        <f t="shared" si="1"/>
        <v>5.395253093807445E-2</v>
      </c>
      <c r="G76" s="734">
        <f t="shared" si="17"/>
        <v>119501.22659957677</v>
      </c>
      <c r="H76" s="702">
        <f>'Attach 11a - TEC Cost Support'!AI24</f>
        <v>2100389.2964327885</v>
      </c>
      <c r="I76" s="704">
        <f t="shared" si="3"/>
        <v>8.5882724980103547E-2</v>
      </c>
      <c r="J76" s="734">
        <f>H76*I76</f>
        <v>180387.15629669037</v>
      </c>
      <c r="K76" s="1015">
        <v>54487.861322375</v>
      </c>
      <c r="L76" s="735">
        <f t="shared" si="18"/>
        <v>354376.24421864212</v>
      </c>
      <c r="M76" s="1255">
        <f t="shared" si="19"/>
        <v>0</v>
      </c>
      <c r="N76" s="735">
        <f t="shared" si="20"/>
        <v>354376.24421864212</v>
      </c>
      <c r="O76" s="736"/>
      <c r="P76" s="735">
        <f t="shared" si="21"/>
        <v>354376.24421864212</v>
      </c>
    </row>
    <row r="77" spans="1:16">
      <c r="A77" s="697" t="s">
        <v>1384</v>
      </c>
      <c r="C77" s="842" t="s">
        <v>1242</v>
      </c>
      <c r="D77" s="843" t="s">
        <v>1243</v>
      </c>
      <c r="E77" s="702">
        <f>'Attach 11a - TEC Cost Support'!E25</f>
        <v>6023169.0675999988</v>
      </c>
      <c r="F77" s="704">
        <f t="shared" si="1"/>
        <v>5.395253093807445E-2</v>
      </c>
      <c r="G77" s="734">
        <f t="shared" si="17"/>
        <v>324965.21546494198</v>
      </c>
      <c r="H77" s="702">
        <f>'Attach 11a - TEC Cost Support'!AI25</f>
        <v>5752400.1168344989</v>
      </c>
      <c r="I77" s="704">
        <f t="shared" si="3"/>
        <v>8.5882724980103547E-2</v>
      </c>
      <c r="J77" s="734">
        <f t="shared" ref="J77:J78" si="22">H77*I77</f>
        <v>494031.79720961279</v>
      </c>
      <c r="K77" s="1015">
        <v>132509.71948720003</v>
      </c>
      <c r="L77" s="735">
        <f t="shared" si="18"/>
        <v>951506.73216175474</v>
      </c>
      <c r="M77" s="1255">
        <f t="shared" si="19"/>
        <v>0</v>
      </c>
      <c r="N77" s="735">
        <f t="shared" si="20"/>
        <v>951506.73216175474</v>
      </c>
      <c r="O77" s="736"/>
      <c r="P77" s="735">
        <f t="shared" si="21"/>
        <v>951506.73216175474</v>
      </c>
    </row>
    <row r="78" spans="1:16">
      <c r="A78" s="697" t="s">
        <v>1385</v>
      </c>
      <c r="C78" s="842" t="s">
        <v>1253</v>
      </c>
      <c r="D78" s="843" t="s">
        <v>1251</v>
      </c>
      <c r="E78" s="702">
        <f>'Attach 11a - TEC Cost Support'!E26</f>
        <v>2721722.0754769226</v>
      </c>
      <c r="F78" s="704">
        <f t="shared" si="1"/>
        <v>5.395253093807445E-2</v>
      </c>
      <c r="G78" s="734">
        <f t="shared" si="17"/>
        <v>146843.79448200887</v>
      </c>
      <c r="H78" s="702">
        <f>'Attach 11a - TEC Cost Support'!AI26</f>
        <v>2597325.7594577433</v>
      </c>
      <c r="I78" s="704">
        <f t="shared" si="3"/>
        <v>8.5882724980103547E-2</v>
      </c>
      <c r="J78" s="734">
        <f t="shared" si="22"/>
        <v>223065.41388324794</v>
      </c>
      <c r="K78" s="1015">
        <v>59877.891780299877</v>
      </c>
      <c r="L78" s="735">
        <f t="shared" si="18"/>
        <v>429787.10014555667</v>
      </c>
      <c r="M78" s="1255">
        <f t="shared" si="19"/>
        <v>0</v>
      </c>
      <c r="N78" s="735">
        <f t="shared" si="20"/>
        <v>429787.10014555667</v>
      </c>
      <c r="O78" s="736"/>
      <c r="P78" s="735">
        <f t="shared" si="21"/>
        <v>429787.10014555667</v>
      </c>
    </row>
    <row r="79" spans="1:16">
      <c r="A79" s="685"/>
      <c r="C79" s="291"/>
      <c r="D79" s="291"/>
      <c r="E79" s="291"/>
      <c r="F79" s="291"/>
      <c r="G79" s="737"/>
      <c r="H79" s="291"/>
      <c r="I79" s="291"/>
      <c r="J79" s="737"/>
      <c r="K79" s="291"/>
      <c r="L79" s="737"/>
      <c r="M79" s="737"/>
      <c r="N79" s="737"/>
      <c r="O79" s="737"/>
      <c r="P79" s="737"/>
    </row>
    <row r="80" spans="1:16">
      <c r="A80" s="685"/>
      <c r="C80" s="291"/>
      <c r="D80" s="291"/>
      <c r="E80" s="291"/>
      <c r="F80" s="291"/>
      <c r="G80" s="737"/>
      <c r="H80" s="291"/>
      <c r="I80" s="291"/>
      <c r="J80" s="737"/>
      <c r="K80" s="291"/>
      <c r="L80" s="737"/>
      <c r="M80" s="737"/>
      <c r="N80" s="737"/>
      <c r="O80" s="737"/>
      <c r="P80" s="737"/>
    </row>
    <row r="81" spans="1:16">
      <c r="A81" s="685"/>
      <c r="C81" s="291"/>
      <c r="D81" s="291"/>
      <c r="E81" s="291"/>
      <c r="F81" s="291"/>
      <c r="G81" s="737"/>
      <c r="H81" s="291"/>
      <c r="I81" s="291"/>
      <c r="J81" s="737"/>
      <c r="K81" s="291"/>
      <c r="L81" s="737"/>
      <c r="M81" s="737"/>
      <c r="N81" s="737"/>
      <c r="O81" s="737"/>
      <c r="P81" s="737"/>
    </row>
    <row r="82" spans="1:16">
      <c r="A82" s="685"/>
      <c r="C82" s="291"/>
      <c r="D82" s="291"/>
      <c r="E82" s="291"/>
      <c r="F82" s="291"/>
      <c r="G82" s="737"/>
      <c r="H82" s="291"/>
      <c r="I82" s="291"/>
      <c r="J82" s="737"/>
      <c r="K82" s="291"/>
      <c r="L82" s="737"/>
      <c r="M82" s="737"/>
      <c r="N82" s="737"/>
      <c r="O82" s="737"/>
      <c r="P82" s="737"/>
    </row>
    <row r="83" spans="1:16">
      <c r="A83" s="738"/>
      <c r="B83" s="716"/>
      <c r="C83" s="739"/>
      <c r="D83" s="739"/>
      <c r="E83" s="739"/>
      <c r="F83" s="739"/>
      <c r="G83" s="740"/>
      <c r="H83" s="739"/>
      <c r="I83" s="739"/>
      <c r="J83" s="740"/>
      <c r="K83" s="739"/>
      <c r="L83" s="740"/>
      <c r="M83" s="740"/>
      <c r="N83" s="740"/>
      <c r="O83" s="740"/>
      <c r="P83" s="740"/>
    </row>
    <row r="84" spans="1:16">
      <c r="A84" s="689" t="s">
        <v>245</v>
      </c>
      <c r="C84" s="678" t="s">
        <v>805</v>
      </c>
      <c r="D84" s="692"/>
      <c r="E84" s="705"/>
      <c r="F84" s="705"/>
      <c r="G84" s="694"/>
      <c r="H84" s="694"/>
      <c r="I84" s="694"/>
      <c r="J84" s="694"/>
      <c r="K84" s="694"/>
      <c r="L84" s="741"/>
      <c r="M84" s="741"/>
      <c r="N84" s="1268">
        <f>SUM(N62:N83)</f>
        <v>17061730.330230769</v>
      </c>
      <c r="O84" s="702"/>
      <c r="P84" s="741"/>
    </row>
    <row r="85" spans="1:16">
      <c r="A85" s="742" t="s">
        <v>246</v>
      </c>
      <c r="B85" s="291"/>
      <c r="C85" s="678" t="s">
        <v>928</v>
      </c>
      <c r="D85" s="291"/>
      <c r="E85" s="291"/>
      <c r="F85" s="291"/>
      <c r="G85" s="291"/>
      <c r="H85" s="291"/>
      <c r="I85" s="291"/>
      <c r="J85" s="291"/>
      <c r="K85" s="291"/>
      <c r="L85" s="291"/>
      <c r="M85" s="291">
        <f>SUM(M62:M83)</f>
        <v>0</v>
      </c>
      <c r="N85" s="291"/>
      <c r="O85" s="291"/>
    </row>
    <row r="86" spans="1:16">
      <c r="A86" s="291"/>
      <c r="B86" s="291"/>
      <c r="C86" s="291"/>
      <c r="D86" s="291"/>
      <c r="E86" s="291"/>
      <c r="F86" s="291"/>
      <c r="G86" s="291"/>
      <c r="H86" s="291"/>
      <c r="I86" s="291"/>
      <c r="J86" s="291"/>
      <c r="K86" s="291"/>
      <c r="L86" s="291"/>
      <c r="M86" s="291"/>
      <c r="N86" s="291"/>
      <c r="O86" s="291"/>
    </row>
    <row r="87" spans="1:16">
      <c r="A87" s="743" t="s">
        <v>230</v>
      </c>
      <c r="B87" s="291"/>
      <c r="C87" s="291"/>
      <c r="D87" s="291"/>
      <c r="E87" s="291"/>
      <c r="F87" s="291"/>
      <c r="G87" s="291"/>
      <c r="H87" s="291"/>
      <c r="I87" s="291"/>
      <c r="J87" s="291"/>
      <c r="K87" s="291"/>
      <c r="L87" s="291"/>
    </row>
    <row r="88" spans="1:16">
      <c r="A88" s="705" t="s">
        <v>123</v>
      </c>
      <c r="C88" s="1362" t="s">
        <v>806</v>
      </c>
      <c r="D88" s="1362"/>
      <c r="E88" s="1362"/>
      <c r="F88" s="1362"/>
      <c r="G88" s="1362"/>
      <c r="H88" s="1362"/>
      <c r="I88" s="1362"/>
      <c r="J88" s="1362"/>
      <c r="K88" s="1362"/>
      <c r="L88" s="1362"/>
    </row>
    <row r="89" spans="1:16">
      <c r="A89" s="705" t="s">
        <v>124</v>
      </c>
      <c r="C89" s="1362" t="s">
        <v>807</v>
      </c>
      <c r="D89" s="1362"/>
      <c r="E89" s="1362"/>
      <c r="F89" s="1362"/>
      <c r="G89" s="1362"/>
      <c r="H89" s="1362"/>
      <c r="I89" s="1362"/>
      <c r="J89" s="1362"/>
      <c r="K89" s="1362"/>
      <c r="L89" s="1362"/>
    </row>
    <row r="90" spans="1:16" ht="15.05" customHeight="1">
      <c r="A90" s="744" t="s">
        <v>125</v>
      </c>
      <c r="C90" s="1358" t="s">
        <v>232</v>
      </c>
      <c r="D90" s="1358"/>
      <c r="E90" s="1358"/>
      <c r="F90" s="1358"/>
      <c r="G90" s="1358"/>
      <c r="H90" s="1358"/>
      <c r="I90" s="1358"/>
      <c r="J90" s="1358"/>
      <c r="K90" s="1358"/>
      <c r="L90" s="1358"/>
    </row>
    <row r="91" spans="1:16">
      <c r="A91" s="744" t="s">
        <v>126</v>
      </c>
      <c r="C91" s="1358" t="s">
        <v>220</v>
      </c>
      <c r="D91" s="1358"/>
      <c r="E91" s="1358"/>
      <c r="F91" s="1358"/>
      <c r="G91" s="1358"/>
      <c r="H91" s="1358"/>
      <c r="I91" s="1358"/>
      <c r="J91" s="1358"/>
      <c r="K91" s="1358"/>
      <c r="L91" s="1358"/>
    </row>
    <row r="92" spans="1:16">
      <c r="A92" s="705" t="s">
        <v>127</v>
      </c>
      <c r="C92" s="1362" t="s">
        <v>880</v>
      </c>
      <c r="D92" s="1362"/>
      <c r="E92" s="1362"/>
      <c r="F92" s="1362"/>
      <c r="G92" s="1362"/>
      <c r="H92" s="1362"/>
      <c r="I92" s="1362"/>
      <c r="J92" s="1362"/>
      <c r="K92" s="1362"/>
      <c r="L92" s="1362"/>
    </row>
    <row r="93" spans="1:16">
      <c r="A93" s="705" t="s">
        <v>128</v>
      </c>
      <c r="C93" s="678" t="s">
        <v>676</v>
      </c>
    </row>
    <row r="94" spans="1:16">
      <c r="A94" s="705" t="s">
        <v>129</v>
      </c>
      <c r="C94" s="678" t="s">
        <v>881</v>
      </c>
    </row>
    <row r="95" spans="1:16">
      <c r="A95" s="705" t="s">
        <v>131</v>
      </c>
      <c r="C95" s="678" t="s">
        <v>496</v>
      </c>
      <c r="D95" s="689"/>
      <c r="E95" s="705"/>
      <c r="F95" s="705"/>
      <c r="G95" s="694"/>
      <c r="J95" s="746"/>
    </row>
    <row r="96" spans="1:16">
      <c r="A96" s="689"/>
      <c r="C96" s="766"/>
      <c r="D96" s="689"/>
      <c r="E96" s="705"/>
      <c r="F96" s="705"/>
      <c r="G96" s="694"/>
      <c r="J96" s="746"/>
    </row>
    <row r="97" spans="3:12">
      <c r="C97" s="291"/>
      <c r="D97" s="291"/>
      <c r="E97" s="291"/>
      <c r="F97" s="291"/>
      <c r="G97" s="291"/>
      <c r="H97" s="291"/>
      <c r="I97" s="291"/>
      <c r="J97" s="291"/>
      <c r="K97" s="291"/>
      <c r="L97" s="291"/>
    </row>
    <row r="98" spans="3:12">
      <c r="C98" s="291"/>
      <c r="D98" s="291"/>
      <c r="E98" s="291"/>
      <c r="F98" s="291"/>
      <c r="G98" s="291"/>
      <c r="H98" s="291"/>
      <c r="I98" s="291"/>
      <c r="J98" s="291"/>
      <c r="K98" s="291"/>
      <c r="L98" s="291"/>
    </row>
    <row r="99" spans="3:12">
      <c r="C99" s="291"/>
      <c r="D99" s="291"/>
      <c r="E99" s="291"/>
      <c r="F99" s="291"/>
      <c r="G99" s="291"/>
      <c r="H99" s="291"/>
      <c r="I99" s="291"/>
      <c r="J99" s="291"/>
      <c r="K99" s="291"/>
      <c r="L99" s="291"/>
    </row>
    <row r="100" spans="3:12">
      <c r="C100" s="291"/>
      <c r="D100" s="291"/>
      <c r="E100" s="291"/>
      <c r="F100" s="291"/>
      <c r="G100" s="291"/>
      <c r="H100" s="291"/>
      <c r="I100" s="291"/>
      <c r="J100" s="291"/>
      <c r="K100" s="291"/>
      <c r="L100" s="291"/>
    </row>
    <row r="101" spans="3:12">
      <c r="C101" s="291"/>
      <c r="D101" s="291"/>
      <c r="E101" s="291"/>
      <c r="F101" s="291"/>
      <c r="G101" s="291"/>
      <c r="H101" s="291"/>
      <c r="I101" s="291"/>
      <c r="J101" s="291"/>
      <c r="K101" s="291"/>
      <c r="L101" s="291"/>
    </row>
    <row r="102" spans="3:12">
      <c r="C102" s="291"/>
      <c r="D102" s="291"/>
      <c r="E102" s="291"/>
      <c r="F102" s="291"/>
      <c r="G102" s="291"/>
      <c r="H102" s="291"/>
      <c r="I102" s="291"/>
      <c r="J102" s="291"/>
      <c r="K102" s="291"/>
      <c r="L102" s="291"/>
    </row>
    <row r="103" spans="3:12">
      <c r="C103" s="291"/>
      <c r="D103" s="291"/>
      <c r="E103" s="291"/>
      <c r="F103" s="291"/>
      <c r="G103" s="291"/>
      <c r="H103" s="291"/>
      <c r="I103" s="291"/>
      <c r="J103" s="291"/>
      <c r="K103" s="291"/>
      <c r="L103" s="291"/>
    </row>
    <row r="104" spans="3:12">
      <c r="C104" s="291"/>
      <c r="D104" s="291"/>
      <c r="E104" s="291"/>
      <c r="F104" s="291"/>
      <c r="G104" s="291"/>
      <c r="H104" s="291"/>
      <c r="I104" s="291"/>
      <c r="J104" s="291"/>
      <c r="K104" s="291"/>
      <c r="L104" s="291"/>
    </row>
    <row r="105" spans="3:12">
      <c r="C105" s="291"/>
      <c r="D105" s="291"/>
      <c r="E105" s="291"/>
      <c r="F105" s="291"/>
      <c r="G105" s="291"/>
      <c r="H105" s="291"/>
      <c r="I105" s="291"/>
      <c r="J105" s="291"/>
      <c r="K105" s="291"/>
      <c r="L105" s="291"/>
    </row>
    <row r="106" spans="3:12">
      <c r="C106" s="291"/>
      <c r="D106" s="291"/>
      <c r="E106" s="291"/>
      <c r="F106" s="291"/>
      <c r="G106" s="291"/>
      <c r="H106" s="291"/>
      <c r="I106" s="291"/>
      <c r="J106" s="291"/>
      <c r="K106" s="291"/>
      <c r="L106" s="291"/>
    </row>
    <row r="107" spans="3:12">
      <c r="C107" s="291"/>
      <c r="D107" s="291"/>
      <c r="E107" s="291"/>
      <c r="F107" s="291"/>
      <c r="G107" s="291"/>
      <c r="H107" s="291"/>
      <c r="I107" s="291"/>
      <c r="J107" s="291"/>
      <c r="K107" s="291"/>
      <c r="L107" s="291"/>
    </row>
    <row r="108" spans="3:12">
      <c r="C108" s="291"/>
      <c r="D108" s="291"/>
      <c r="E108" s="291"/>
      <c r="F108" s="291"/>
      <c r="G108" s="291"/>
      <c r="H108" s="291"/>
      <c r="I108" s="291"/>
      <c r="J108" s="291"/>
      <c r="K108" s="291"/>
      <c r="L108" s="291"/>
    </row>
    <row r="109" spans="3:12">
      <c r="C109" s="291"/>
      <c r="D109" s="291"/>
      <c r="E109" s="291"/>
      <c r="F109" s="291"/>
      <c r="G109" s="291"/>
      <c r="H109" s="291"/>
      <c r="I109" s="291"/>
      <c r="J109" s="291"/>
      <c r="K109" s="291"/>
      <c r="L109" s="291"/>
    </row>
    <row r="110" spans="3:12">
      <c r="C110" s="291"/>
      <c r="D110" s="291"/>
      <c r="E110" s="291"/>
      <c r="F110" s="291"/>
      <c r="G110" s="291"/>
      <c r="H110" s="291"/>
      <c r="I110" s="291"/>
      <c r="J110" s="291"/>
      <c r="K110" s="291"/>
      <c r="L110" s="291"/>
    </row>
    <row r="111" spans="3:12">
      <c r="C111" s="291"/>
      <c r="D111" s="291"/>
      <c r="E111" s="291"/>
      <c r="F111" s="291"/>
      <c r="G111" s="291"/>
      <c r="H111" s="291"/>
      <c r="I111" s="291"/>
      <c r="J111" s="291"/>
      <c r="K111" s="291"/>
      <c r="L111" s="291"/>
    </row>
    <row r="112" spans="3:12">
      <c r="C112" s="291"/>
      <c r="D112" s="291"/>
      <c r="E112" s="291"/>
      <c r="F112" s="291"/>
      <c r="G112" s="291"/>
      <c r="H112" s="291"/>
      <c r="I112" s="291"/>
      <c r="J112" s="291"/>
      <c r="K112" s="291"/>
      <c r="L112" s="291"/>
    </row>
    <row r="113" spans="3:12">
      <c r="C113" s="291"/>
      <c r="D113" s="291"/>
      <c r="E113" s="291"/>
      <c r="F113" s="291"/>
      <c r="G113" s="291"/>
      <c r="H113" s="291"/>
      <c r="I113" s="291"/>
      <c r="J113" s="291"/>
      <c r="K113" s="291"/>
      <c r="L113" s="291"/>
    </row>
    <row r="114" spans="3:12">
      <c r="C114" s="291"/>
      <c r="D114" s="291"/>
      <c r="E114" s="291"/>
      <c r="F114" s="291"/>
      <c r="G114" s="291"/>
      <c r="H114" s="291"/>
      <c r="I114" s="291"/>
      <c r="J114" s="291"/>
      <c r="K114" s="291"/>
      <c r="L114" s="291"/>
    </row>
    <row r="115" spans="3:12">
      <c r="C115" s="291"/>
      <c r="D115" s="291"/>
      <c r="E115" s="291"/>
      <c r="F115" s="291"/>
      <c r="G115" s="291"/>
      <c r="H115" s="291"/>
      <c r="I115" s="291"/>
      <c r="J115" s="291"/>
      <c r="K115" s="291"/>
      <c r="L115" s="291"/>
    </row>
    <row r="116" spans="3:12">
      <c r="C116" s="291"/>
      <c r="D116" s="291"/>
      <c r="E116" s="291"/>
      <c r="F116" s="291"/>
      <c r="G116" s="291"/>
      <c r="H116" s="291"/>
      <c r="I116" s="291"/>
      <c r="J116" s="291"/>
      <c r="K116" s="291"/>
      <c r="L116" s="291"/>
    </row>
    <row r="117" spans="3:12">
      <c r="C117" s="291"/>
      <c r="D117" s="291"/>
      <c r="E117" s="291"/>
      <c r="F117" s="291"/>
      <c r="G117" s="291"/>
      <c r="H117" s="291"/>
      <c r="I117" s="291"/>
      <c r="J117" s="291"/>
      <c r="K117" s="291"/>
      <c r="L117" s="291"/>
    </row>
    <row r="118" spans="3:12">
      <c r="C118" s="291"/>
      <c r="D118" s="291"/>
      <c r="E118" s="291"/>
      <c r="F118" s="291"/>
      <c r="G118" s="291"/>
      <c r="H118" s="291"/>
      <c r="I118" s="291"/>
      <c r="J118" s="291"/>
      <c r="K118" s="291"/>
      <c r="L118" s="291"/>
    </row>
    <row r="119" spans="3:12">
      <c r="C119" s="291"/>
      <c r="D119" s="291"/>
      <c r="E119" s="291"/>
      <c r="F119" s="291"/>
      <c r="G119" s="291"/>
      <c r="H119" s="291"/>
      <c r="I119" s="291"/>
      <c r="J119" s="291"/>
      <c r="K119" s="291"/>
      <c r="L119" s="291"/>
    </row>
    <row r="120" spans="3:12">
      <c r="C120" s="291"/>
      <c r="D120" s="291"/>
      <c r="E120" s="291"/>
      <c r="F120" s="291"/>
      <c r="G120" s="291"/>
      <c r="H120" s="291"/>
      <c r="I120" s="291"/>
      <c r="J120" s="291"/>
      <c r="K120" s="291"/>
      <c r="L120" s="291"/>
    </row>
    <row r="121" spans="3:12">
      <c r="C121" s="291"/>
      <c r="D121" s="291"/>
      <c r="E121" s="291"/>
      <c r="F121" s="291"/>
      <c r="G121" s="291"/>
      <c r="H121" s="291"/>
      <c r="I121" s="291"/>
      <c r="J121" s="291"/>
      <c r="K121" s="291"/>
      <c r="L121" s="291"/>
    </row>
    <row r="122" spans="3:12">
      <c r="C122" s="291"/>
      <c r="D122" s="291"/>
      <c r="E122" s="291"/>
      <c r="F122" s="291"/>
      <c r="G122" s="291"/>
      <c r="H122" s="291"/>
      <c r="I122" s="291"/>
      <c r="J122" s="291"/>
      <c r="K122" s="291"/>
      <c r="L122" s="291"/>
    </row>
    <row r="123" spans="3:12">
      <c r="C123" s="291"/>
      <c r="D123" s="291"/>
      <c r="E123" s="291"/>
      <c r="F123" s="291"/>
      <c r="G123" s="291"/>
      <c r="H123" s="291"/>
      <c r="I123" s="291"/>
      <c r="J123" s="291"/>
      <c r="K123" s="291"/>
      <c r="L123" s="291"/>
    </row>
    <row r="124" spans="3:12">
      <c r="C124" s="291"/>
      <c r="D124" s="291"/>
      <c r="E124" s="291"/>
      <c r="F124" s="291"/>
      <c r="G124" s="291"/>
      <c r="H124" s="291"/>
      <c r="I124" s="291"/>
      <c r="J124" s="291"/>
      <c r="K124" s="291"/>
      <c r="L124" s="291"/>
    </row>
    <row r="125" spans="3:12">
      <c r="C125" s="291"/>
      <c r="D125" s="291"/>
      <c r="E125" s="291"/>
      <c r="F125" s="291"/>
      <c r="G125" s="291"/>
      <c r="H125" s="291"/>
      <c r="I125" s="291"/>
      <c r="J125" s="291"/>
      <c r="K125" s="291"/>
      <c r="L125" s="291"/>
    </row>
    <row r="126" spans="3:12">
      <c r="C126" s="291"/>
      <c r="D126" s="291"/>
      <c r="E126" s="291"/>
      <c r="F126" s="291"/>
      <c r="G126" s="291"/>
      <c r="H126" s="291"/>
      <c r="I126" s="291"/>
      <c r="J126" s="291"/>
      <c r="K126" s="291"/>
      <c r="L126" s="291"/>
    </row>
    <row r="127" spans="3:12">
      <c r="C127" s="291"/>
      <c r="D127" s="291"/>
      <c r="E127" s="291"/>
      <c r="F127" s="291"/>
      <c r="G127" s="291"/>
      <c r="H127" s="291"/>
      <c r="I127" s="291"/>
      <c r="J127" s="291"/>
      <c r="K127" s="291"/>
      <c r="L127" s="291"/>
    </row>
    <row r="128" spans="3:12">
      <c r="C128" s="291"/>
      <c r="D128" s="291"/>
      <c r="E128" s="291"/>
      <c r="F128" s="291"/>
      <c r="G128" s="291"/>
      <c r="H128" s="291"/>
      <c r="I128" s="291"/>
      <c r="J128" s="291"/>
      <c r="K128" s="291"/>
      <c r="L128" s="291"/>
    </row>
    <row r="129" spans="3:12">
      <c r="C129" s="291"/>
      <c r="D129" s="291"/>
      <c r="E129" s="291"/>
      <c r="F129" s="291"/>
      <c r="G129" s="291"/>
      <c r="H129" s="291"/>
      <c r="I129" s="291"/>
      <c r="J129" s="291"/>
      <c r="K129" s="291"/>
      <c r="L129" s="291"/>
    </row>
    <row r="130" spans="3:12">
      <c r="C130" s="291"/>
      <c r="D130" s="291"/>
      <c r="E130" s="291"/>
      <c r="F130" s="291"/>
      <c r="G130" s="291"/>
      <c r="H130" s="291"/>
      <c r="I130" s="291"/>
      <c r="J130" s="291"/>
      <c r="K130" s="291"/>
      <c r="L130" s="291"/>
    </row>
    <row r="131" spans="3:12">
      <c r="C131" s="291"/>
      <c r="D131" s="291"/>
      <c r="E131" s="291"/>
      <c r="F131" s="291"/>
      <c r="G131" s="291"/>
      <c r="H131" s="291"/>
      <c r="I131" s="291"/>
      <c r="J131" s="291"/>
      <c r="K131" s="291"/>
      <c r="L131" s="291"/>
    </row>
    <row r="132" spans="3:12">
      <c r="C132" s="291"/>
      <c r="D132" s="291"/>
      <c r="E132" s="291"/>
      <c r="F132" s="291"/>
      <c r="G132" s="291"/>
      <c r="H132" s="291"/>
      <c r="I132" s="291"/>
      <c r="J132" s="291"/>
      <c r="K132" s="291"/>
      <c r="L132" s="291"/>
    </row>
    <row r="133" spans="3:12">
      <c r="C133" s="291"/>
      <c r="D133" s="291"/>
      <c r="E133" s="291"/>
      <c r="F133" s="291"/>
      <c r="G133" s="291"/>
      <c r="H133" s="291"/>
      <c r="I133" s="291"/>
      <c r="J133" s="291"/>
      <c r="K133" s="291"/>
      <c r="L133" s="291"/>
    </row>
    <row r="134" spans="3:12">
      <c r="C134" s="291"/>
      <c r="D134" s="291"/>
      <c r="E134" s="291"/>
      <c r="F134" s="291"/>
      <c r="G134" s="291"/>
      <c r="H134" s="291"/>
      <c r="I134" s="291"/>
      <c r="J134" s="291"/>
      <c r="K134" s="291"/>
      <c r="L134" s="291"/>
    </row>
    <row r="135" spans="3:12">
      <c r="C135" s="291"/>
      <c r="D135" s="291"/>
      <c r="E135" s="291"/>
      <c r="F135" s="291"/>
      <c r="G135" s="291"/>
      <c r="H135" s="291"/>
      <c r="I135" s="291"/>
      <c r="J135" s="291"/>
      <c r="K135" s="291"/>
      <c r="L135" s="291"/>
    </row>
    <row r="136" spans="3:12">
      <c r="C136" s="291"/>
      <c r="D136" s="291"/>
      <c r="E136" s="291"/>
      <c r="F136" s="291"/>
      <c r="G136" s="291"/>
      <c r="H136" s="291"/>
      <c r="I136" s="291"/>
      <c r="J136" s="291"/>
      <c r="K136" s="291"/>
      <c r="L136" s="291"/>
    </row>
    <row r="137" spans="3:12">
      <c r="C137" s="291"/>
      <c r="D137" s="291"/>
      <c r="E137" s="291"/>
      <c r="F137" s="291"/>
      <c r="G137" s="291"/>
      <c r="H137" s="291"/>
      <c r="I137" s="291"/>
      <c r="J137" s="291"/>
      <c r="K137" s="291"/>
      <c r="L137" s="291"/>
    </row>
    <row r="138" spans="3:12">
      <c r="C138" s="291"/>
      <c r="D138" s="291"/>
      <c r="E138" s="291"/>
      <c r="F138" s="291"/>
      <c r="G138" s="291"/>
      <c r="H138" s="291"/>
      <c r="I138" s="291"/>
      <c r="J138" s="291"/>
      <c r="K138" s="291"/>
      <c r="L138" s="291"/>
    </row>
    <row r="139" spans="3:12">
      <c r="C139" s="291"/>
      <c r="D139" s="291"/>
      <c r="E139" s="291"/>
      <c r="F139" s="291"/>
      <c r="G139" s="291"/>
      <c r="H139" s="291"/>
      <c r="I139" s="291"/>
      <c r="J139" s="291"/>
      <c r="K139" s="291"/>
      <c r="L139" s="291"/>
    </row>
    <row r="140" spans="3:12">
      <c r="C140" s="291"/>
      <c r="D140" s="291"/>
      <c r="E140" s="291"/>
      <c r="F140" s="291"/>
      <c r="G140" s="291"/>
      <c r="H140" s="291"/>
      <c r="I140" s="291"/>
      <c r="J140" s="291"/>
      <c r="K140" s="291"/>
      <c r="L140" s="291"/>
    </row>
    <row r="141" spans="3:12">
      <c r="C141" s="291"/>
      <c r="D141" s="291"/>
      <c r="E141" s="291"/>
      <c r="F141" s="291"/>
      <c r="G141" s="291"/>
      <c r="H141" s="291"/>
      <c r="I141" s="291"/>
      <c r="J141" s="291"/>
      <c r="K141" s="291"/>
      <c r="L141" s="291"/>
    </row>
    <row r="142" spans="3:12">
      <c r="C142" s="291"/>
      <c r="D142" s="291"/>
      <c r="E142" s="291"/>
      <c r="F142" s="291"/>
      <c r="G142" s="291"/>
      <c r="H142" s="291"/>
      <c r="I142" s="291"/>
      <c r="J142" s="291"/>
      <c r="K142" s="291"/>
      <c r="L142" s="291"/>
    </row>
    <row r="143" spans="3:12">
      <c r="C143" s="291"/>
      <c r="D143" s="291"/>
      <c r="E143" s="291"/>
      <c r="F143" s="291"/>
      <c r="G143" s="291"/>
      <c r="H143" s="291"/>
      <c r="I143" s="291"/>
      <c r="J143" s="291"/>
      <c r="K143" s="291"/>
      <c r="L143" s="291"/>
    </row>
    <row r="144" spans="3:12">
      <c r="C144" s="291"/>
      <c r="D144" s="291"/>
      <c r="E144" s="291"/>
      <c r="F144" s="291"/>
      <c r="G144" s="291"/>
      <c r="H144" s="291"/>
      <c r="I144" s="291"/>
      <c r="J144" s="291"/>
      <c r="K144" s="291"/>
      <c r="L144" s="291"/>
    </row>
    <row r="145" spans="3:12">
      <c r="C145" s="291"/>
      <c r="D145" s="291"/>
      <c r="E145" s="291"/>
      <c r="F145" s="291"/>
      <c r="G145" s="291"/>
      <c r="H145" s="291"/>
      <c r="I145" s="291"/>
      <c r="J145" s="291"/>
      <c r="K145" s="291"/>
      <c r="L145" s="291"/>
    </row>
    <row r="146" spans="3:12">
      <c r="C146" s="291"/>
      <c r="D146" s="291"/>
      <c r="E146" s="291"/>
      <c r="F146" s="291"/>
      <c r="G146" s="291"/>
      <c r="H146" s="291"/>
      <c r="I146" s="291"/>
      <c r="J146" s="291"/>
      <c r="K146" s="291"/>
      <c r="L146" s="291"/>
    </row>
    <row r="147" spans="3:12">
      <c r="C147" s="291"/>
      <c r="D147" s="291"/>
      <c r="E147" s="291"/>
      <c r="F147" s="291"/>
      <c r="G147" s="291"/>
      <c r="H147" s="291"/>
      <c r="I147" s="291"/>
      <c r="J147" s="291"/>
      <c r="K147" s="291"/>
      <c r="L147" s="291"/>
    </row>
    <row r="148" spans="3:12">
      <c r="C148" s="291"/>
      <c r="D148" s="291"/>
      <c r="E148" s="291"/>
      <c r="F148" s="291"/>
      <c r="G148" s="291"/>
      <c r="H148" s="291"/>
      <c r="I148" s="291"/>
      <c r="J148" s="291"/>
      <c r="K148" s="291"/>
      <c r="L148" s="291"/>
    </row>
    <row r="149" spans="3:12">
      <c r="C149" s="291"/>
      <c r="D149" s="291"/>
      <c r="E149" s="291"/>
      <c r="F149" s="291"/>
      <c r="G149" s="291"/>
      <c r="H149" s="291"/>
      <c r="I149" s="291"/>
      <c r="J149" s="291"/>
      <c r="K149" s="291"/>
      <c r="L149" s="291"/>
    </row>
    <row r="150" spans="3:12">
      <c r="C150" s="291"/>
      <c r="D150" s="291"/>
      <c r="E150" s="291"/>
      <c r="F150" s="291"/>
      <c r="G150" s="291"/>
      <c r="H150" s="291"/>
      <c r="I150" s="291"/>
      <c r="J150" s="291"/>
      <c r="K150" s="291"/>
      <c r="L150" s="291"/>
    </row>
    <row r="151" spans="3:12">
      <c r="C151" s="291"/>
      <c r="D151" s="291"/>
      <c r="E151" s="291"/>
      <c r="F151" s="291"/>
      <c r="G151" s="291"/>
      <c r="H151" s="291"/>
      <c r="I151" s="291"/>
      <c r="J151" s="291"/>
      <c r="K151" s="291"/>
      <c r="L151" s="291"/>
    </row>
    <row r="152" spans="3:12">
      <c r="C152" s="291"/>
      <c r="D152" s="291"/>
      <c r="E152" s="291"/>
      <c r="F152" s="291"/>
      <c r="G152" s="291"/>
      <c r="H152" s="291"/>
      <c r="I152" s="291"/>
      <c r="J152" s="291"/>
      <c r="K152" s="291"/>
      <c r="L152" s="291"/>
    </row>
    <row r="153" spans="3:12">
      <c r="C153" s="291"/>
      <c r="D153" s="291"/>
      <c r="E153" s="291"/>
      <c r="F153" s="291"/>
      <c r="G153" s="291"/>
      <c r="H153" s="291"/>
      <c r="I153" s="291"/>
      <c r="J153" s="291"/>
      <c r="K153" s="291"/>
      <c r="L153" s="291"/>
    </row>
    <row r="154" spans="3:12">
      <c r="C154" s="291"/>
      <c r="D154" s="291"/>
      <c r="E154" s="291"/>
      <c r="F154" s="291"/>
      <c r="G154" s="291"/>
      <c r="H154" s="291"/>
      <c r="I154" s="291"/>
      <c r="J154" s="291"/>
      <c r="K154" s="291"/>
      <c r="L154" s="291"/>
    </row>
    <row r="155" spans="3:12">
      <c r="C155" s="291"/>
      <c r="D155" s="291"/>
      <c r="E155" s="291"/>
      <c r="F155" s="291"/>
      <c r="G155" s="291"/>
      <c r="H155" s="291"/>
      <c r="I155" s="291"/>
      <c r="J155" s="291"/>
      <c r="K155" s="291"/>
      <c r="L155" s="291"/>
    </row>
    <row r="156" spans="3:12">
      <c r="C156" s="291"/>
      <c r="D156" s="291"/>
      <c r="E156" s="291"/>
      <c r="F156" s="291"/>
      <c r="G156" s="291"/>
      <c r="H156" s="291"/>
      <c r="I156" s="291"/>
      <c r="J156" s="291"/>
      <c r="K156" s="291"/>
      <c r="L156" s="291"/>
    </row>
    <row r="157" spans="3:12">
      <c r="C157" s="291"/>
      <c r="D157" s="291"/>
      <c r="E157" s="291"/>
      <c r="F157" s="291"/>
      <c r="G157" s="291"/>
      <c r="H157" s="291"/>
      <c r="I157" s="291"/>
      <c r="J157" s="291"/>
      <c r="K157" s="291"/>
      <c r="L157" s="291"/>
    </row>
    <row r="158" spans="3:12">
      <c r="C158" s="291"/>
      <c r="D158" s="291"/>
      <c r="E158" s="291"/>
      <c r="F158" s="291"/>
      <c r="G158" s="291"/>
      <c r="H158" s="291"/>
      <c r="I158" s="291"/>
      <c r="J158" s="291"/>
      <c r="K158" s="291"/>
      <c r="L158" s="291"/>
    </row>
    <row r="159" spans="3:12">
      <c r="C159" s="291"/>
      <c r="D159" s="291"/>
      <c r="E159" s="291"/>
      <c r="F159" s="291"/>
      <c r="G159" s="291"/>
      <c r="H159" s="291"/>
      <c r="I159" s="291"/>
      <c r="J159" s="291"/>
      <c r="K159" s="291"/>
      <c r="L159" s="291"/>
    </row>
    <row r="160" spans="3:12">
      <c r="C160" s="291"/>
      <c r="D160" s="291"/>
      <c r="E160" s="291"/>
      <c r="F160" s="291"/>
      <c r="G160" s="291"/>
      <c r="H160" s="291"/>
      <c r="I160" s="291"/>
      <c r="J160" s="291"/>
      <c r="K160" s="291"/>
      <c r="L160" s="291"/>
    </row>
    <row r="161" spans="3:12">
      <c r="C161" s="291"/>
      <c r="D161" s="291"/>
      <c r="E161" s="291"/>
      <c r="F161" s="291"/>
      <c r="G161" s="291"/>
      <c r="H161" s="291"/>
      <c r="I161" s="291"/>
      <c r="J161" s="291"/>
      <c r="K161" s="291"/>
      <c r="L161" s="291"/>
    </row>
    <row r="162" spans="3:12">
      <c r="C162" s="291"/>
      <c r="D162" s="291"/>
      <c r="E162" s="291"/>
      <c r="F162" s="291"/>
      <c r="G162" s="291"/>
      <c r="H162" s="291"/>
      <c r="I162" s="291"/>
      <c r="J162" s="291"/>
      <c r="K162" s="291"/>
      <c r="L162" s="291"/>
    </row>
    <row r="163" spans="3:12">
      <c r="C163" s="291"/>
      <c r="D163" s="291"/>
      <c r="E163" s="291"/>
      <c r="F163" s="291"/>
      <c r="G163" s="291"/>
      <c r="H163" s="291"/>
      <c r="I163" s="291"/>
      <c r="J163" s="291"/>
      <c r="K163" s="291"/>
      <c r="L163" s="291"/>
    </row>
    <row r="164" spans="3:12">
      <c r="C164" s="291"/>
      <c r="D164" s="291"/>
      <c r="E164" s="291"/>
      <c r="F164" s="291"/>
      <c r="G164" s="291"/>
      <c r="H164" s="291"/>
      <c r="I164" s="291"/>
      <c r="J164" s="291"/>
      <c r="K164" s="291"/>
      <c r="L164" s="291"/>
    </row>
    <row r="165" spans="3:12">
      <c r="C165" s="291"/>
      <c r="D165" s="291"/>
      <c r="E165" s="291"/>
      <c r="F165" s="291"/>
      <c r="G165" s="291"/>
      <c r="H165" s="291"/>
      <c r="I165" s="291"/>
      <c r="J165" s="291"/>
      <c r="K165" s="291"/>
      <c r="L165" s="291"/>
    </row>
    <row r="166" spans="3:12">
      <c r="C166" s="291"/>
      <c r="D166" s="291"/>
      <c r="E166" s="291"/>
      <c r="F166" s="291"/>
      <c r="G166" s="291"/>
      <c r="H166" s="291"/>
      <c r="I166" s="291"/>
      <c r="J166" s="291"/>
      <c r="K166" s="291"/>
      <c r="L166" s="291"/>
    </row>
    <row r="167" spans="3:12">
      <c r="C167" s="291"/>
      <c r="D167" s="291"/>
      <c r="E167" s="291"/>
      <c r="F167" s="291"/>
      <c r="G167" s="291"/>
      <c r="H167" s="291"/>
      <c r="I167" s="291"/>
      <c r="J167" s="291"/>
      <c r="K167" s="291"/>
      <c r="L167" s="291"/>
    </row>
    <row r="168" spans="3:12">
      <c r="C168" s="291"/>
      <c r="D168" s="291"/>
      <c r="E168" s="291"/>
      <c r="F168" s="291"/>
      <c r="G168" s="291"/>
      <c r="H168" s="291"/>
      <c r="I168" s="291"/>
      <c r="J168" s="291"/>
      <c r="K168" s="291"/>
      <c r="L168" s="291"/>
    </row>
    <row r="169" spans="3:12">
      <c r="C169" s="291"/>
      <c r="D169" s="291"/>
      <c r="E169" s="291"/>
      <c r="F169" s="291"/>
      <c r="G169" s="291"/>
      <c r="H169" s="291"/>
      <c r="I169" s="291"/>
      <c r="J169" s="291"/>
      <c r="K169" s="291"/>
      <c r="L169" s="291"/>
    </row>
    <row r="170" spans="3:12">
      <c r="C170" s="291"/>
      <c r="D170" s="291"/>
      <c r="E170" s="291"/>
      <c r="F170" s="291"/>
      <c r="G170" s="291"/>
      <c r="H170" s="291"/>
      <c r="I170" s="291"/>
      <c r="J170" s="291"/>
      <c r="K170" s="291"/>
      <c r="L170" s="291"/>
    </row>
    <row r="171" spans="3:12">
      <c r="C171" s="291"/>
      <c r="D171" s="291"/>
      <c r="E171" s="291"/>
      <c r="F171" s="291"/>
      <c r="G171" s="291"/>
      <c r="H171" s="291"/>
      <c r="I171" s="291"/>
      <c r="J171" s="291"/>
      <c r="K171" s="291"/>
      <c r="L171" s="291"/>
    </row>
    <row r="172" spans="3:12">
      <c r="C172" s="291"/>
      <c r="D172" s="291"/>
      <c r="E172" s="291"/>
      <c r="F172" s="291"/>
      <c r="G172" s="291"/>
      <c r="H172" s="291"/>
      <c r="I172" s="291"/>
      <c r="J172" s="291"/>
      <c r="K172" s="291"/>
      <c r="L172" s="291"/>
    </row>
    <row r="173" spans="3:12">
      <c r="C173" s="291"/>
      <c r="D173" s="291"/>
      <c r="E173" s="291"/>
      <c r="F173" s="291"/>
      <c r="G173" s="291"/>
      <c r="H173" s="291"/>
      <c r="I173" s="291"/>
      <c r="J173" s="291"/>
      <c r="K173" s="291"/>
      <c r="L173" s="291"/>
    </row>
    <row r="174" spans="3:12">
      <c r="C174" s="291"/>
      <c r="D174" s="291"/>
      <c r="E174" s="291"/>
      <c r="F174" s="291"/>
      <c r="G174" s="291"/>
      <c r="H174" s="291"/>
      <c r="I174" s="291"/>
      <c r="J174" s="291"/>
      <c r="K174" s="291"/>
      <c r="L174" s="291"/>
    </row>
    <row r="175" spans="3:12">
      <c r="C175" s="291"/>
      <c r="D175" s="291"/>
      <c r="E175" s="291"/>
      <c r="F175" s="291"/>
      <c r="G175" s="291"/>
      <c r="H175" s="291"/>
      <c r="I175" s="291"/>
      <c r="J175" s="291"/>
      <c r="K175" s="291"/>
      <c r="L175" s="291"/>
    </row>
    <row r="176" spans="3:12">
      <c r="C176" s="291"/>
      <c r="D176" s="291"/>
      <c r="E176" s="291"/>
      <c r="F176" s="291"/>
      <c r="G176" s="291"/>
      <c r="H176" s="291"/>
      <c r="I176" s="291"/>
      <c r="J176" s="291"/>
      <c r="K176" s="291"/>
      <c r="L176" s="291"/>
    </row>
    <row r="177" spans="3:12">
      <c r="C177" s="291"/>
      <c r="D177" s="291"/>
      <c r="E177" s="291"/>
      <c r="F177" s="291"/>
      <c r="G177" s="291"/>
      <c r="H177" s="291"/>
      <c r="I177" s="291"/>
      <c r="J177" s="291"/>
      <c r="K177" s="291"/>
      <c r="L177" s="291"/>
    </row>
    <row r="178" spans="3:12">
      <c r="C178" s="291"/>
      <c r="D178" s="291"/>
      <c r="E178" s="291"/>
      <c r="F178" s="291"/>
      <c r="G178" s="291"/>
      <c r="H178" s="291"/>
      <c r="I178" s="291"/>
      <c r="J178" s="291"/>
      <c r="K178" s="291"/>
      <c r="L178" s="291"/>
    </row>
    <row r="179" spans="3:12">
      <c r="C179" s="291"/>
      <c r="D179" s="291"/>
      <c r="E179" s="291"/>
      <c r="F179" s="291"/>
      <c r="G179" s="291"/>
      <c r="H179" s="291"/>
      <c r="I179" s="291"/>
      <c r="J179" s="291"/>
      <c r="K179" s="291"/>
      <c r="L179" s="291"/>
    </row>
    <row r="180" spans="3:12">
      <c r="C180" s="291"/>
      <c r="D180" s="291"/>
      <c r="E180" s="291"/>
      <c r="F180" s="291"/>
      <c r="G180" s="291"/>
      <c r="H180" s="291"/>
      <c r="I180" s="291"/>
      <c r="J180" s="291"/>
      <c r="K180" s="291"/>
      <c r="L180" s="291"/>
    </row>
    <row r="181" spans="3:12">
      <c r="C181" s="291"/>
      <c r="D181" s="291"/>
      <c r="E181" s="291"/>
      <c r="F181" s="291"/>
      <c r="G181" s="291"/>
      <c r="H181" s="291"/>
      <c r="I181" s="291"/>
      <c r="J181" s="291"/>
      <c r="K181" s="291"/>
      <c r="L181" s="291"/>
    </row>
    <row r="182" spans="3:12">
      <c r="C182" s="291"/>
      <c r="D182" s="291"/>
      <c r="E182" s="291"/>
      <c r="F182" s="291"/>
      <c r="G182" s="291"/>
      <c r="H182" s="291"/>
      <c r="I182" s="291"/>
      <c r="J182" s="291"/>
      <c r="K182" s="291"/>
      <c r="L182" s="291"/>
    </row>
    <row r="183" spans="3:12">
      <c r="C183" s="291"/>
      <c r="D183" s="291"/>
      <c r="E183" s="291"/>
      <c r="F183" s="291"/>
      <c r="G183" s="291"/>
      <c r="H183" s="291"/>
      <c r="I183" s="291"/>
      <c r="J183" s="291"/>
      <c r="K183" s="291"/>
      <c r="L183" s="291"/>
    </row>
    <row r="184" spans="3:12">
      <c r="C184" s="291"/>
      <c r="D184" s="291"/>
      <c r="E184" s="291"/>
      <c r="F184" s="291"/>
      <c r="G184" s="291"/>
      <c r="H184" s="291"/>
      <c r="I184" s="291"/>
      <c r="J184" s="291"/>
      <c r="K184" s="291"/>
      <c r="L184" s="291"/>
    </row>
    <row r="185" spans="3:12">
      <c r="C185" s="291"/>
      <c r="D185" s="291"/>
      <c r="E185" s="291"/>
      <c r="F185" s="291"/>
      <c r="G185" s="291"/>
      <c r="H185" s="291"/>
      <c r="I185" s="291"/>
      <c r="J185" s="291"/>
      <c r="K185" s="291"/>
      <c r="L185" s="291"/>
    </row>
    <row r="186" spans="3:12">
      <c r="C186" s="291"/>
      <c r="D186" s="291"/>
      <c r="E186" s="291"/>
      <c r="F186" s="291"/>
      <c r="G186" s="291"/>
      <c r="H186" s="291"/>
      <c r="I186" s="291"/>
      <c r="J186" s="291"/>
      <c r="K186" s="291"/>
      <c r="L186" s="291"/>
    </row>
    <row r="187" spans="3:12">
      <c r="C187" s="291"/>
      <c r="D187" s="291"/>
      <c r="E187" s="291"/>
      <c r="F187" s="291"/>
      <c r="G187" s="291"/>
      <c r="H187" s="291"/>
      <c r="I187" s="291"/>
      <c r="J187" s="291"/>
      <c r="K187" s="291"/>
      <c r="L187" s="291"/>
    </row>
    <row r="188" spans="3:12">
      <c r="C188" s="291"/>
      <c r="D188" s="291"/>
      <c r="E188" s="291"/>
      <c r="F188" s="291"/>
      <c r="G188" s="291"/>
      <c r="H188" s="291"/>
      <c r="I188" s="291"/>
      <c r="J188" s="291"/>
      <c r="K188" s="291"/>
      <c r="L188" s="291"/>
    </row>
    <row r="189" spans="3:12">
      <c r="C189" s="291"/>
      <c r="D189" s="291"/>
      <c r="E189" s="291"/>
      <c r="F189" s="291"/>
      <c r="G189" s="291"/>
      <c r="H189" s="291"/>
      <c r="I189" s="291"/>
      <c r="J189" s="291"/>
      <c r="K189" s="291"/>
      <c r="L189" s="291"/>
    </row>
    <row r="190" spans="3:12">
      <c r="C190" s="291"/>
      <c r="D190" s="291"/>
      <c r="E190" s="291"/>
      <c r="F190" s="291"/>
      <c r="G190" s="291"/>
      <c r="H190" s="291"/>
      <c r="I190" s="291"/>
      <c r="J190" s="291"/>
      <c r="K190" s="291"/>
      <c r="L190" s="291"/>
    </row>
    <row r="191" spans="3:12">
      <c r="C191" s="291"/>
      <c r="D191" s="291"/>
      <c r="E191" s="291"/>
      <c r="F191" s="291"/>
      <c r="G191" s="291"/>
      <c r="H191" s="291"/>
      <c r="I191" s="291"/>
      <c r="J191" s="291"/>
      <c r="K191" s="291"/>
      <c r="L191" s="291"/>
    </row>
    <row r="192" spans="3:12">
      <c r="C192" s="291"/>
      <c r="D192" s="291"/>
      <c r="E192" s="291"/>
      <c r="F192" s="291"/>
      <c r="G192" s="291"/>
      <c r="H192" s="291"/>
      <c r="I192" s="291"/>
      <c r="J192" s="291"/>
      <c r="K192" s="291"/>
      <c r="L192" s="291"/>
    </row>
    <row r="193" spans="3:12">
      <c r="C193" s="291"/>
      <c r="D193" s="291"/>
      <c r="E193" s="291"/>
      <c r="F193" s="291"/>
      <c r="G193" s="291"/>
      <c r="H193" s="291"/>
      <c r="I193" s="291"/>
      <c r="J193" s="291"/>
      <c r="K193" s="291"/>
      <c r="L193" s="291"/>
    </row>
    <row r="194" spans="3:12">
      <c r="C194" s="291"/>
      <c r="D194" s="291"/>
      <c r="E194" s="291"/>
      <c r="F194" s="291"/>
      <c r="G194" s="291"/>
      <c r="H194" s="291"/>
      <c r="I194" s="291"/>
      <c r="J194" s="291"/>
      <c r="K194" s="291"/>
      <c r="L194" s="291"/>
    </row>
    <row r="195" spans="3:12">
      <c r="C195" s="291"/>
      <c r="D195" s="291"/>
      <c r="E195" s="291"/>
      <c r="F195" s="291"/>
      <c r="G195" s="291"/>
      <c r="H195" s="291"/>
      <c r="I195" s="291"/>
      <c r="J195" s="291"/>
      <c r="K195" s="291"/>
      <c r="L195" s="291"/>
    </row>
    <row r="196" spans="3:12">
      <c r="C196" s="291"/>
      <c r="D196" s="291"/>
      <c r="E196" s="291"/>
      <c r="F196" s="291"/>
      <c r="G196" s="291"/>
      <c r="H196" s="291"/>
      <c r="I196" s="291"/>
      <c r="J196" s="291"/>
      <c r="K196" s="291"/>
      <c r="L196" s="291"/>
    </row>
    <row r="197" spans="3:12">
      <c r="C197" s="291"/>
      <c r="D197" s="291"/>
      <c r="E197" s="291"/>
      <c r="F197" s="291"/>
      <c r="G197" s="291"/>
      <c r="H197" s="291"/>
      <c r="I197" s="291"/>
      <c r="J197" s="291"/>
      <c r="K197" s="291"/>
      <c r="L197" s="291"/>
    </row>
    <row r="198" spans="3:12">
      <c r="C198" s="291"/>
      <c r="D198" s="291"/>
      <c r="E198" s="291"/>
      <c r="F198" s="291"/>
      <c r="G198" s="291"/>
      <c r="H198" s="291"/>
      <c r="I198" s="291"/>
      <c r="J198" s="291"/>
      <c r="K198" s="291"/>
      <c r="L198" s="291"/>
    </row>
    <row r="199" spans="3:12">
      <c r="C199" s="291"/>
      <c r="D199" s="291"/>
      <c r="E199" s="291"/>
      <c r="F199" s="291"/>
      <c r="G199" s="291"/>
      <c r="H199" s="291"/>
      <c r="I199" s="291"/>
      <c r="J199" s="291"/>
      <c r="K199" s="291"/>
      <c r="L199" s="291"/>
    </row>
    <row r="200" spans="3:12">
      <c r="C200" s="291"/>
      <c r="D200" s="291"/>
      <c r="E200" s="291"/>
      <c r="F200" s="291"/>
      <c r="G200" s="291"/>
      <c r="H200" s="291"/>
      <c r="I200" s="291"/>
      <c r="J200" s="291"/>
      <c r="K200" s="291"/>
      <c r="L200" s="291"/>
    </row>
    <row r="201" spans="3:12">
      <c r="C201" s="291"/>
      <c r="D201" s="291"/>
      <c r="E201" s="291"/>
      <c r="F201" s="291"/>
      <c r="G201" s="291"/>
      <c r="H201" s="291"/>
      <c r="I201" s="291"/>
      <c r="J201" s="291"/>
      <c r="K201" s="291"/>
      <c r="L201" s="291"/>
    </row>
    <row r="202" spans="3:12">
      <c r="C202" s="291"/>
      <c r="D202" s="291"/>
      <c r="E202" s="291"/>
      <c r="F202" s="291"/>
      <c r="G202" s="291"/>
      <c r="H202" s="291"/>
      <c r="I202" s="291"/>
      <c r="J202" s="291"/>
      <c r="K202" s="291"/>
      <c r="L202" s="291"/>
    </row>
    <row r="203" spans="3:12">
      <c r="C203" s="291"/>
      <c r="D203" s="291"/>
      <c r="E203" s="291"/>
      <c r="F203" s="291"/>
      <c r="G203" s="291"/>
      <c r="H203" s="291"/>
      <c r="I203" s="291"/>
      <c r="J203" s="291"/>
      <c r="K203" s="291"/>
      <c r="L203" s="291"/>
    </row>
    <row r="204" spans="3:12">
      <c r="C204" s="291"/>
      <c r="D204" s="291"/>
      <c r="E204" s="291"/>
      <c r="F204" s="291"/>
      <c r="G204" s="291"/>
      <c r="H204" s="291"/>
      <c r="I204" s="291"/>
      <c r="J204" s="291"/>
      <c r="K204" s="291"/>
      <c r="L204" s="291"/>
    </row>
    <row r="205" spans="3:12">
      <c r="C205" s="291"/>
      <c r="D205" s="291"/>
      <c r="E205" s="291"/>
      <c r="F205" s="291"/>
      <c r="G205" s="291"/>
      <c r="H205" s="291"/>
      <c r="I205" s="291"/>
      <c r="J205" s="291"/>
      <c r="K205" s="291"/>
      <c r="L205" s="291"/>
    </row>
    <row r="206" spans="3:12">
      <c r="C206" s="291"/>
      <c r="D206" s="291"/>
      <c r="E206" s="291"/>
      <c r="F206" s="291"/>
      <c r="G206" s="291"/>
      <c r="H206" s="291"/>
      <c r="I206" s="291"/>
      <c r="J206" s="291"/>
      <c r="K206" s="291"/>
      <c r="L206" s="291"/>
    </row>
    <row r="207" spans="3:12">
      <c r="C207" s="291"/>
      <c r="D207" s="291"/>
      <c r="E207" s="291"/>
      <c r="F207" s="291"/>
      <c r="G207" s="291"/>
      <c r="H207" s="291"/>
      <c r="I207" s="291"/>
      <c r="J207" s="291"/>
      <c r="K207" s="291"/>
      <c r="L207" s="291"/>
    </row>
    <row r="208" spans="3:12">
      <c r="C208" s="291"/>
      <c r="D208" s="291"/>
      <c r="E208" s="291"/>
      <c r="F208" s="291"/>
      <c r="G208" s="291"/>
      <c r="H208" s="291"/>
      <c r="I208" s="291"/>
      <c r="J208" s="291"/>
      <c r="K208" s="291"/>
      <c r="L208" s="291"/>
    </row>
    <row r="209" spans="3:12">
      <c r="C209" s="291"/>
      <c r="D209" s="291"/>
      <c r="E209" s="291"/>
      <c r="F209" s="291"/>
      <c r="G209" s="291"/>
      <c r="H209" s="291"/>
      <c r="I209" s="291"/>
      <c r="J209" s="291"/>
      <c r="K209" s="291"/>
      <c r="L209" s="291"/>
    </row>
    <row r="210" spans="3:12">
      <c r="C210" s="291"/>
      <c r="D210" s="291"/>
      <c r="E210" s="291"/>
      <c r="F210" s="291"/>
      <c r="G210" s="291"/>
      <c r="H210" s="291"/>
      <c r="I210" s="291"/>
      <c r="J210" s="291"/>
      <c r="K210" s="291"/>
      <c r="L210" s="291"/>
    </row>
    <row r="211" spans="3:12">
      <c r="C211" s="291"/>
      <c r="D211" s="291"/>
      <c r="E211" s="291"/>
      <c r="F211" s="291"/>
      <c r="G211" s="291"/>
      <c r="H211" s="291"/>
      <c r="I211" s="291"/>
      <c r="J211" s="291"/>
      <c r="K211" s="291"/>
      <c r="L211" s="291"/>
    </row>
    <row r="212" spans="3:12">
      <c r="C212" s="291"/>
      <c r="D212" s="291"/>
      <c r="E212" s="291"/>
      <c r="F212" s="291"/>
      <c r="G212" s="291"/>
      <c r="H212" s="291"/>
      <c r="I212" s="291"/>
      <c r="J212" s="291"/>
      <c r="K212" s="291"/>
      <c r="L212" s="291"/>
    </row>
    <row r="213" spans="3:12">
      <c r="C213" s="291"/>
      <c r="D213" s="291"/>
      <c r="E213" s="291"/>
      <c r="F213" s="291"/>
      <c r="G213" s="291"/>
      <c r="H213" s="291"/>
      <c r="I213" s="291"/>
      <c r="J213" s="291"/>
      <c r="K213" s="291"/>
      <c r="L213" s="291"/>
    </row>
    <row r="214" spans="3:12">
      <c r="C214" s="291"/>
      <c r="D214" s="291"/>
      <c r="E214" s="291"/>
      <c r="F214" s="291"/>
      <c r="G214" s="291"/>
      <c r="H214" s="291"/>
      <c r="I214" s="291"/>
      <c r="J214" s="291"/>
      <c r="K214" s="291"/>
      <c r="L214" s="291"/>
    </row>
    <row r="215" spans="3:12">
      <c r="C215" s="291"/>
      <c r="D215" s="291"/>
      <c r="E215" s="291"/>
      <c r="F215" s="291"/>
      <c r="G215" s="291"/>
      <c r="H215" s="291"/>
      <c r="I215" s="291"/>
      <c r="J215" s="291"/>
      <c r="K215" s="291"/>
      <c r="L215" s="291"/>
    </row>
    <row r="216" spans="3:12">
      <c r="C216" s="291"/>
      <c r="D216" s="291"/>
      <c r="E216" s="291"/>
      <c r="F216" s="291"/>
      <c r="G216" s="291"/>
      <c r="H216" s="291"/>
      <c r="I216" s="291"/>
      <c r="J216" s="291"/>
      <c r="K216" s="291"/>
      <c r="L216" s="291"/>
    </row>
    <row r="217" spans="3:12">
      <c r="C217" s="291"/>
      <c r="D217" s="291"/>
      <c r="E217" s="291"/>
      <c r="F217" s="291"/>
      <c r="G217" s="291"/>
      <c r="H217" s="291"/>
      <c r="I217" s="291"/>
      <c r="J217" s="291"/>
      <c r="K217" s="291"/>
      <c r="L217" s="291"/>
    </row>
    <row r="218" spans="3:12">
      <c r="C218" s="291"/>
      <c r="D218" s="291"/>
      <c r="E218" s="291"/>
      <c r="F218" s="291"/>
      <c r="G218" s="291"/>
      <c r="H218" s="291"/>
      <c r="I218" s="291"/>
      <c r="J218" s="291"/>
      <c r="K218" s="291"/>
      <c r="L218" s="291"/>
    </row>
    <row r="219" spans="3:12">
      <c r="C219" s="291"/>
      <c r="D219" s="291"/>
      <c r="E219" s="291"/>
      <c r="F219" s="291"/>
      <c r="G219" s="291"/>
      <c r="H219" s="291"/>
      <c r="I219" s="291"/>
      <c r="J219" s="291"/>
      <c r="K219" s="291"/>
      <c r="L219" s="291"/>
    </row>
    <row r="220" spans="3:12">
      <c r="C220" s="291"/>
      <c r="D220" s="291"/>
      <c r="E220" s="291"/>
      <c r="F220" s="291"/>
      <c r="G220" s="291"/>
      <c r="H220" s="291"/>
      <c r="I220" s="291"/>
      <c r="J220" s="291"/>
      <c r="K220" s="291"/>
      <c r="L220" s="291"/>
    </row>
    <row r="221" spans="3:12">
      <c r="C221" s="291"/>
      <c r="D221" s="291"/>
      <c r="E221" s="291"/>
      <c r="F221" s="291"/>
      <c r="G221" s="291"/>
      <c r="H221" s="291"/>
      <c r="I221" s="291"/>
      <c r="J221" s="291"/>
      <c r="K221" s="291"/>
      <c r="L221" s="291"/>
    </row>
    <row r="222" spans="3:12">
      <c r="C222" s="291"/>
      <c r="D222" s="291"/>
      <c r="E222" s="291"/>
      <c r="F222" s="291"/>
      <c r="G222" s="291"/>
      <c r="H222" s="291"/>
      <c r="I222" s="291"/>
      <c r="J222" s="291"/>
      <c r="K222" s="291"/>
      <c r="L222" s="291"/>
    </row>
    <row r="223" spans="3:12">
      <c r="C223" s="291"/>
      <c r="D223" s="291"/>
      <c r="E223" s="291"/>
      <c r="F223" s="291"/>
      <c r="G223" s="291"/>
      <c r="H223" s="291"/>
      <c r="I223" s="291"/>
      <c r="J223" s="291"/>
      <c r="K223" s="291"/>
      <c r="L223" s="291"/>
    </row>
    <row r="224" spans="3:12">
      <c r="C224" s="291"/>
      <c r="D224" s="291"/>
      <c r="E224" s="291"/>
      <c r="F224" s="291"/>
      <c r="G224" s="291"/>
      <c r="H224" s="291"/>
      <c r="I224" s="291"/>
      <c r="J224" s="291"/>
      <c r="K224" s="291"/>
      <c r="L224" s="291"/>
    </row>
    <row r="225" spans="3:12">
      <c r="C225" s="291"/>
      <c r="D225" s="291"/>
      <c r="E225" s="291"/>
      <c r="F225" s="291"/>
      <c r="G225" s="291"/>
      <c r="H225" s="291"/>
      <c r="I225" s="291"/>
      <c r="J225" s="291"/>
      <c r="K225" s="291"/>
      <c r="L225" s="291"/>
    </row>
    <row r="226" spans="3:12">
      <c r="C226" s="291"/>
      <c r="D226" s="291"/>
      <c r="E226" s="291"/>
      <c r="F226" s="291"/>
      <c r="G226" s="291"/>
      <c r="H226" s="291"/>
      <c r="I226" s="291"/>
      <c r="J226" s="291"/>
      <c r="K226" s="291"/>
      <c r="L226" s="291"/>
    </row>
    <row r="227" spans="3:12">
      <c r="C227" s="291"/>
      <c r="D227" s="291"/>
      <c r="E227" s="291"/>
      <c r="F227" s="291"/>
      <c r="G227" s="291"/>
      <c r="H227" s="291"/>
      <c r="I227" s="291"/>
      <c r="J227" s="291"/>
      <c r="K227" s="291"/>
      <c r="L227" s="291"/>
    </row>
    <row r="228" spans="3:12">
      <c r="C228" s="291"/>
      <c r="D228" s="291"/>
      <c r="E228" s="291"/>
      <c r="F228" s="291"/>
      <c r="G228" s="291"/>
      <c r="H228" s="291"/>
      <c r="I228" s="291"/>
      <c r="J228" s="291"/>
      <c r="K228" s="291"/>
      <c r="L228" s="291"/>
    </row>
    <row r="229" spans="3:12">
      <c r="C229" s="291"/>
      <c r="D229" s="291"/>
      <c r="E229" s="291"/>
      <c r="F229" s="291"/>
      <c r="G229" s="291"/>
      <c r="H229" s="291"/>
      <c r="I229" s="291"/>
      <c r="J229" s="291"/>
      <c r="K229" s="291"/>
      <c r="L229" s="291"/>
    </row>
    <row r="230" spans="3:12">
      <c r="C230" s="291"/>
      <c r="D230" s="291"/>
      <c r="E230" s="291"/>
      <c r="F230" s="291"/>
      <c r="G230" s="291"/>
      <c r="H230" s="291"/>
      <c r="I230" s="291"/>
      <c r="J230" s="291"/>
      <c r="K230" s="291"/>
      <c r="L230" s="291"/>
    </row>
    <row r="231" spans="3:12">
      <c r="C231" s="291"/>
      <c r="D231" s="291"/>
      <c r="E231" s="291"/>
      <c r="F231" s="291"/>
      <c r="G231" s="291"/>
      <c r="H231" s="291"/>
      <c r="I231" s="291"/>
      <c r="J231" s="291"/>
      <c r="K231" s="291"/>
      <c r="L231" s="291"/>
    </row>
    <row r="232" spans="3:12">
      <c r="C232" s="291"/>
      <c r="D232" s="291"/>
      <c r="E232" s="291"/>
      <c r="F232" s="291"/>
      <c r="G232" s="291"/>
      <c r="H232" s="291"/>
      <c r="I232" s="291"/>
      <c r="J232" s="291"/>
      <c r="K232" s="291"/>
      <c r="L232" s="291"/>
    </row>
    <row r="233" spans="3:12">
      <c r="C233" s="291"/>
      <c r="D233" s="291"/>
      <c r="E233" s="291"/>
      <c r="F233" s="291"/>
      <c r="G233" s="291"/>
      <c r="H233" s="291"/>
      <c r="I233" s="291"/>
      <c r="J233" s="291"/>
      <c r="K233" s="291"/>
      <c r="L233" s="291"/>
    </row>
    <row r="234" spans="3:12">
      <c r="C234" s="291"/>
      <c r="D234" s="291"/>
      <c r="E234" s="291"/>
      <c r="F234" s="291"/>
      <c r="G234" s="291"/>
      <c r="H234" s="291"/>
      <c r="I234" s="291"/>
      <c r="J234" s="291"/>
      <c r="K234" s="291"/>
      <c r="L234" s="291"/>
    </row>
    <row r="235" spans="3:12">
      <c r="C235" s="291"/>
      <c r="D235" s="291"/>
      <c r="E235" s="291"/>
      <c r="F235" s="291"/>
      <c r="G235" s="291"/>
      <c r="H235" s="291"/>
      <c r="I235" s="291"/>
      <c r="J235" s="291"/>
      <c r="K235" s="291"/>
      <c r="L235" s="291"/>
    </row>
    <row r="236" spans="3:12">
      <c r="C236" s="291"/>
      <c r="D236" s="291"/>
      <c r="E236" s="291"/>
      <c r="F236" s="291"/>
      <c r="G236" s="291"/>
      <c r="H236" s="291"/>
      <c r="I236" s="291"/>
      <c r="J236" s="291"/>
      <c r="K236" s="291"/>
      <c r="L236" s="291"/>
    </row>
    <row r="237" spans="3:12">
      <c r="C237" s="291"/>
      <c r="D237" s="291"/>
      <c r="E237" s="291"/>
      <c r="F237" s="291"/>
      <c r="G237" s="291"/>
      <c r="H237" s="291"/>
      <c r="I237" s="291"/>
      <c r="J237" s="291"/>
      <c r="K237" s="291"/>
      <c r="L237" s="291"/>
    </row>
    <row r="238" spans="3:12">
      <c r="C238" s="291"/>
      <c r="D238" s="291"/>
      <c r="E238" s="291"/>
      <c r="F238" s="291"/>
      <c r="G238" s="291"/>
      <c r="H238" s="291"/>
      <c r="I238" s="291"/>
      <c r="J238" s="291"/>
      <c r="K238" s="291"/>
      <c r="L238" s="291"/>
    </row>
    <row r="239" spans="3:12">
      <c r="C239" s="291"/>
      <c r="D239" s="291"/>
      <c r="E239" s="291"/>
      <c r="F239" s="291"/>
      <c r="G239" s="291"/>
      <c r="H239" s="291"/>
      <c r="I239" s="291"/>
      <c r="J239" s="291"/>
      <c r="K239" s="291"/>
      <c r="L239" s="291"/>
    </row>
    <row r="240" spans="3:12">
      <c r="C240" s="291"/>
      <c r="D240" s="291"/>
      <c r="E240" s="291"/>
      <c r="F240" s="291"/>
      <c r="G240" s="291"/>
      <c r="H240" s="291"/>
      <c r="I240" s="291"/>
      <c r="J240" s="291"/>
      <c r="K240" s="291"/>
      <c r="L240" s="291"/>
    </row>
    <row r="241" spans="3:12">
      <c r="C241" s="291"/>
      <c r="D241" s="291"/>
      <c r="E241" s="291"/>
      <c r="F241" s="291"/>
      <c r="G241" s="291"/>
      <c r="H241" s="291"/>
      <c r="I241" s="291"/>
      <c r="J241" s="291"/>
      <c r="K241" s="291"/>
      <c r="L241" s="291"/>
    </row>
    <row r="242" spans="3:12">
      <c r="C242" s="291"/>
      <c r="D242" s="291"/>
      <c r="E242" s="291"/>
      <c r="F242" s="291"/>
      <c r="G242" s="291"/>
      <c r="H242" s="291"/>
      <c r="I242" s="291"/>
      <c r="J242" s="291"/>
      <c r="K242" s="291"/>
      <c r="L242" s="291"/>
    </row>
    <row r="243" spans="3:12">
      <c r="C243" s="291"/>
      <c r="D243" s="291"/>
      <c r="E243" s="291"/>
      <c r="F243" s="291"/>
      <c r="G243" s="291"/>
      <c r="H243" s="291"/>
      <c r="I243" s="291"/>
      <c r="J243" s="291"/>
      <c r="K243" s="291"/>
      <c r="L243" s="291"/>
    </row>
    <row r="244" spans="3:12">
      <c r="C244" s="291"/>
      <c r="D244" s="291"/>
      <c r="E244" s="291"/>
      <c r="F244" s="291"/>
      <c r="G244" s="291"/>
      <c r="H244" s="291"/>
      <c r="I244" s="291"/>
      <c r="J244" s="291"/>
      <c r="K244" s="291"/>
      <c r="L244" s="291"/>
    </row>
    <row r="245" spans="3:12">
      <c r="C245" s="291"/>
      <c r="D245" s="291"/>
      <c r="E245" s="291"/>
      <c r="F245" s="291"/>
      <c r="G245" s="291"/>
      <c r="H245" s="291"/>
      <c r="I245" s="291"/>
      <c r="J245" s="291"/>
      <c r="K245" s="291"/>
      <c r="L245" s="291"/>
    </row>
    <row r="246" spans="3:12">
      <c r="C246" s="291"/>
      <c r="D246" s="291"/>
      <c r="E246" s="291"/>
      <c r="F246" s="291"/>
      <c r="G246" s="291"/>
      <c r="H246" s="291"/>
      <c r="I246" s="291"/>
      <c r="J246" s="291"/>
      <c r="K246" s="291"/>
      <c r="L246" s="291"/>
    </row>
    <row r="247" spans="3:12">
      <c r="C247" s="291"/>
      <c r="D247" s="291"/>
      <c r="E247" s="291"/>
      <c r="F247" s="291"/>
      <c r="G247" s="291"/>
      <c r="H247" s="291"/>
      <c r="I247" s="291"/>
      <c r="J247" s="291"/>
      <c r="K247" s="291"/>
      <c r="L247" s="291"/>
    </row>
    <row r="248" spans="3:12">
      <c r="C248" s="291"/>
      <c r="D248" s="291"/>
      <c r="E248" s="291"/>
      <c r="F248" s="291"/>
      <c r="G248" s="291"/>
      <c r="H248" s="291"/>
      <c r="I248" s="291"/>
      <c r="J248" s="291"/>
      <c r="K248" s="291"/>
      <c r="L248" s="291"/>
    </row>
    <row r="249" spans="3:12">
      <c r="C249" s="291"/>
      <c r="D249" s="291"/>
      <c r="E249" s="291"/>
      <c r="F249" s="291"/>
      <c r="G249" s="291"/>
      <c r="H249" s="291"/>
      <c r="I249" s="291"/>
      <c r="J249" s="291"/>
      <c r="K249" s="291"/>
      <c r="L249" s="291"/>
    </row>
    <row r="250" spans="3:12">
      <c r="C250" s="291"/>
      <c r="D250" s="291"/>
      <c r="E250" s="291"/>
      <c r="F250" s="291"/>
      <c r="G250" s="291"/>
      <c r="H250" s="291"/>
      <c r="I250" s="291"/>
      <c r="J250" s="291"/>
      <c r="K250" s="291"/>
      <c r="L250" s="291"/>
    </row>
    <row r="251" spans="3:12">
      <c r="C251" s="291"/>
      <c r="D251" s="291"/>
      <c r="E251" s="291"/>
      <c r="F251" s="291"/>
      <c r="G251" s="291"/>
      <c r="H251" s="291"/>
      <c r="I251" s="291"/>
      <c r="J251" s="291"/>
      <c r="K251" s="291"/>
      <c r="L251" s="291"/>
    </row>
    <row r="252" spans="3:12">
      <c r="C252" s="291"/>
      <c r="D252" s="291"/>
      <c r="E252" s="291"/>
      <c r="F252" s="291"/>
      <c r="G252" s="291"/>
      <c r="H252" s="291"/>
      <c r="I252" s="291"/>
      <c r="J252" s="291"/>
      <c r="K252" s="291"/>
      <c r="L252" s="291"/>
    </row>
    <row r="253" spans="3:12">
      <c r="C253" s="291"/>
      <c r="D253" s="291"/>
      <c r="E253" s="291"/>
      <c r="F253" s="291"/>
      <c r="G253" s="291"/>
      <c r="H253" s="291"/>
      <c r="I253" s="291"/>
      <c r="J253" s="291"/>
      <c r="K253" s="291"/>
      <c r="L253" s="291"/>
    </row>
    <row r="254" spans="3:12">
      <c r="C254" s="291"/>
      <c r="D254" s="291"/>
      <c r="E254" s="291"/>
      <c r="F254" s="291"/>
      <c r="G254" s="291"/>
      <c r="H254" s="291"/>
      <c r="I254" s="291"/>
      <c r="J254" s="291"/>
      <c r="K254" s="291"/>
      <c r="L254" s="291"/>
    </row>
    <row r="255" spans="3:12">
      <c r="C255" s="291"/>
      <c r="D255" s="291"/>
      <c r="E255" s="291"/>
      <c r="F255" s="291"/>
      <c r="G255" s="291"/>
      <c r="H255" s="291"/>
      <c r="I255" s="291"/>
      <c r="J255" s="291"/>
      <c r="K255" s="291"/>
      <c r="L255" s="291"/>
    </row>
    <row r="256" spans="3:12">
      <c r="C256" s="291"/>
      <c r="D256" s="291"/>
      <c r="E256" s="291"/>
      <c r="F256" s="291"/>
      <c r="G256" s="291"/>
      <c r="H256" s="291"/>
      <c r="I256" s="291"/>
      <c r="J256" s="291"/>
      <c r="K256" s="291"/>
      <c r="L256" s="291"/>
    </row>
    <row r="257" spans="3:12">
      <c r="C257" s="291"/>
      <c r="D257" s="291"/>
      <c r="E257" s="291"/>
      <c r="F257" s="291"/>
      <c r="G257" s="291"/>
      <c r="H257" s="291"/>
      <c r="I257" s="291"/>
      <c r="J257" s="291"/>
      <c r="K257" s="291"/>
      <c r="L257" s="291"/>
    </row>
    <row r="258" spans="3:12">
      <c r="C258" s="291"/>
      <c r="D258" s="291"/>
      <c r="E258" s="291"/>
      <c r="F258" s="291"/>
      <c r="G258" s="291"/>
      <c r="H258" s="291"/>
      <c r="I258" s="291"/>
      <c r="J258" s="291"/>
      <c r="K258" s="291"/>
      <c r="L258" s="291"/>
    </row>
    <row r="259" spans="3:12">
      <c r="C259" s="291"/>
      <c r="D259" s="291"/>
      <c r="E259" s="291"/>
      <c r="F259" s="291"/>
      <c r="G259" s="291"/>
      <c r="H259" s="291"/>
      <c r="I259" s="291"/>
      <c r="J259" s="291"/>
      <c r="K259" s="291"/>
      <c r="L259" s="291"/>
    </row>
    <row r="260" spans="3:12">
      <c r="C260" s="291"/>
      <c r="D260" s="291"/>
      <c r="E260" s="291"/>
      <c r="F260" s="291"/>
      <c r="G260" s="291"/>
      <c r="H260" s="291"/>
      <c r="I260" s="291"/>
      <c r="J260" s="291"/>
      <c r="K260" s="291"/>
      <c r="L260" s="291"/>
    </row>
    <row r="261" spans="3:12">
      <c r="C261" s="291"/>
      <c r="D261" s="291"/>
      <c r="E261" s="291"/>
      <c r="F261" s="291"/>
      <c r="G261" s="291"/>
      <c r="H261" s="291"/>
      <c r="I261" s="291"/>
      <c r="J261" s="291"/>
      <c r="K261" s="291"/>
      <c r="L261" s="291"/>
    </row>
    <row r="262" spans="3:12">
      <c r="C262" s="291"/>
      <c r="D262" s="291"/>
      <c r="E262" s="291"/>
      <c r="F262" s="291"/>
      <c r="G262" s="291"/>
      <c r="H262" s="291"/>
      <c r="I262" s="291"/>
      <c r="J262" s="291"/>
      <c r="K262" s="291"/>
      <c r="L262" s="291"/>
    </row>
    <row r="263" spans="3:12">
      <c r="C263" s="291"/>
      <c r="D263" s="291"/>
      <c r="E263" s="291"/>
      <c r="F263" s="291"/>
      <c r="G263" s="291"/>
      <c r="H263" s="291"/>
      <c r="I263" s="291"/>
      <c r="J263" s="291"/>
      <c r="K263" s="291"/>
      <c r="L263" s="291"/>
    </row>
    <row r="264" spans="3:12">
      <c r="C264" s="291"/>
      <c r="D264" s="291"/>
      <c r="E264" s="291"/>
      <c r="F264" s="291"/>
      <c r="G264" s="291"/>
      <c r="H264" s="291"/>
      <c r="I264" s="291"/>
      <c r="J264" s="291"/>
      <c r="K264" s="291"/>
      <c r="L264" s="291"/>
    </row>
    <row r="265" spans="3:12">
      <c r="C265" s="291"/>
      <c r="D265" s="291"/>
      <c r="E265" s="291"/>
      <c r="F265" s="291"/>
      <c r="G265" s="291"/>
      <c r="H265" s="291"/>
      <c r="I265" s="291"/>
      <c r="J265" s="291"/>
      <c r="K265" s="291"/>
      <c r="L265" s="291"/>
    </row>
    <row r="266" spans="3:12">
      <c r="C266" s="291"/>
      <c r="D266" s="291"/>
      <c r="E266" s="291"/>
      <c r="F266" s="291"/>
      <c r="G266" s="291"/>
      <c r="H266" s="291"/>
      <c r="I266" s="291"/>
      <c r="J266" s="291"/>
      <c r="K266" s="291"/>
      <c r="L266" s="291"/>
    </row>
    <row r="267" spans="3:12">
      <c r="C267" s="291"/>
      <c r="D267" s="291"/>
      <c r="E267" s="291"/>
      <c r="F267" s="291"/>
      <c r="G267" s="291"/>
      <c r="H267" s="291"/>
      <c r="I267" s="291"/>
      <c r="J267" s="291"/>
      <c r="K267" s="291"/>
      <c r="L267" s="291"/>
    </row>
    <row r="268" spans="3:12">
      <c r="C268" s="291"/>
      <c r="D268" s="291"/>
      <c r="E268" s="291"/>
      <c r="F268" s="291"/>
      <c r="G268" s="291"/>
      <c r="H268" s="291"/>
      <c r="I268" s="291"/>
      <c r="J268" s="291"/>
      <c r="K268" s="291"/>
      <c r="L268" s="291"/>
    </row>
    <row r="269" spans="3:12">
      <c r="C269" s="291"/>
      <c r="D269" s="291"/>
      <c r="E269" s="291"/>
      <c r="F269" s="291"/>
      <c r="G269" s="291"/>
      <c r="H269" s="291"/>
      <c r="I269" s="291"/>
      <c r="J269" s="291"/>
      <c r="K269" s="291"/>
      <c r="L269" s="291"/>
    </row>
    <row r="270" spans="3:12">
      <c r="C270" s="291"/>
      <c r="D270" s="291"/>
      <c r="E270" s="291"/>
      <c r="F270" s="291"/>
      <c r="G270" s="291"/>
      <c r="H270" s="291"/>
      <c r="I270" s="291"/>
      <c r="J270" s="291"/>
      <c r="K270" s="291"/>
      <c r="L270" s="291"/>
    </row>
    <row r="271" spans="3:12">
      <c r="C271" s="291"/>
      <c r="D271" s="291"/>
      <c r="E271" s="291"/>
      <c r="F271" s="291"/>
      <c r="G271" s="291"/>
      <c r="H271" s="291"/>
      <c r="I271" s="291"/>
      <c r="J271" s="291"/>
      <c r="K271" s="291"/>
      <c r="L271" s="291"/>
    </row>
    <row r="272" spans="3:12">
      <c r="C272" s="291"/>
      <c r="D272" s="291"/>
      <c r="E272" s="291"/>
      <c r="F272" s="291"/>
      <c r="G272" s="291"/>
      <c r="H272" s="291"/>
      <c r="I272" s="291"/>
      <c r="J272" s="291"/>
      <c r="K272" s="291"/>
      <c r="L272" s="291"/>
    </row>
    <row r="273" spans="3:12">
      <c r="C273" s="291"/>
      <c r="D273" s="291"/>
      <c r="E273" s="291"/>
      <c r="F273" s="291"/>
      <c r="G273" s="291"/>
      <c r="H273" s="291"/>
      <c r="I273" s="291"/>
      <c r="J273" s="291"/>
      <c r="K273" s="291"/>
      <c r="L273" s="291"/>
    </row>
    <row r="274" spans="3:12">
      <c r="C274" s="291"/>
      <c r="D274" s="291"/>
      <c r="E274" s="291"/>
      <c r="F274" s="291"/>
      <c r="G274" s="291"/>
      <c r="H274" s="291"/>
      <c r="I274" s="291"/>
      <c r="J274" s="291"/>
      <c r="K274" s="291"/>
      <c r="L274" s="291"/>
    </row>
    <row r="275" spans="3:12">
      <c r="C275" s="291"/>
      <c r="D275" s="291"/>
      <c r="E275" s="291"/>
      <c r="F275" s="291"/>
      <c r="G275" s="291"/>
      <c r="H275" s="291"/>
      <c r="I275" s="291"/>
      <c r="J275" s="291"/>
      <c r="K275" s="291"/>
      <c r="L275" s="291"/>
    </row>
    <row r="276" spans="3:12">
      <c r="C276" s="291"/>
      <c r="D276" s="291"/>
      <c r="E276" s="291"/>
      <c r="F276" s="291"/>
      <c r="G276" s="291"/>
      <c r="H276" s="291"/>
      <c r="I276" s="291"/>
      <c r="J276" s="291"/>
      <c r="K276" s="291"/>
      <c r="L276" s="291"/>
    </row>
    <row r="277" spans="3:12">
      <c r="C277" s="291"/>
      <c r="D277" s="291"/>
      <c r="E277" s="291"/>
      <c r="F277" s="291"/>
      <c r="G277" s="291"/>
      <c r="H277" s="291"/>
      <c r="I277" s="291"/>
      <c r="J277" s="291"/>
      <c r="K277" s="291"/>
      <c r="L277" s="291"/>
    </row>
    <row r="278" spans="3:12">
      <c r="C278" s="291"/>
      <c r="D278" s="291"/>
      <c r="E278" s="291"/>
      <c r="F278" s="291"/>
      <c r="G278" s="291"/>
      <c r="H278" s="291"/>
      <c r="I278" s="291"/>
      <c r="J278" s="291"/>
      <c r="K278" s="291"/>
      <c r="L278" s="291"/>
    </row>
    <row r="279" spans="3:12">
      <c r="C279" s="291"/>
      <c r="D279" s="291"/>
      <c r="E279" s="291"/>
      <c r="F279" s="291"/>
      <c r="G279" s="291"/>
      <c r="H279" s="291"/>
      <c r="I279" s="291"/>
      <c r="J279" s="291"/>
      <c r="K279" s="291"/>
      <c r="L279" s="291"/>
    </row>
    <row r="280" spans="3:12">
      <c r="C280" s="291"/>
      <c r="D280" s="291"/>
      <c r="E280" s="291"/>
      <c r="F280" s="291"/>
      <c r="G280" s="291"/>
      <c r="H280" s="291"/>
      <c r="I280" s="291"/>
      <c r="J280" s="291"/>
      <c r="K280" s="291"/>
      <c r="L280" s="291"/>
    </row>
    <row r="281" spans="3:12">
      <c r="C281" s="291"/>
      <c r="D281" s="291"/>
      <c r="E281" s="291"/>
      <c r="F281" s="291"/>
      <c r="G281" s="291"/>
      <c r="H281" s="291"/>
      <c r="I281" s="291"/>
      <c r="J281" s="291"/>
      <c r="K281" s="291"/>
      <c r="L281" s="291"/>
    </row>
    <row r="282" spans="3:12">
      <c r="C282" s="291"/>
      <c r="D282" s="291"/>
      <c r="E282" s="291"/>
      <c r="F282" s="291"/>
      <c r="G282" s="291"/>
      <c r="H282" s="291"/>
      <c r="I282" s="291"/>
      <c r="J282" s="291"/>
      <c r="K282" s="291"/>
      <c r="L282" s="291"/>
    </row>
    <row r="283" spans="3:12">
      <c r="C283" s="291"/>
      <c r="D283" s="291"/>
      <c r="E283" s="291"/>
      <c r="F283" s="291"/>
      <c r="G283" s="291"/>
      <c r="H283" s="291"/>
      <c r="I283" s="291"/>
      <c r="J283" s="291"/>
      <c r="K283" s="291"/>
      <c r="L283" s="291"/>
    </row>
    <row r="284" spans="3:12">
      <c r="C284" s="291"/>
      <c r="D284" s="291"/>
      <c r="E284" s="291"/>
      <c r="F284" s="291"/>
      <c r="G284" s="291"/>
      <c r="H284" s="291"/>
      <c r="I284" s="291"/>
      <c r="J284" s="291"/>
      <c r="K284" s="291"/>
      <c r="L284" s="291"/>
    </row>
    <row r="285" spans="3:12">
      <c r="C285" s="291"/>
      <c r="D285" s="291"/>
      <c r="E285" s="291"/>
      <c r="F285" s="291"/>
      <c r="G285" s="291"/>
      <c r="H285" s="291"/>
      <c r="I285" s="291"/>
      <c r="J285" s="291"/>
      <c r="K285" s="291"/>
      <c r="L285" s="291"/>
    </row>
    <row r="286" spans="3:12">
      <c r="C286" s="291"/>
      <c r="D286" s="291"/>
      <c r="E286" s="291"/>
      <c r="F286" s="291"/>
      <c r="G286" s="291"/>
      <c r="H286" s="291"/>
      <c r="I286" s="291"/>
      <c r="J286" s="291"/>
      <c r="K286" s="291"/>
      <c r="L286" s="291"/>
    </row>
    <row r="287" spans="3:12">
      <c r="C287" s="291"/>
      <c r="D287" s="291"/>
      <c r="E287" s="291"/>
      <c r="F287" s="291"/>
      <c r="G287" s="291"/>
      <c r="H287" s="291"/>
      <c r="I287" s="291"/>
      <c r="J287" s="291"/>
      <c r="K287" s="291"/>
      <c r="L287" s="291"/>
    </row>
    <row r="288" spans="3:12">
      <c r="C288" s="291"/>
      <c r="D288" s="291"/>
      <c r="E288" s="291"/>
      <c r="F288" s="291"/>
      <c r="G288" s="291"/>
      <c r="H288" s="291"/>
      <c r="I288" s="291"/>
      <c r="J288" s="291"/>
      <c r="K288" s="291"/>
      <c r="L288" s="291"/>
    </row>
    <row r="289" spans="3:12">
      <c r="C289" s="291"/>
      <c r="D289" s="291"/>
      <c r="E289" s="291"/>
      <c r="F289" s="291"/>
      <c r="G289" s="291"/>
      <c r="H289" s="291"/>
      <c r="I289" s="291"/>
      <c r="J289" s="291"/>
      <c r="K289" s="291"/>
      <c r="L289" s="291"/>
    </row>
    <row r="290" spans="3:12">
      <c r="C290" s="291"/>
      <c r="D290" s="291"/>
      <c r="E290" s="291"/>
      <c r="F290" s="291"/>
      <c r="G290" s="291"/>
      <c r="H290" s="291"/>
      <c r="I290" s="291"/>
      <c r="J290" s="291"/>
      <c r="K290" s="291"/>
      <c r="L290" s="291"/>
    </row>
    <row r="291" spans="3:12">
      <c r="C291" s="291"/>
      <c r="D291" s="291"/>
      <c r="E291" s="291"/>
      <c r="F291" s="291"/>
      <c r="G291" s="291"/>
      <c r="H291" s="291"/>
      <c r="I291" s="291"/>
      <c r="J291" s="291"/>
      <c r="K291" s="291"/>
      <c r="L291" s="291"/>
    </row>
    <row r="292" spans="3:12">
      <c r="C292" s="291"/>
      <c r="D292" s="291"/>
      <c r="E292" s="291"/>
      <c r="F292" s="291"/>
      <c r="G292" s="291"/>
      <c r="H292" s="291"/>
      <c r="I292" s="291"/>
      <c r="J292" s="291"/>
      <c r="K292" s="291"/>
      <c r="L292" s="291"/>
    </row>
  </sheetData>
  <customSheetViews>
    <customSheetView guid="{E1861F40-EBD5-44AE-868B-FDE0ED504D72}" scale="65" showPageBreaks="1" printArea="1" view="pageBreakPreview" topLeftCell="A43">
      <selection activeCell="N56" sqref="N56"/>
      <rowBreaks count="1" manualBreakCount="1">
        <brk id="41" max="13" man="1"/>
      </rowBreaks>
      <pageMargins left="0.25" right="0.25" top="0.75" bottom="0.25" header="0.4" footer="0.5"/>
      <printOptions horizontalCentered="1"/>
      <pageSetup scale="51" fitToHeight="3" orientation="landscape" r:id="rId1"/>
      <headerFooter alignWithMargins="0"/>
    </customSheetView>
  </customSheetViews>
  <mergeCells count="11">
    <mergeCell ref="C92:L92"/>
    <mergeCell ref="C88:L88"/>
    <mergeCell ref="C89:L89"/>
    <mergeCell ref="A54:N54"/>
    <mergeCell ref="A55:N55"/>
    <mergeCell ref="A5:N5"/>
    <mergeCell ref="A6:N6"/>
    <mergeCell ref="A7:L7"/>
    <mergeCell ref="C90:L90"/>
    <mergeCell ref="C91:L91"/>
    <mergeCell ref="K11:S11"/>
  </mergeCells>
  <phoneticPr fontId="19" type="noConversion"/>
  <printOptions horizontalCentered="1"/>
  <pageMargins left="0.7" right="0.7" top="0.75" bottom="0.75" header="0.3" footer="0.3"/>
  <pageSetup scale="26" fitToHeight="0" orientation="landscape" r:id="rId2"/>
  <headerFooter alignWithMargins="0"/>
  <rowBreaks count="1" manualBreakCount="1">
    <brk id="46" max="18"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6"/>
  <dimension ref="A1:AV52"/>
  <sheetViews>
    <sheetView view="pageBreakPreview" zoomScale="55" zoomScaleNormal="100" zoomScaleSheetLayoutView="55" workbookViewId="0">
      <selection activeCell="L80" sqref="L80"/>
    </sheetView>
  </sheetViews>
  <sheetFormatPr defaultRowHeight="15.05"/>
  <cols>
    <col min="1" max="1" width="5.81640625" customWidth="1"/>
    <col min="2" max="2" width="3.81640625" customWidth="1"/>
    <col min="3" max="3" width="47.08984375" customWidth="1"/>
    <col min="4" max="4" width="19.81640625" customWidth="1"/>
    <col min="5" max="5" width="17.90625" customWidth="1"/>
    <col min="6" max="18" width="14.36328125" bestFit="1" customWidth="1"/>
    <col min="19" max="19" width="3.90625" customWidth="1"/>
    <col min="20" max="20" width="16.36328125" customWidth="1"/>
    <col min="21" max="21" width="15.453125" customWidth="1"/>
    <col min="22" max="24" width="12.90625" bestFit="1" customWidth="1"/>
    <col min="25" max="25" width="17.90625" customWidth="1"/>
    <col min="26" max="33" width="12.90625" bestFit="1" customWidth="1"/>
    <col min="34" max="34" width="3.90625" customWidth="1"/>
    <col min="35" max="35" width="19" customWidth="1"/>
    <col min="36" max="36" width="14.453125" bestFit="1" customWidth="1"/>
    <col min="37" max="37" width="13.6328125" bestFit="1" customWidth="1"/>
    <col min="38" max="38" width="14.453125" bestFit="1" customWidth="1"/>
    <col min="39" max="39" width="13.6328125" bestFit="1" customWidth="1"/>
  </cols>
  <sheetData>
    <row r="1" spans="1:48" ht="15.65">
      <c r="A1" s="1365" t="s">
        <v>986</v>
      </c>
      <c r="B1" s="1365"/>
      <c r="C1" s="1365"/>
      <c r="D1" s="1365"/>
      <c r="E1" s="1365"/>
      <c r="F1" s="1365"/>
      <c r="G1" s="1365"/>
      <c r="H1" s="1365"/>
      <c r="I1" s="1365"/>
      <c r="J1" s="1365"/>
      <c r="K1" s="1365"/>
      <c r="L1" s="1365"/>
      <c r="M1" s="1365"/>
      <c r="N1" s="1365"/>
      <c r="O1" s="31"/>
      <c r="R1" s="6"/>
      <c r="S1" s="6" t="s">
        <v>810</v>
      </c>
      <c r="T1" s="1365" t="str">
        <f>A1</f>
        <v>TEC Worksheet Support</v>
      </c>
      <c r="U1" s="1365"/>
      <c r="V1" s="1365"/>
      <c r="W1" s="1365"/>
      <c r="X1" s="1365"/>
      <c r="Y1" s="1365"/>
      <c r="Z1" s="1365"/>
      <c r="AA1" s="1365"/>
      <c r="AB1" s="1365"/>
      <c r="AC1" s="1365"/>
      <c r="AD1" s="1365"/>
      <c r="AE1" s="1365"/>
      <c r="AF1" s="31"/>
      <c r="AG1" s="31"/>
      <c r="AH1" s="31"/>
      <c r="AI1" s="6" t="str">
        <f>S1</f>
        <v>Attachment  H-28A, Attachment 11a</v>
      </c>
    </row>
    <row r="2" spans="1:48" ht="15.65">
      <c r="A2" s="1366" t="s">
        <v>494</v>
      </c>
      <c r="B2" s="1366"/>
      <c r="C2" s="1366"/>
      <c r="D2" s="1366"/>
      <c r="E2" s="1366"/>
      <c r="F2" s="1366"/>
      <c r="G2" s="1366"/>
      <c r="H2" s="1366"/>
      <c r="I2" s="1366"/>
      <c r="J2" s="1366"/>
      <c r="K2" s="1366"/>
      <c r="L2" s="1366"/>
      <c r="M2" s="1366"/>
      <c r="N2" s="1366"/>
      <c r="O2" s="386"/>
      <c r="R2" s="6"/>
      <c r="S2" s="6" t="s">
        <v>224</v>
      </c>
      <c r="T2" s="1366" t="s">
        <v>494</v>
      </c>
      <c r="U2" s="1366"/>
      <c r="V2" s="1366"/>
      <c r="W2" s="1366"/>
      <c r="X2" s="1366"/>
      <c r="Y2" s="1366"/>
      <c r="Z2" s="1366"/>
      <c r="AA2" s="1366"/>
      <c r="AB2" s="1366"/>
      <c r="AC2" s="1366"/>
      <c r="AD2" s="1366"/>
      <c r="AE2" s="1366"/>
      <c r="AF2" s="386"/>
      <c r="AG2" s="386"/>
      <c r="AH2" s="386"/>
      <c r="AI2" s="6" t="s">
        <v>227</v>
      </c>
    </row>
    <row r="3" spans="1:48" ht="15.65">
      <c r="A3" s="386"/>
      <c r="B3" s="387"/>
      <c r="C3" s="387"/>
      <c r="D3" s="387"/>
      <c r="E3" s="387"/>
      <c r="F3" s="387"/>
      <c r="G3" s="387"/>
      <c r="H3" s="387"/>
      <c r="I3" s="387"/>
      <c r="J3" s="387"/>
      <c r="K3" s="387"/>
      <c r="L3" s="387"/>
      <c r="M3" s="9"/>
      <c r="R3" s="9"/>
      <c r="S3" s="9" t="str">
        <f>'Attachment 11 - TEC'!S3</f>
        <v>For the 12 months ended 12/31/2019</v>
      </c>
      <c r="AI3" s="9" t="str">
        <f>S3</f>
        <v>For the 12 months ended 12/31/2019</v>
      </c>
    </row>
    <row r="4" spans="1:48" ht="15.65">
      <c r="A4" s="386"/>
      <c r="B4" s="387"/>
      <c r="C4" s="387"/>
      <c r="D4" s="387"/>
      <c r="E4" s="387"/>
      <c r="F4" s="387"/>
      <c r="G4" s="387"/>
      <c r="H4" s="387"/>
      <c r="I4" s="387"/>
      <c r="J4" s="387"/>
      <c r="K4" s="387"/>
      <c r="L4" s="387"/>
      <c r="M4" s="9"/>
    </row>
    <row r="5" spans="1:48" ht="15.65">
      <c r="A5" s="386"/>
      <c r="B5" s="387"/>
      <c r="C5" s="387"/>
      <c r="D5" s="387"/>
      <c r="E5" s="387"/>
      <c r="F5" s="387"/>
      <c r="G5" s="387"/>
      <c r="H5" s="387"/>
      <c r="I5" s="387"/>
      <c r="J5" s="387"/>
      <c r="K5" s="387"/>
      <c r="L5" s="387"/>
      <c r="M5" s="9"/>
    </row>
    <row r="6" spans="1:48" ht="31.3">
      <c r="A6" s="32" t="s">
        <v>212</v>
      </c>
      <c r="B6" s="33"/>
      <c r="C6" s="43" t="s">
        <v>213</v>
      </c>
      <c r="D6" s="34" t="s">
        <v>229</v>
      </c>
      <c r="E6" s="35" t="s">
        <v>340</v>
      </c>
      <c r="F6" s="878">
        <v>43435</v>
      </c>
      <c r="G6" s="388">
        <f>F6+31</f>
        <v>43466</v>
      </c>
      <c r="H6" s="388">
        <f t="shared" ref="H6:R6" si="0">G6+31</f>
        <v>43497</v>
      </c>
      <c r="I6" s="388">
        <f t="shared" si="0"/>
        <v>43528</v>
      </c>
      <c r="J6" s="388">
        <f t="shared" si="0"/>
        <v>43559</v>
      </c>
      <c r="K6" s="388">
        <f t="shared" si="0"/>
        <v>43590</v>
      </c>
      <c r="L6" s="388">
        <f t="shared" si="0"/>
        <v>43621</v>
      </c>
      <c r="M6" s="388">
        <f t="shared" si="0"/>
        <v>43652</v>
      </c>
      <c r="N6" s="388">
        <f t="shared" si="0"/>
        <v>43683</v>
      </c>
      <c r="O6" s="388">
        <f t="shared" si="0"/>
        <v>43714</v>
      </c>
      <c r="P6" s="388">
        <f t="shared" si="0"/>
        <v>43745</v>
      </c>
      <c r="Q6" s="388">
        <f t="shared" si="0"/>
        <v>43776</v>
      </c>
      <c r="R6" s="388">
        <f t="shared" si="0"/>
        <v>43807</v>
      </c>
      <c r="S6" s="389"/>
      <c r="T6" s="35" t="s">
        <v>1366</v>
      </c>
      <c r="U6" s="388">
        <f>F6</f>
        <v>43435</v>
      </c>
      <c r="V6" s="388">
        <f t="shared" ref="V6:AG6" si="1">G6</f>
        <v>43466</v>
      </c>
      <c r="W6" s="388">
        <f t="shared" si="1"/>
        <v>43497</v>
      </c>
      <c r="X6" s="388">
        <f t="shared" si="1"/>
        <v>43528</v>
      </c>
      <c r="Y6" s="388">
        <f t="shared" si="1"/>
        <v>43559</v>
      </c>
      <c r="Z6" s="388">
        <f t="shared" si="1"/>
        <v>43590</v>
      </c>
      <c r="AA6" s="388">
        <f t="shared" si="1"/>
        <v>43621</v>
      </c>
      <c r="AB6" s="388">
        <f t="shared" si="1"/>
        <v>43652</v>
      </c>
      <c r="AC6" s="388">
        <f t="shared" si="1"/>
        <v>43683</v>
      </c>
      <c r="AD6" s="388">
        <f t="shared" si="1"/>
        <v>43714</v>
      </c>
      <c r="AE6" s="388">
        <f t="shared" si="1"/>
        <v>43745</v>
      </c>
      <c r="AF6" s="388">
        <f t="shared" si="1"/>
        <v>43776</v>
      </c>
      <c r="AG6" s="388">
        <f t="shared" si="1"/>
        <v>43807</v>
      </c>
      <c r="AH6" s="389"/>
      <c r="AI6" s="396" t="s">
        <v>1367</v>
      </c>
      <c r="AJ6" s="394"/>
      <c r="AK6" s="394"/>
      <c r="AL6" s="394"/>
      <c r="AM6" s="394"/>
      <c r="AN6" s="394"/>
      <c r="AO6" s="394"/>
      <c r="AP6" s="394"/>
      <c r="AQ6" s="394"/>
      <c r="AR6" s="394"/>
      <c r="AS6" s="394"/>
      <c r="AT6" s="394"/>
      <c r="AU6" s="394"/>
      <c r="AV6" s="394"/>
    </row>
    <row r="7" spans="1:48" ht="15.65">
      <c r="A7" s="36"/>
      <c r="B7" s="37"/>
      <c r="C7" s="37"/>
      <c r="D7" s="37"/>
      <c r="E7" s="38" t="s">
        <v>17</v>
      </c>
      <c r="F7" s="38"/>
      <c r="G7" s="38"/>
      <c r="H7" s="38"/>
      <c r="I7" s="38"/>
      <c r="J7" s="38"/>
      <c r="K7" s="38"/>
      <c r="L7" s="38"/>
      <c r="M7" s="38"/>
      <c r="N7" s="38"/>
      <c r="O7" s="38"/>
      <c r="P7" s="38"/>
      <c r="Q7" s="38"/>
      <c r="R7" s="38"/>
      <c r="S7" s="392"/>
      <c r="T7" s="38" t="s">
        <v>18</v>
      </c>
      <c r="U7" s="38" t="s">
        <v>20</v>
      </c>
      <c r="V7" s="38" t="s">
        <v>20</v>
      </c>
      <c r="W7" s="38" t="s">
        <v>20</v>
      </c>
      <c r="X7" s="38" t="s">
        <v>20</v>
      </c>
      <c r="Y7" s="38" t="s">
        <v>20</v>
      </c>
      <c r="Z7" s="38" t="s">
        <v>20</v>
      </c>
      <c r="AA7" s="38" t="s">
        <v>20</v>
      </c>
      <c r="AB7" s="38" t="s">
        <v>20</v>
      </c>
      <c r="AC7" s="38" t="s">
        <v>20</v>
      </c>
      <c r="AD7" s="38" t="s">
        <v>20</v>
      </c>
      <c r="AE7" s="38" t="s">
        <v>20</v>
      </c>
      <c r="AF7" s="38" t="s">
        <v>20</v>
      </c>
      <c r="AG7" s="38" t="s">
        <v>20</v>
      </c>
      <c r="AH7" s="393"/>
      <c r="AI7" s="81" t="s">
        <v>659</v>
      </c>
      <c r="AJ7" s="395"/>
      <c r="AK7" s="395"/>
      <c r="AL7" s="395"/>
      <c r="AM7" s="395"/>
      <c r="AN7" s="395"/>
      <c r="AO7" s="395"/>
      <c r="AP7" s="395"/>
      <c r="AQ7" s="395"/>
      <c r="AR7" s="395"/>
      <c r="AS7" s="395"/>
      <c r="AT7" s="395"/>
      <c r="AU7" s="395"/>
      <c r="AV7" s="395"/>
    </row>
    <row r="8" spans="1:48" ht="15.65">
      <c r="A8" s="39"/>
      <c r="B8" s="10"/>
      <c r="C8" s="10"/>
      <c r="D8" s="10"/>
      <c r="E8" s="10"/>
      <c r="F8" s="10"/>
      <c r="G8" s="10"/>
      <c r="H8" s="10"/>
      <c r="I8" s="10"/>
      <c r="J8" s="10"/>
      <c r="K8" s="10"/>
      <c r="L8" s="10"/>
      <c r="M8" s="10"/>
      <c r="N8" s="10"/>
      <c r="O8" s="10"/>
      <c r="P8" s="10"/>
      <c r="Q8" s="10"/>
      <c r="R8" s="10"/>
      <c r="S8" s="390"/>
      <c r="T8" s="395"/>
      <c r="U8" s="395"/>
      <c r="V8" s="395"/>
      <c r="W8" s="395"/>
      <c r="X8" s="395"/>
      <c r="Y8" s="395"/>
      <c r="Z8" s="395"/>
      <c r="AA8" s="395"/>
      <c r="AB8" s="395"/>
      <c r="AC8" s="395"/>
      <c r="AD8" s="395"/>
      <c r="AE8" s="395"/>
      <c r="AF8" s="395"/>
      <c r="AG8" s="395"/>
      <c r="AH8" s="397"/>
      <c r="AI8" s="398"/>
      <c r="AJ8" s="395"/>
      <c r="AK8" s="395"/>
      <c r="AL8" s="395"/>
      <c r="AM8" s="395"/>
      <c r="AN8" s="395"/>
      <c r="AO8" s="395"/>
      <c r="AP8" s="395"/>
      <c r="AQ8" s="395"/>
      <c r="AR8" s="395"/>
      <c r="AS8" s="395"/>
      <c r="AT8" s="395"/>
      <c r="AU8" s="395"/>
      <c r="AV8" s="395"/>
    </row>
    <row r="9" spans="1:48" ht="15.65">
      <c r="A9" s="653"/>
      <c r="B9" s="30"/>
      <c r="C9" s="30"/>
      <c r="D9" s="40"/>
      <c r="E9" s="19"/>
      <c r="F9" s="19"/>
      <c r="G9" s="19"/>
      <c r="H9" s="19"/>
      <c r="I9" s="19"/>
      <c r="J9" s="19"/>
      <c r="K9" s="19"/>
      <c r="L9" s="19"/>
      <c r="M9" s="19"/>
      <c r="N9" s="19"/>
      <c r="O9" s="19"/>
      <c r="P9" s="19"/>
      <c r="Q9" s="19"/>
      <c r="R9" s="19"/>
      <c r="S9" s="391"/>
      <c r="T9" s="395"/>
      <c r="U9" s="19"/>
      <c r="V9" s="19"/>
      <c r="W9" s="19"/>
      <c r="X9" s="19"/>
      <c r="Y9" s="19"/>
      <c r="Z9" s="19"/>
      <c r="AA9" s="19"/>
      <c r="AB9" s="19"/>
      <c r="AC9" s="19"/>
      <c r="AD9" s="19"/>
      <c r="AE9" s="19"/>
      <c r="AF9" s="19"/>
      <c r="AG9" s="19"/>
      <c r="AH9" s="397"/>
      <c r="AI9" s="657"/>
      <c r="AJ9" s="395"/>
      <c r="AK9" s="395"/>
      <c r="AL9" s="395"/>
      <c r="AM9" s="395"/>
      <c r="AN9" s="395"/>
      <c r="AO9" s="395"/>
      <c r="AP9" s="395"/>
      <c r="AQ9" s="395"/>
      <c r="AR9" s="395"/>
      <c r="AS9" s="395"/>
      <c r="AT9" s="395"/>
      <c r="AU9" s="395"/>
      <c r="AV9" s="395"/>
    </row>
    <row r="10" spans="1:48" ht="36" customHeight="1">
      <c r="A10" s="653" t="str">
        <f>'Attachment 11 - TEC'!A62</f>
        <v>2a</v>
      </c>
      <c r="B10" s="30"/>
      <c r="C10" s="847" t="str">
        <f>'Attachment 11 - TEC'!C62</f>
        <v>Install 230Kv series reactor and 2- 100MVAR PLC switched capacitors at Hunterstown</v>
      </c>
      <c r="D10" s="844" t="str">
        <f>'Attachment 11 - TEC'!D62</f>
        <v>b0215</v>
      </c>
      <c r="E10" s="19">
        <f>AVERAGE(F10:R10)</f>
        <v>12637431.433846155</v>
      </c>
      <c r="F10" s="1016">
        <v>12637431.470000001</v>
      </c>
      <c r="G10" s="1016">
        <v>12637431.470000001</v>
      </c>
      <c r="H10" s="1016">
        <v>12637431.470000001</v>
      </c>
      <c r="I10" s="1016">
        <v>12637431.470000001</v>
      </c>
      <c r="J10" s="1016">
        <v>12637431.470000001</v>
      </c>
      <c r="K10" s="1016">
        <v>12637431.470000001</v>
      </c>
      <c r="L10" s="1016">
        <v>12637431.470000001</v>
      </c>
      <c r="M10" s="1016">
        <v>12637431</v>
      </c>
      <c r="N10" s="1016">
        <v>12637431.470000001</v>
      </c>
      <c r="O10" s="1016">
        <v>12637431.470000001</v>
      </c>
      <c r="P10" s="1016">
        <v>12637431.470000001</v>
      </c>
      <c r="Q10" s="1016">
        <v>12637431.470000001</v>
      </c>
      <c r="R10" s="1016">
        <v>12637431.470000001</v>
      </c>
      <c r="S10" s="391"/>
      <c r="T10" s="1017">
        <f>AVERAGE(U10:AG10)</f>
        <v>2411063.5734739741</v>
      </c>
      <c r="U10" s="1016">
        <v>2314387.2229820015</v>
      </c>
      <c r="V10" s="1016">
        <v>2330499.9481062517</v>
      </c>
      <c r="W10" s="1016">
        <v>2346612.6732305018</v>
      </c>
      <c r="X10" s="1016">
        <v>2362725.398354752</v>
      </c>
      <c r="Y10" s="1016">
        <v>2378838.1234790022</v>
      </c>
      <c r="Z10" s="1016">
        <v>2394950.8486032523</v>
      </c>
      <c r="AA10" s="1016">
        <v>2411063.5737275025</v>
      </c>
      <c r="AB10" s="1016">
        <v>2427176.2985521276</v>
      </c>
      <c r="AC10" s="1016">
        <v>2443289.0233767526</v>
      </c>
      <c r="AD10" s="1016">
        <v>2459401.7485010028</v>
      </c>
      <c r="AE10" s="1016">
        <v>2475514.473625253</v>
      </c>
      <c r="AF10" s="1016">
        <v>2491627.1987495031</v>
      </c>
      <c r="AG10" s="1016">
        <v>2507739.9238737533</v>
      </c>
      <c r="AH10" s="397"/>
      <c r="AI10" s="398">
        <f t="shared" ref="AI10" si="2">E10-T10</f>
        <v>10226367.860372182</v>
      </c>
      <c r="AJ10" s="395"/>
      <c r="AK10" s="395"/>
      <c r="AL10" s="395"/>
      <c r="AM10" s="395"/>
      <c r="AN10" s="395"/>
      <c r="AO10" s="395"/>
      <c r="AP10" s="395"/>
      <c r="AQ10" s="395"/>
      <c r="AR10" s="395"/>
      <c r="AS10" s="395"/>
      <c r="AT10" s="395"/>
      <c r="AU10" s="395"/>
      <c r="AV10" s="395"/>
    </row>
    <row r="11" spans="1:48" ht="15.65">
      <c r="A11" s="653" t="str">
        <f>'Attachment 11 - TEC'!A63</f>
        <v>2b</v>
      </c>
      <c r="B11" s="30"/>
      <c r="C11" s="847" t="str">
        <f>'Attachment 11 - TEC'!C63</f>
        <v>Install 250 MVAR capacitor at Keystone 500 kV</v>
      </c>
      <c r="D11" s="844" t="str">
        <f>'Attachment 11 - TEC'!D63</f>
        <v>b0549</v>
      </c>
      <c r="E11" s="19">
        <f>AVERAGE(F11:R11)</f>
        <v>3207134.230769231</v>
      </c>
      <c r="F11" s="877">
        <v>3207134.25</v>
      </c>
      <c r="G11" s="877">
        <v>3207134.25</v>
      </c>
      <c r="H11" s="877">
        <v>3207134.25</v>
      </c>
      <c r="I11" s="877">
        <v>3207134.25</v>
      </c>
      <c r="J11" s="877">
        <v>3207134.25</v>
      </c>
      <c r="K11" s="877">
        <v>3207134.25</v>
      </c>
      <c r="L11" s="877">
        <v>3207134.25</v>
      </c>
      <c r="M11" s="877">
        <v>3207134</v>
      </c>
      <c r="N11" s="877">
        <v>3207134.25</v>
      </c>
      <c r="O11" s="877">
        <v>3207134.25</v>
      </c>
      <c r="P11" s="877">
        <v>3207134.25</v>
      </c>
      <c r="Q11" s="877">
        <v>3207134.25</v>
      </c>
      <c r="R11" s="877">
        <v>3207134.25</v>
      </c>
      <c r="S11" s="1018"/>
      <c r="T11" s="1017">
        <f t="shared" ref="T11:T23" si="3">AVERAGE(U11:AG11)</f>
        <v>373819.10190961551</v>
      </c>
      <c r="U11" s="877">
        <v>351689.87570625014</v>
      </c>
      <c r="V11" s="877">
        <v>355378.08009375015</v>
      </c>
      <c r="W11" s="877">
        <v>359066.28448125016</v>
      </c>
      <c r="X11" s="877">
        <v>362754.48886875017</v>
      </c>
      <c r="Y11" s="877">
        <v>366442.69325625018</v>
      </c>
      <c r="Z11" s="877">
        <v>370130.89764375018</v>
      </c>
      <c r="AA11" s="877">
        <v>373819.10203125019</v>
      </c>
      <c r="AB11" s="877">
        <v>377507.30627500021</v>
      </c>
      <c r="AC11" s="877">
        <v>381195.51051875023</v>
      </c>
      <c r="AD11" s="877">
        <v>384883.71490625024</v>
      </c>
      <c r="AE11" s="877">
        <v>388571.91929375025</v>
      </c>
      <c r="AF11" s="877">
        <v>392260.12368125026</v>
      </c>
      <c r="AG11" s="877">
        <v>395948.32806875027</v>
      </c>
      <c r="AH11" s="397"/>
      <c r="AI11" s="398">
        <f>E11-T11</f>
        <v>2833315.1288596154</v>
      </c>
    </row>
    <row r="12" spans="1:48" ht="15.65">
      <c r="A12" s="653" t="str">
        <f>'Attachment 11 - TEC'!A64</f>
        <v>2c</v>
      </c>
      <c r="B12" s="30"/>
      <c r="C12" s="847" t="str">
        <f>'Attachment 11 - TEC'!C64</f>
        <v>Install 25 MVAR capacitor at Saxton 115 kV substation</v>
      </c>
      <c r="D12" s="844" t="str">
        <f>'Attachment 11 - TEC'!D64</f>
        <v>b0551</v>
      </c>
      <c r="E12" s="19">
        <f>AVERAGE(F12:R12)</f>
        <v>1380393.0999999999</v>
      </c>
      <c r="F12" s="877">
        <v>1380393.1</v>
      </c>
      <c r="G12" s="877">
        <v>1380393.1</v>
      </c>
      <c r="H12" s="877">
        <v>1380393.1</v>
      </c>
      <c r="I12" s="877">
        <v>1380393.1</v>
      </c>
      <c r="J12" s="877">
        <v>1380393.1</v>
      </c>
      <c r="K12" s="877">
        <v>1380393.1</v>
      </c>
      <c r="L12" s="877">
        <v>1380393.1</v>
      </c>
      <c r="M12" s="877">
        <v>1380393.1</v>
      </c>
      <c r="N12" s="877">
        <v>1380393.1</v>
      </c>
      <c r="O12" s="877">
        <v>1380393.1</v>
      </c>
      <c r="P12" s="877">
        <v>1380393.1</v>
      </c>
      <c r="Q12" s="877">
        <v>1380393.1</v>
      </c>
      <c r="R12" s="877">
        <v>1380393.1</v>
      </c>
      <c r="S12" s="1018"/>
      <c r="T12" s="1017">
        <f t="shared" si="3"/>
        <v>266658.12467960414</v>
      </c>
      <c r="U12" s="877">
        <v>257188.17041875236</v>
      </c>
      <c r="V12" s="877">
        <v>258766.4961288943</v>
      </c>
      <c r="W12" s="877">
        <v>260344.82183903625</v>
      </c>
      <c r="X12" s="877">
        <v>261923.14754917819</v>
      </c>
      <c r="Y12" s="877">
        <v>263501.47325932013</v>
      </c>
      <c r="Z12" s="877">
        <v>265079.79896946211</v>
      </c>
      <c r="AA12" s="877">
        <v>266658.12467960408</v>
      </c>
      <c r="AB12" s="877">
        <v>268236.45038974605</v>
      </c>
      <c r="AC12" s="877">
        <v>269814.77609988803</v>
      </c>
      <c r="AD12" s="877">
        <v>271393.10181003</v>
      </c>
      <c r="AE12" s="877">
        <v>272971.42752017197</v>
      </c>
      <c r="AF12" s="877">
        <v>274549.75323031395</v>
      </c>
      <c r="AG12" s="877">
        <v>276128.07894045592</v>
      </c>
      <c r="AH12" s="397"/>
      <c r="AI12" s="398">
        <f t="shared" ref="AI12:AI25" si="4">E12-T12</f>
        <v>1113734.9753203958</v>
      </c>
    </row>
    <row r="13" spans="1:48" ht="15.65">
      <c r="A13" s="653" t="str">
        <f>'Attachment 11 - TEC'!A65</f>
        <v>2d</v>
      </c>
      <c r="B13" s="30"/>
      <c r="C13" s="847" t="str">
        <f>'Attachment 11 - TEC'!C65</f>
        <v>Install 50 MVAR capacitor at Altoona 230 kV substation</v>
      </c>
      <c r="D13" s="844" t="str">
        <f>'Attachment 11 - TEC'!D65</f>
        <v>b0552</v>
      </c>
      <c r="E13" s="19">
        <f t="shared" ref="E13:E26" si="5">AVERAGE(F13:R13)</f>
        <v>1038334.66</v>
      </c>
      <c r="F13" s="877">
        <v>1038334.66</v>
      </c>
      <c r="G13" s="877">
        <v>1038334.66</v>
      </c>
      <c r="H13" s="877">
        <v>1038334.66</v>
      </c>
      <c r="I13" s="877">
        <v>1038334.66</v>
      </c>
      <c r="J13" s="877">
        <v>1038334.66</v>
      </c>
      <c r="K13" s="877">
        <v>1038334.66</v>
      </c>
      <c r="L13" s="877">
        <v>1038334.66</v>
      </c>
      <c r="M13" s="877">
        <v>1038334.66</v>
      </c>
      <c r="N13" s="877">
        <v>1038334.66</v>
      </c>
      <c r="O13" s="877">
        <v>1038334.66</v>
      </c>
      <c r="P13" s="877">
        <v>1038334.66</v>
      </c>
      <c r="Q13" s="877">
        <v>1038334.66</v>
      </c>
      <c r="R13" s="877">
        <v>1038334.66</v>
      </c>
      <c r="S13" s="1018"/>
      <c r="T13" s="1017">
        <f t="shared" si="3"/>
        <v>94616.614734999908</v>
      </c>
      <c r="U13" s="877">
        <v>87452.105580999923</v>
      </c>
      <c r="V13" s="877">
        <v>88646.190439999918</v>
      </c>
      <c r="W13" s="877">
        <v>89840.275298999914</v>
      </c>
      <c r="X13" s="877">
        <v>91034.360157999909</v>
      </c>
      <c r="Y13" s="877">
        <v>92228.445016999904</v>
      </c>
      <c r="Z13" s="877">
        <v>93422.529875999899</v>
      </c>
      <c r="AA13" s="877">
        <v>94616.614734999894</v>
      </c>
      <c r="AB13" s="877">
        <v>95810.699593999889</v>
      </c>
      <c r="AC13" s="877">
        <v>97004.784452999884</v>
      </c>
      <c r="AD13" s="877">
        <v>98198.869311999879</v>
      </c>
      <c r="AE13" s="877">
        <v>99392.954170999874</v>
      </c>
      <c r="AF13" s="877">
        <v>100587.03902999987</v>
      </c>
      <c r="AG13" s="877">
        <v>101781.12388899986</v>
      </c>
      <c r="AH13" s="397"/>
      <c r="AI13" s="398">
        <f t="shared" si="4"/>
        <v>943718.04526500008</v>
      </c>
    </row>
    <row r="14" spans="1:48" ht="15.65">
      <c r="A14" s="653" t="str">
        <f>'Attachment 11 - TEC'!A66</f>
        <v>2e</v>
      </c>
      <c r="B14" s="30"/>
      <c r="C14" s="847" t="str">
        <f>'Attachment 11 - TEC'!C66</f>
        <v>Install 50 MVAR capacitor at Raystown 230 kV substation</v>
      </c>
      <c r="D14" s="844" t="str">
        <f>'Attachment 11 - TEC'!D66</f>
        <v>b0553</v>
      </c>
      <c r="E14" s="19">
        <f t="shared" si="5"/>
        <v>927946.84</v>
      </c>
      <c r="F14" s="877">
        <v>927946.84</v>
      </c>
      <c r="G14" s="877">
        <v>927946.84</v>
      </c>
      <c r="H14" s="877">
        <v>927946.84</v>
      </c>
      <c r="I14" s="877">
        <v>927946.84</v>
      </c>
      <c r="J14" s="877">
        <v>927946.84</v>
      </c>
      <c r="K14" s="877">
        <v>927946.84</v>
      </c>
      <c r="L14" s="877">
        <v>927946.84</v>
      </c>
      <c r="M14" s="877">
        <v>927946.84</v>
      </c>
      <c r="N14" s="877">
        <v>927946.84</v>
      </c>
      <c r="O14" s="877">
        <v>927946.84</v>
      </c>
      <c r="P14" s="877">
        <v>927946.84</v>
      </c>
      <c r="Q14" s="877">
        <v>927946.84</v>
      </c>
      <c r="R14" s="877">
        <v>927946.84</v>
      </c>
      <c r="S14" s="1018"/>
      <c r="T14" s="1017">
        <f t="shared" si="3"/>
        <v>108502.62597999981</v>
      </c>
      <c r="U14" s="877">
        <v>102099.79278399986</v>
      </c>
      <c r="V14" s="877">
        <v>103166.93164999985</v>
      </c>
      <c r="W14" s="877">
        <v>104234.07051599985</v>
      </c>
      <c r="X14" s="877">
        <v>105301.20938199984</v>
      </c>
      <c r="Y14" s="877">
        <v>106368.34824799983</v>
      </c>
      <c r="Z14" s="877">
        <v>107435.48711399983</v>
      </c>
      <c r="AA14" s="877">
        <v>108502.62597999982</v>
      </c>
      <c r="AB14" s="877">
        <v>109569.76484599982</v>
      </c>
      <c r="AC14" s="877">
        <v>110636.90371199981</v>
      </c>
      <c r="AD14" s="877">
        <v>111704.0425779998</v>
      </c>
      <c r="AE14" s="877">
        <v>112771.1814439998</v>
      </c>
      <c r="AF14" s="877">
        <v>113838.32030999979</v>
      </c>
      <c r="AG14" s="877">
        <v>114905.45917599979</v>
      </c>
      <c r="AH14" s="397"/>
      <c r="AI14" s="398">
        <f t="shared" si="4"/>
        <v>819444.21402000019</v>
      </c>
    </row>
    <row r="15" spans="1:48" ht="15.65">
      <c r="A15" s="653" t="str">
        <f>'Attachment 11 - TEC'!A67</f>
        <v>2f</v>
      </c>
      <c r="B15" s="30"/>
      <c r="C15" s="847" t="str">
        <f>'Attachment 11 - TEC'!C67</f>
        <v>Install 75 MVAR capacitor at East Towanda 230 kV substation</v>
      </c>
      <c r="D15" s="844" t="str">
        <f>'Attachment 11 - TEC'!D67</f>
        <v>b0557</v>
      </c>
      <c r="E15" s="19">
        <f t="shared" si="5"/>
        <v>2177814.3700000006</v>
      </c>
      <c r="F15" s="877">
        <v>2177814.37</v>
      </c>
      <c r="G15" s="877">
        <v>2177814.37</v>
      </c>
      <c r="H15" s="877">
        <v>2177814.37</v>
      </c>
      <c r="I15" s="877">
        <v>2177814.37</v>
      </c>
      <c r="J15" s="877">
        <v>2177814.37</v>
      </c>
      <c r="K15" s="877">
        <v>2177814.37</v>
      </c>
      <c r="L15" s="877">
        <v>2177814.37</v>
      </c>
      <c r="M15" s="877">
        <v>2177814.37</v>
      </c>
      <c r="N15" s="877">
        <v>2177814.37</v>
      </c>
      <c r="O15" s="877">
        <v>2177814.37</v>
      </c>
      <c r="P15" s="877">
        <v>2177814.37</v>
      </c>
      <c r="Q15" s="877">
        <v>2177814.37</v>
      </c>
      <c r="R15" s="877">
        <v>2177814.37</v>
      </c>
      <c r="S15" s="1018"/>
      <c r="T15" s="1017">
        <f t="shared" si="3"/>
        <v>254297.01352281129</v>
      </c>
      <c r="U15" s="877">
        <v>239363.42158556156</v>
      </c>
      <c r="V15" s="877">
        <v>241852.35357510319</v>
      </c>
      <c r="W15" s="877">
        <v>244341.28556464482</v>
      </c>
      <c r="X15" s="877">
        <v>246830.21755418644</v>
      </c>
      <c r="Y15" s="877">
        <v>249319.14954372807</v>
      </c>
      <c r="Z15" s="877">
        <v>251808.08153326969</v>
      </c>
      <c r="AA15" s="877">
        <v>254297.01352281132</v>
      </c>
      <c r="AB15" s="877">
        <v>256785.94551235295</v>
      </c>
      <c r="AC15" s="877">
        <v>259274.87750189457</v>
      </c>
      <c r="AD15" s="877">
        <v>261763.8094914362</v>
      </c>
      <c r="AE15" s="877">
        <v>264252.74148097786</v>
      </c>
      <c r="AF15" s="877">
        <v>266741.67347051948</v>
      </c>
      <c r="AG15" s="877">
        <v>269230.60546006111</v>
      </c>
      <c r="AH15" s="397"/>
      <c r="AI15" s="398">
        <f t="shared" si="4"/>
        <v>1923517.3564771893</v>
      </c>
    </row>
    <row r="16" spans="1:48" ht="15.65">
      <c r="A16" s="653" t="str">
        <f>'Attachment 11 - TEC'!A68</f>
        <v>2g</v>
      </c>
      <c r="B16" s="30"/>
      <c r="C16" s="847" t="str">
        <f>'Attachment 11 - TEC'!C68</f>
        <v>Relocate the Erie South 345 kV line terminal</v>
      </c>
      <c r="D16" s="844" t="str">
        <f>'Attachment 11 - TEC'!D68</f>
        <v>b1993</v>
      </c>
      <c r="E16" s="19">
        <f t="shared" si="5"/>
        <v>10662990.764615379</v>
      </c>
      <c r="F16" s="877">
        <v>10675225.329999996</v>
      </c>
      <c r="G16" s="877">
        <v>10675225.329999996</v>
      </c>
      <c r="H16" s="877">
        <v>10675225.329999996</v>
      </c>
      <c r="I16" s="877">
        <v>10675225.329999996</v>
      </c>
      <c r="J16" s="877">
        <v>10675225.329999996</v>
      </c>
      <c r="K16" s="877">
        <v>10675225.329999996</v>
      </c>
      <c r="L16" s="877">
        <v>10675225.329999996</v>
      </c>
      <c r="M16" s="877">
        <v>10675225.329999996</v>
      </c>
      <c r="N16" s="877">
        <v>10675225.329999996</v>
      </c>
      <c r="O16" s="877">
        <v>10622208.879999997</v>
      </c>
      <c r="P16" s="877">
        <v>10622208.879999997</v>
      </c>
      <c r="Q16" s="877">
        <v>10622208.879999997</v>
      </c>
      <c r="R16" s="877">
        <v>10675225.329999996</v>
      </c>
      <c r="S16" s="1018"/>
      <c r="T16" s="1017">
        <f t="shared" si="3"/>
        <v>651089.64477765607</v>
      </c>
      <c r="U16" s="877">
        <v>577580.22697919537</v>
      </c>
      <c r="V16" s="877">
        <v>589837.64989395405</v>
      </c>
      <c r="W16" s="877">
        <v>602095.07280871272</v>
      </c>
      <c r="X16" s="877">
        <v>614352.49572347139</v>
      </c>
      <c r="Y16" s="877">
        <v>626609.91863823007</v>
      </c>
      <c r="Z16" s="877">
        <v>638867.34155298874</v>
      </c>
      <c r="AA16" s="877">
        <v>651124.76446774742</v>
      </c>
      <c r="AB16" s="877">
        <v>663382.18738250609</v>
      </c>
      <c r="AC16" s="877">
        <v>675639.61029726476</v>
      </c>
      <c r="AD16" s="877">
        <v>687866.59614727763</v>
      </c>
      <c r="AE16" s="877">
        <v>700063.14493254479</v>
      </c>
      <c r="AF16" s="877">
        <v>712259.69371781196</v>
      </c>
      <c r="AG16" s="877">
        <v>724486.67956782482</v>
      </c>
      <c r="AH16" s="397"/>
      <c r="AI16" s="398">
        <f>E16-T16</f>
        <v>10011901.119837724</v>
      </c>
    </row>
    <row r="17" spans="1:35" ht="47">
      <c r="A17" s="653" t="str">
        <f>'Attachment 11 - TEC'!A69</f>
        <v>2h</v>
      </c>
      <c r="B17" s="30"/>
      <c r="C17" s="847" t="str">
        <f>'Attachment 11 - TEC'!C69</f>
        <v>Convert Lewis Run-Farmers Valley to 230 kV using 1033.5 ACSR conductor. Project to be completed in conjunction with new Farmers Valley 345/230 kV transformation</v>
      </c>
      <c r="D17" s="844" t="str">
        <f>'Attachment 11 - TEC'!D69</f>
        <v>b1994</v>
      </c>
      <c r="E17" s="19">
        <f>AVERAGE(F17:R17)</f>
        <v>61487666.600769244</v>
      </c>
      <c r="F17" s="877">
        <v>60336670.080000006</v>
      </c>
      <c r="G17" s="877">
        <v>60517333.190000005</v>
      </c>
      <c r="H17" s="877">
        <v>61127991.82</v>
      </c>
      <c r="I17" s="877">
        <v>61101318.800000004</v>
      </c>
      <c r="J17" s="877">
        <v>61193342.139999993</v>
      </c>
      <c r="K17" s="877">
        <v>61591528.780000001</v>
      </c>
      <c r="L17" s="877">
        <v>61614160.590000004</v>
      </c>
      <c r="M17" s="877">
        <v>61631205.939999998</v>
      </c>
      <c r="N17" s="877">
        <v>61645506.400000006</v>
      </c>
      <c r="O17" s="877">
        <v>62026734.270000003</v>
      </c>
      <c r="P17" s="877">
        <v>62020554.320000008</v>
      </c>
      <c r="Q17" s="877">
        <v>62228508.880000003</v>
      </c>
      <c r="R17" s="877">
        <v>62304810.600000001</v>
      </c>
      <c r="S17" s="1018"/>
      <c r="T17" s="1017">
        <f t="shared" si="3"/>
        <v>966254.77826957102</v>
      </c>
      <c r="U17" s="877">
        <v>525820.72586216079</v>
      </c>
      <c r="V17" s="877">
        <v>598264.87453465036</v>
      </c>
      <c r="W17" s="877">
        <v>671183.36934569734</v>
      </c>
      <c r="X17" s="877">
        <v>744451.9257120816</v>
      </c>
      <c r="Y17" s="877">
        <v>817759.65536333667</v>
      </c>
      <c r="Z17" s="877">
        <v>891361.23415248515</v>
      </c>
      <c r="AA17" s="877">
        <v>965215.06635096273</v>
      </c>
      <c r="AB17" s="877">
        <v>1039092.6824374389</v>
      </c>
      <c r="AC17" s="877">
        <v>1112989.0883071118</v>
      </c>
      <c r="AD17" s="877">
        <v>1187122.5877969165</v>
      </c>
      <c r="AE17" s="877">
        <v>1261480.9042273324</v>
      </c>
      <c r="AF17" s="877">
        <v>1335960.1714698826</v>
      </c>
      <c r="AG17" s="877">
        <v>1410609.8319443674</v>
      </c>
      <c r="AH17" s="397"/>
      <c r="AI17" s="398">
        <f>E17-T17</f>
        <v>60521411.82249967</v>
      </c>
    </row>
    <row r="18" spans="1:35" ht="15.65">
      <c r="A18" s="653" t="str">
        <f>'Attachment 11 - TEC'!A70</f>
        <v xml:space="preserve">2i </v>
      </c>
      <c r="B18" s="30"/>
      <c r="C18" s="847" t="s">
        <v>1373</v>
      </c>
      <c r="D18" s="844" t="s">
        <v>1374</v>
      </c>
      <c r="E18" s="19">
        <f>AVERAGE(F18:R18)</f>
        <v>130995.06000000004</v>
      </c>
      <c r="F18" s="877">
        <v>130995.06</v>
      </c>
      <c r="G18" s="877">
        <v>130995.06</v>
      </c>
      <c r="H18" s="877">
        <v>130995.06</v>
      </c>
      <c r="I18" s="877">
        <v>130995.06</v>
      </c>
      <c r="J18" s="877">
        <v>130995.06</v>
      </c>
      <c r="K18" s="877">
        <v>130995.06</v>
      </c>
      <c r="L18" s="877">
        <v>130995.06</v>
      </c>
      <c r="M18" s="877">
        <v>130995.06</v>
      </c>
      <c r="N18" s="877">
        <v>130995.06</v>
      </c>
      <c r="O18" s="877">
        <v>130995.06</v>
      </c>
      <c r="P18" s="877">
        <v>130995.06</v>
      </c>
      <c r="Q18" s="877">
        <v>130995.06</v>
      </c>
      <c r="R18" s="877">
        <v>130995.06</v>
      </c>
      <c r="S18" s="1018"/>
      <c r="T18" s="1017">
        <f t="shared" si="3"/>
        <v>19636.336825000002</v>
      </c>
      <c r="U18" s="877">
        <v>18293.637460000002</v>
      </c>
      <c r="V18" s="877">
        <v>18517.420687500002</v>
      </c>
      <c r="W18" s="877">
        <v>18741.203915000002</v>
      </c>
      <c r="X18" s="877">
        <v>18964.987142500002</v>
      </c>
      <c r="Y18" s="877">
        <v>19188.770370000002</v>
      </c>
      <c r="Z18" s="877">
        <v>19412.553597500002</v>
      </c>
      <c r="AA18" s="877">
        <v>19636.336825000002</v>
      </c>
      <c r="AB18" s="877">
        <v>19860.120052500002</v>
      </c>
      <c r="AC18" s="877">
        <v>20083.903280000002</v>
      </c>
      <c r="AD18" s="877">
        <v>20307.686507500002</v>
      </c>
      <c r="AE18" s="877">
        <v>20531.469735000002</v>
      </c>
      <c r="AF18" s="877">
        <v>20755.252962500002</v>
      </c>
      <c r="AG18" s="877">
        <v>20979.036190000003</v>
      </c>
      <c r="AH18" s="397"/>
      <c r="AI18" s="398">
        <f t="shared" ref="AI18:AI21" si="6">E18-T18</f>
        <v>111358.72317500004</v>
      </c>
    </row>
    <row r="19" spans="1:35" ht="31.3">
      <c r="A19" s="653" t="str">
        <f>'Attachment 11 - TEC'!A71</f>
        <v>2j</v>
      </c>
      <c r="B19" s="30"/>
      <c r="C19" s="847" t="s">
        <v>1375</v>
      </c>
      <c r="D19" s="844" t="s">
        <v>1376</v>
      </c>
      <c r="E19" s="19">
        <f t="shared" ref="E19:E21" si="7">AVERAGE(F19:R19)</f>
        <v>87274.76</v>
      </c>
      <c r="F19" s="877">
        <v>87274.76</v>
      </c>
      <c r="G19" s="877">
        <v>87274.76</v>
      </c>
      <c r="H19" s="877">
        <v>87274.76</v>
      </c>
      <c r="I19" s="877">
        <v>87274.76</v>
      </c>
      <c r="J19" s="877">
        <v>87274.76</v>
      </c>
      <c r="K19" s="877">
        <v>87274.76</v>
      </c>
      <c r="L19" s="877">
        <v>87274.76</v>
      </c>
      <c r="M19" s="877">
        <v>87274.76</v>
      </c>
      <c r="N19" s="877">
        <v>87274.76</v>
      </c>
      <c r="O19" s="877">
        <v>87274.76</v>
      </c>
      <c r="P19" s="877">
        <v>87274.76</v>
      </c>
      <c r="Q19" s="877">
        <v>87274.76</v>
      </c>
      <c r="R19" s="877">
        <v>87274.76</v>
      </c>
      <c r="S19" s="1018"/>
      <c r="T19" s="1017">
        <f t="shared" si="3"/>
        <v>11846.51262312498</v>
      </c>
      <c r="U19" s="877">
        <v>10951.946333124984</v>
      </c>
      <c r="V19" s="877">
        <v>11101.04071479165</v>
      </c>
      <c r="W19" s="877">
        <v>11250.135096458316</v>
      </c>
      <c r="X19" s="877">
        <v>11399.229478124982</v>
      </c>
      <c r="Y19" s="877">
        <v>11548.323859791648</v>
      </c>
      <c r="Z19" s="877">
        <v>11697.418241458314</v>
      </c>
      <c r="AA19" s="877">
        <v>11846.51262312498</v>
      </c>
      <c r="AB19" s="877">
        <v>11995.607004791646</v>
      </c>
      <c r="AC19" s="877">
        <v>12144.701386458311</v>
      </c>
      <c r="AD19" s="877">
        <v>12293.795768124977</v>
      </c>
      <c r="AE19" s="877">
        <v>12442.890149791643</v>
      </c>
      <c r="AF19" s="877">
        <v>12591.984531458309</v>
      </c>
      <c r="AG19" s="877">
        <v>12741.078913124975</v>
      </c>
      <c r="AH19" s="397"/>
      <c r="AI19" s="398">
        <f t="shared" si="6"/>
        <v>75428.247376875021</v>
      </c>
    </row>
    <row r="20" spans="1:35" ht="15.65">
      <c r="A20" s="653" t="str">
        <f>'Attachment 11 - TEC'!A72</f>
        <v>2k</v>
      </c>
      <c r="B20" s="30"/>
      <c r="C20" s="847" t="s">
        <v>1377</v>
      </c>
      <c r="D20" s="844" t="s">
        <v>1378</v>
      </c>
      <c r="E20" s="19">
        <f t="shared" si="7"/>
        <v>51019.640769230777</v>
      </c>
      <c r="F20" s="877">
        <v>52365.25</v>
      </c>
      <c r="G20" s="877">
        <v>52365.25</v>
      </c>
      <c r="H20" s="877">
        <v>52365.25</v>
      </c>
      <c r="I20" s="877">
        <v>52365.25</v>
      </c>
      <c r="J20" s="877">
        <v>52365.25</v>
      </c>
      <c r="K20" s="877">
        <v>52365.25</v>
      </c>
      <c r="L20" s="877">
        <v>52365.25</v>
      </c>
      <c r="M20" s="877">
        <v>52365.25</v>
      </c>
      <c r="N20" s="877">
        <v>52365.25</v>
      </c>
      <c r="O20" s="877">
        <v>47992.020000000004</v>
      </c>
      <c r="P20" s="877">
        <v>47992.020000000004</v>
      </c>
      <c r="Q20" s="877">
        <v>47992.020000000004</v>
      </c>
      <c r="R20" s="877">
        <v>47992.020000000004</v>
      </c>
      <c r="S20" s="1018"/>
      <c r="T20" s="1017">
        <f t="shared" si="3"/>
        <v>5226.6073669743591</v>
      </c>
      <c r="U20" s="877">
        <v>4894.3404</v>
      </c>
      <c r="V20" s="877">
        <v>4950.1966666666667</v>
      </c>
      <c r="W20" s="877">
        <v>5006.0529333333334</v>
      </c>
      <c r="X20" s="877">
        <v>5061.9092000000001</v>
      </c>
      <c r="Y20" s="877">
        <v>5117.7654666666667</v>
      </c>
      <c r="Z20" s="877">
        <v>5173.6217333333334</v>
      </c>
      <c r="AA20" s="877">
        <v>5229.4780000000001</v>
      </c>
      <c r="AB20" s="877">
        <v>5285.3342666666667</v>
      </c>
      <c r="AC20" s="877">
        <v>5341.1905333333334</v>
      </c>
      <c r="AD20" s="877">
        <v>5394.7144106666665</v>
      </c>
      <c r="AE20" s="877">
        <v>5445.9058986666669</v>
      </c>
      <c r="AF20" s="877">
        <v>5497.0973866666673</v>
      </c>
      <c r="AG20" s="877">
        <v>5548.2888746666677</v>
      </c>
      <c r="AH20" s="397"/>
      <c r="AI20" s="398">
        <f t="shared" si="6"/>
        <v>45793.03340225642</v>
      </c>
    </row>
    <row r="21" spans="1:35" ht="15.65">
      <c r="A21" s="653" t="str">
        <f>'Attachment 11 - TEC'!A73</f>
        <v>2l</v>
      </c>
      <c r="B21" s="30"/>
      <c r="C21" s="847" t="s">
        <v>1379</v>
      </c>
      <c r="D21" s="844" t="s">
        <v>1380</v>
      </c>
      <c r="E21" s="19">
        <f t="shared" si="7"/>
        <v>40780.75230769231</v>
      </c>
      <c r="F21" s="877">
        <v>65539.14</v>
      </c>
      <c r="G21" s="877">
        <v>65539.14</v>
      </c>
      <c r="H21" s="877">
        <v>65539.14</v>
      </c>
      <c r="I21" s="877">
        <v>65539.14</v>
      </c>
      <c r="J21" s="877">
        <v>65539.14</v>
      </c>
      <c r="K21" s="877">
        <v>65539.14</v>
      </c>
      <c r="L21" s="877">
        <v>65539.14</v>
      </c>
      <c r="M21" s="877">
        <v>65539.14</v>
      </c>
      <c r="N21" s="877">
        <v>5836.66</v>
      </c>
      <c r="O21" s="877">
        <v>0</v>
      </c>
      <c r="P21" s="877">
        <v>0</v>
      </c>
      <c r="Q21" s="877">
        <v>0</v>
      </c>
      <c r="R21" s="877">
        <v>0</v>
      </c>
      <c r="S21" s="1018"/>
      <c r="T21" s="1017">
        <f t="shared" si="3"/>
        <v>10598.321022996777</v>
      </c>
      <c r="U21" s="877">
        <v>10030.74979145832</v>
      </c>
      <c r="V21" s="877">
        <v>10142.712488958319</v>
      </c>
      <c r="W21" s="877">
        <v>10254.675186458318</v>
      </c>
      <c r="X21" s="877">
        <v>10366.637883958318</v>
      </c>
      <c r="Y21" s="877">
        <v>10478.600581458317</v>
      </c>
      <c r="Z21" s="877">
        <v>10590.563278958316</v>
      </c>
      <c r="AA21" s="877">
        <v>10702.525976458315</v>
      </c>
      <c r="AB21" s="877">
        <v>10814.488673958314</v>
      </c>
      <c r="AC21" s="877">
        <v>10875.45550312498</v>
      </c>
      <c r="AD21" s="877">
        <v>10880.440983541646</v>
      </c>
      <c r="AE21" s="877">
        <v>10880.440983541646</v>
      </c>
      <c r="AF21" s="877">
        <v>10880.440983541646</v>
      </c>
      <c r="AG21" s="877">
        <v>10880.440983541646</v>
      </c>
      <c r="AH21" s="397"/>
      <c r="AI21" s="398">
        <f t="shared" si="6"/>
        <v>30182.431284695533</v>
      </c>
    </row>
    <row r="22" spans="1:35" ht="31.3">
      <c r="A22" s="653" t="str">
        <f>'Attachment 11 - TEC'!A74</f>
        <v>2m</v>
      </c>
      <c r="B22" s="30"/>
      <c r="C22" s="847" t="str">
        <f>'Attachment 11 - TEC'!C74</f>
        <v xml:space="preserve">Germantown r p 138 115kV #1 Bk Xfmr + Upgrade 138kV 999L &amp; 115kV 998L components </v>
      </c>
      <c r="D22" s="844" t="str">
        <f>'Attachment 11 - TEC'!D74</f>
        <v>b2688.1 &amp; b2688.2</v>
      </c>
      <c r="E22" s="19">
        <f>AVERAGE(F22:R22)</f>
        <v>5967806.8438461535</v>
      </c>
      <c r="F22" s="877">
        <v>6016946.9900000002</v>
      </c>
      <c r="G22" s="877">
        <v>6029106.5300000003</v>
      </c>
      <c r="H22" s="877">
        <v>6029265.6900000004</v>
      </c>
      <c r="I22" s="877">
        <v>6029240.8099999996</v>
      </c>
      <c r="J22" s="877">
        <v>6029241.1500000004</v>
      </c>
      <c r="K22" s="877">
        <v>5935320.2800000003</v>
      </c>
      <c r="L22" s="877">
        <v>5941727.580000001</v>
      </c>
      <c r="M22" s="877">
        <v>5943149.2000000002</v>
      </c>
      <c r="N22" s="877">
        <v>5923777.2800000003</v>
      </c>
      <c r="O22" s="877">
        <v>5925174.1600000001</v>
      </c>
      <c r="P22" s="877">
        <v>5926001.9800000004</v>
      </c>
      <c r="Q22" s="877">
        <v>5926268.6600000001</v>
      </c>
      <c r="R22" s="877">
        <v>5926268.6600000001</v>
      </c>
      <c r="S22" s="1018"/>
      <c r="T22" s="1017">
        <f t="shared" si="3"/>
        <v>148737.04164812501</v>
      </c>
      <c r="U22" s="877">
        <v>87347.934057708335</v>
      </c>
      <c r="V22" s="877">
        <v>97637.271439375007</v>
      </c>
      <c r="W22" s="877">
        <v>107937.13104395835</v>
      </c>
      <c r="X22" s="877">
        <v>118237.10534604167</v>
      </c>
      <c r="Y22" s="877">
        <v>128537.05868687501</v>
      </c>
      <c r="Z22" s="877">
        <v>138756.78824166668</v>
      </c>
      <c r="AA22" s="877">
        <v>148901.76662208335</v>
      </c>
      <c r="AB22" s="877">
        <v>159053.43220500002</v>
      </c>
      <c r="AC22" s="877">
        <v>169189.76524000001</v>
      </c>
      <c r="AD22" s="877">
        <v>179310.744595</v>
      </c>
      <c r="AE22" s="877">
        <v>189433.62421458334</v>
      </c>
      <c r="AF22" s="877">
        <v>199557.43871958333</v>
      </c>
      <c r="AG22" s="877">
        <v>209681.48101374999</v>
      </c>
      <c r="AH22" s="397"/>
      <c r="AI22" s="398">
        <f>E22-T22</f>
        <v>5819069.8021980282</v>
      </c>
    </row>
    <row r="23" spans="1:35" ht="31.3">
      <c r="A23" s="653" t="str">
        <f>'Attachment 11 - TEC'!A75</f>
        <v>2n</v>
      </c>
      <c r="B23" s="30"/>
      <c r="C23" s="847" t="str">
        <f>'Attachment 11 - TEC'!C75</f>
        <v>Loop the 2026 (TMI - Hosensack 500 kV) line in to the Lauschtown substation and upgrade relay at TMI 500 kV</v>
      </c>
      <c r="D23" s="844" t="str">
        <f>'Attachment 11 - TEC'!D75</f>
        <v>b2006.1.1_DFAX_Allocation</v>
      </c>
      <c r="E23" s="19">
        <f t="shared" si="5"/>
        <v>2214932.7292307694</v>
      </c>
      <c r="F23" s="877">
        <v>2213613.2949999999</v>
      </c>
      <c r="G23" s="877">
        <v>2213703.6749999998</v>
      </c>
      <c r="H23" s="877">
        <v>2214142.13</v>
      </c>
      <c r="I23" s="877">
        <v>2214142.13</v>
      </c>
      <c r="J23" s="877">
        <v>2214142.13</v>
      </c>
      <c r="K23" s="877">
        <v>2214142.13</v>
      </c>
      <c r="L23" s="877">
        <v>2215748.5699999998</v>
      </c>
      <c r="M23" s="877">
        <v>2215748.5699999998</v>
      </c>
      <c r="N23" s="877">
        <v>2215748.5700000003</v>
      </c>
      <c r="O23" s="877">
        <v>2215748.5700000003</v>
      </c>
      <c r="P23" s="877">
        <v>2215748.5700000003</v>
      </c>
      <c r="Q23" s="877">
        <v>2215748.5700000003</v>
      </c>
      <c r="R23" s="877">
        <v>2215748.5700000003</v>
      </c>
      <c r="S23" s="397"/>
      <c r="T23" s="1017">
        <f t="shared" si="3"/>
        <v>114543.43279798081</v>
      </c>
      <c r="U23" s="877">
        <v>87304.573660374997</v>
      </c>
      <c r="V23" s="877">
        <v>91842.573554624993</v>
      </c>
      <c r="W23" s="877">
        <v>96381.115504749992</v>
      </c>
      <c r="X23" s="877">
        <v>100920.10687125</v>
      </c>
      <c r="Y23" s="877">
        <v>105459.09823775</v>
      </c>
      <c r="Z23" s="877">
        <v>109998.08960425001</v>
      </c>
      <c r="AA23" s="877">
        <v>114538.72757175002</v>
      </c>
      <c r="AB23" s="877">
        <v>119081.01214025002</v>
      </c>
      <c r="AC23" s="877">
        <v>123623.29670875003</v>
      </c>
      <c r="AD23" s="877">
        <v>128165.58127725004</v>
      </c>
      <c r="AE23" s="877">
        <v>132707.86584575003</v>
      </c>
      <c r="AF23" s="877">
        <v>137250.15041425003</v>
      </c>
      <c r="AG23" s="877">
        <v>141792.43498275004</v>
      </c>
      <c r="AH23" s="397"/>
      <c r="AI23" s="398">
        <f t="shared" si="4"/>
        <v>2100389.2964327885</v>
      </c>
    </row>
    <row r="24" spans="1:35" ht="31.3">
      <c r="A24" s="653" t="str">
        <f>'Attachment 11 - TEC'!A76</f>
        <v>2o</v>
      </c>
      <c r="B24" s="30"/>
      <c r="C24" s="847" t="str">
        <f>'Attachment 11 - TEC'!C76</f>
        <v>Loop the 2026 (TMI - Hosensack 500 kV) line in to the Lauschtown substation and upgrade relay at TMI 500 kV</v>
      </c>
      <c r="D24" s="844" t="str">
        <f>'Attachment 11 - TEC'!D76</f>
        <v>b2006.1.1_Load_Ratio_Share_Allocation</v>
      </c>
      <c r="E24" s="19">
        <f t="shared" si="5"/>
        <v>2214932.7292307694</v>
      </c>
      <c r="F24" s="877">
        <v>2213613.2949999999</v>
      </c>
      <c r="G24" s="877">
        <v>2213703.6749999998</v>
      </c>
      <c r="H24" s="877">
        <v>2214142.13</v>
      </c>
      <c r="I24" s="877">
        <v>2214142.13</v>
      </c>
      <c r="J24" s="877">
        <v>2214142.13</v>
      </c>
      <c r="K24" s="877">
        <v>2214142.13</v>
      </c>
      <c r="L24" s="877">
        <v>2215748.5699999998</v>
      </c>
      <c r="M24" s="877">
        <v>2215748.5699999998</v>
      </c>
      <c r="N24" s="877">
        <v>2215748.5700000003</v>
      </c>
      <c r="O24" s="877">
        <v>2215748.5700000003</v>
      </c>
      <c r="P24" s="877">
        <v>2215748.5700000003</v>
      </c>
      <c r="Q24" s="877">
        <v>2215748.5700000003</v>
      </c>
      <c r="R24" s="877">
        <v>2215748.5700000003</v>
      </c>
      <c r="S24" s="397"/>
      <c r="T24" s="1017">
        <f>AVERAGE(U24:AG24)</f>
        <v>114543.43279798081</v>
      </c>
      <c r="U24" s="877">
        <v>87304.573660374997</v>
      </c>
      <c r="V24" s="877">
        <v>91842.573554624993</v>
      </c>
      <c r="W24" s="877">
        <v>96381.115504749992</v>
      </c>
      <c r="X24" s="877">
        <v>100920.10687125</v>
      </c>
      <c r="Y24" s="877">
        <v>105459.09823775</v>
      </c>
      <c r="Z24" s="877">
        <v>109998.08960425001</v>
      </c>
      <c r="AA24" s="877">
        <v>114538.72757175002</v>
      </c>
      <c r="AB24" s="877">
        <v>119081.01214025002</v>
      </c>
      <c r="AC24" s="877">
        <v>123623.29670875003</v>
      </c>
      <c r="AD24" s="877">
        <v>128165.58127725004</v>
      </c>
      <c r="AE24" s="877">
        <v>132707.86584575003</v>
      </c>
      <c r="AF24" s="877">
        <v>137250.15041425003</v>
      </c>
      <c r="AG24" s="877">
        <v>141792.43498275004</v>
      </c>
      <c r="AH24" s="397"/>
      <c r="AI24" s="398">
        <f t="shared" si="4"/>
        <v>2100389.2964327885</v>
      </c>
    </row>
    <row r="25" spans="1:35" ht="15.65">
      <c r="A25" s="653" t="str">
        <f>'Attachment 11 - TEC'!A77</f>
        <v>2p</v>
      </c>
      <c r="B25" s="30"/>
      <c r="C25" s="847" t="str">
        <f>'Attachment 11 - TEC'!C77</f>
        <v>Install 2nd Hunterstown 230/115 kV transformer</v>
      </c>
      <c r="D25" s="844" t="str">
        <f>'Attachment 11 - TEC'!D77</f>
        <v>b2452</v>
      </c>
      <c r="E25" s="19">
        <f>AVERAGE(F25:R25)</f>
        <v>6023169.0675999988</v>
      </c>
      <c r="F25" s="877">
        <v>6023169.0676000006</v>
      </c>
      <c r="G25" s="877">
        <v>6023169.0676000006</v>
      </c>
      <c r="H25" s="877">
        <v>6023169.0676000006</v>
      </c>
      <c r="I25" s="877">
        <v>6023169.0676000006</v>
      </c>
      <c r="J25" s="877">
        <v>6023169.0676000006</v>
      </c>
      <c r="K25" s="877">
        <v>6023169.0676000006</v>
      </c>
      <c r="L25" s="877">
        <v>6023169.0676000006</v>
      </c>
      <c r="M25" s="877">
        <v>6023169.0676000006</v>
      </c>
      <c r="N25" s="877">
        <v>6023169.0676000006</v>
      </c>
      <c r="O25" s="877">
        <v>6023169.0676000006</v>
      </c>
      <c r="P25" s="877">
        <v>6023169.0676000006</v>
      </c>
      <c r="Q25" s="877">
        <v>6023169.0676000006</v>
      </c>
      <c r="R25" s="877">
        <v>6023169.0676000006</v>
      </c>
      <c r="S25" s="397"/>
      <c r="T25" s="1017">
        <f>AVERAGE(U25:AG25)</f>
        <v>270768.95076550008</v>
      </c>
      <c r="U25" s="877">
        <v>204514.09102190001</v>
      </c>
      <c r="V25" s="877">
        <v>215556.56764583336</v>
      </c>
      <c r="W25" s="877">
        <v>226599.04426976669</v>
      </c>
      <c r="X25" s="877">
        <v>237641.52089370004</v>
      </c>
      <c r="Y25" s="877">
        <v>248683.99751763337</v>
      </c>
      <c r="Z25" s="877">
        <v>259726.47414156672</v>
      </c>
      <c r="AA25" s="877">
        <v>270768.95076550008</v>
      </c>
      <c r="AB25" s="877">
        <v>281811.42738943337</v>
      </c>
      <c r="AC25" s="877">
        <v>292853.90401336673</v>
      </c>
      <c r="AD25" s="877">
        <v>303896.38063730008</v>
      </c>
      <c r="AE25" s="877">
        <v>314938.85726123344</v>
      </c>
      <c r="AF25" s="877">
        <v>325981.33388516674</v>
      </c>
      <c r="AG25" s="877">
        <v>337023.81050910009</v>
      </c>
      <c r="AH25" s="397"/>
      <c r="AI25" s="398">
        <f t="shared" si="4"/>
        <v>5752400.1168344989</v>
      </c>
    </row>
    <row r="26" spans="1:35" ht="15.65">
      <c r="A26" s="653" t="str">
        <f>'Attachment 11 - TEC'!A78</f>
        <v>2q</v>
      </c>
      <c r="B26" s="30"/>
      <c r="C26" s="847" t="str">
        <f>'Attachment 11 - TEC'!C78</f>
        <v>Reconductor Hunterstown - Oxford 115 kV line</v>
      </c>
      <c r="D26" s="844" t="str">
        <f>'Attachment 11 - TEC'!D78</f>
        <v>b2452.1</v>
      </c>
      <c r="E26" s="19">
        <f t="shared" si="5"/>
        <v>2721722.0754769226</v>
      </c>
      <c r="F26" s="877">
        <v>2721714.7923999997</v>
      </c>
      <c r="G26" s="877">
        <v>2721722.6823999998</v>
      </c>
      <c r="H26" s="877">
        <v>2721722.6823999998</v>
      </c>
      <c r="I26" s="877">
        <v>2721722.6823999998</v>
      </c>
      <c r="J26" s="877">
        <v>2721722.6823999998</v>
      </c>
      <c r="K26" s="877">
        <v>2721722.6823999998</v>
      </c>
      <c r="L26" s="877">
        <v>2721722.6823999998</v>
      </c>
      <c r="M26" s="877">
        <v>2721722.6823999998</v>
      </c>
      <c r="N26" s="877">
        <v>2721722.6823999998</v>
      </c>
      <c r="O26" s="877">
        <v>2721722.6823999998</v>
      </c>
      <c r="P26" s="877">
        <v>2721722.6823999998</v>
      </c>
      <c r="Q26" s="877">
        <v>2721722.6823999998</v>
      </c>
      <c r="R26" s="877">
        <v>2721722.6823999998</v>
      </c>
      <c r="S26" s="397">
        <v>2721722.6823999998</v>
      </c>
      <c r="T26" s="1017">
        <f>AVERAGE(U26:AG26)</f>
        <v>124396.31601917923</v>
      </c>
      <c r="U26" s="877">
        <v>94457.373188933154</v>
      </c>
      <c r="V26" s="877">
        <v>99447.190874166481</v>
      </c>
      <c r="W26" s="877">
        <v>104437.0157918998</v>
      </c>
      <c r="X26" s="877">
        <v>109426.84070963312</v>
      </c>
      <c r="Y26" s="877">
        <v>114416.66562736644</v>
      </c>
      <c r="Z26" s="877">
        <v>119406.49054509976</v>
      </c>
      <c r="AA26" s="877">
        <v>124396.31546283308</v>
      </c>
      <c r="AB26" s="877">
        <v>129386.1403805664</v>
      </c>
      <c r="AC26" s="877">
        <v>134375.96529829974</v>
      </c>
      <c r="AD26" s="877">
        <v>139365.79021603306</v>
      </c>
      <c r="AE26" s="877">
        <v>144355.61513376638</v>
      </c>
      <c r="AF26" s="877">
        <v>149345.4400514997</v>
      </c>
      <c r="AG26" s="877">
        <v>154335.26496923302</v>
      </c>
      <c r="AH26" s="397"/>
      <c r="AI26" s="398">
        <f>E26-T26</f>
        <v>2597325.7594577433</v>
      </c>
    </row>
    <row r="27" spans="1:35">
      <c r="A27" s="399"/>
      <c r="B27" s="395"/>
      <c r="C27" s="395"/>
      <c r="D27" s="395"/>
      <c r="E27" s="395"/>
      <c r="F27" s="395"/>
      <c r="G27" s="395"/>
      <c r="H27" s="395"/>
      <c r="I27" s="395"/>
      <c r="J27" s="395"/>
      <c r="K27" s="395"/>
      <c r="L27" s="395"/>
      <c r="M27" s="395"/>
      <c r="N27" s="395"/>
      <c r="O27" s="395"/>
      <c r="P27" s="395"/>
      <c r="Q27" s="395"/>
      <c r="R27" s="395"/>
      <c r="S27" s="395"/>
      <c r="T27" s="395"/>
      <c r="U27" s="395"/>
      <c r="V27" s="395"/>
      <c r="W27" s="395"/>
      <c r="X27" s="395"/>
      <c r="Y27" s="395"/>
      <c r="Z27" s="395"/>
      <c r="AA27" s="395"/>
      <c r="AB27" s="395"/>
      <c r="AC27" s="395"/>
      <c r="AD27" s="395"/>
      <c r="AE27" s="395"/>
      <c r="AF27" s="395"/>
      <c r="AG27" s="395"/>
      <c r="AH27" s="395"/>
      <c r="AI27" s="398"/>
    </row>
    <row r="28" spans="1:35">
      <c r="A28" s="399"/>
      <c r="B28" s="395"/>
      <c r="C28" s="395"/>
      <c r="D28" s="395"/>
      <c r="E28" s="395"/>
      <c r="F28" s="395"/>
      <c r="G28" s="395"/>
      <c r="H28" s="395"/>
      <c r="I28" s="395"/>
      <c r="J28" s="395"/>
      <c r="K28" s="395"/>
      <c r="L28" s="395"/>
      <c r="M28" s="395"/>
      <c r="N28" s="395"/>
      <c r="O28" s="395"/>
      <c r="P28" s="395"/>
      <c r="Q28" s="395"/>
      <c r="R28" s="395"/>
      <c r="S28" s="395"/>
      <c r="T28" s="395"/>
      <c r="U28" s="395"/>
      <c r="V28" s="395"/>
      <c r="W28" s="395"/>
      <c r="X28" s="395"/>
      <c r="Y28" s="395"/>
      <c r="Z28" s="395"/>
      <c r="AA28" s="395"/>
      <c r="AB28" s="395"/>
      <c r="AC28" s="395"/>
      <c r="AD28" s="395"/>
      <c r="AE28" s="395"/>
      <c r="AF28" s="395"/>
      <c r="AG28" s="395"/>
      <c r="AH28" s="395"/>
      <c r="AI28" s="398"/>
    </row>
    <row r="29" spans="1:35">
      <c r="A29" s="400"/>
      <c r="B29" s="401"/>
      <c r="C29" s="401"/>
      <c r="D29" s="401"/>
      <c r="E29" s="401"/>
      <c r="F29" s="401"/>
      <c r="G29" s="401"/>
      <c r="H29" s="401"/>
      <c r="I29" s="401"/>
      <c r="J29" s="401"/>
      <c r="K29" s="401"/>
      <c r="L29" s="401"/>
      <c r="M29" s="401"/>
      <c r="N29" s="401"/>
      <c r="O29" s="401"/>
      <c r="P29" s="401"/>
      <c r="Q29" s="401"/>
      <c r="R29" s="401"/>
      <c r="S29" s="401"/>
      <c r="T29" s="401"/>
      <c r="U29" s="401"/>
      <c r="V29" s="401"/>
      <c r="W29" s="401"/>
      <c r="X29" s="401"/>
      <c r="Y29" s="401"/>
      <c r="Z29" s="401"/>
      <c r="AA29" s="401"/>
      <c r="AB29" s="401"/>
      <c r="AC29" s="401"/>
      <c r="AD29" s="401"/>
      <c r="AE29" s="401"/>
      <c r="AF29" s="401"/>
      <c r="AG29" s="401"/>
      <c r="AH29" s="401"/>
      <c r="AI29" s="402"/>
    </row>
    <row r="31" spans="1:35" ht="15.65">
      <c r="A31" s="11" t="s">
        <v>309</v>
      </c>
      <c r="B31" s="11"/>
      <c r="C31" s="11"/>
      <c r="S31" s="41"/>
      <c r="T31" s="11" t="s">
        <v>309</v>
      </c>
      <c r="U31" s="11"/>
    </row>
    <row r="32" spans="1:35" ht="15.85" customHeight="1">
      <c r="A32" s="42"/>
      <c r="B32" s="11" t="s">
        <v>260</v>
      </c>
      <c r="C32" s="11" t="s">
        <v>495</v>
      </c>
      <c r="D32" s="11"/>
      <c r="E32" s="11"/>
      <c r="F32" s="11"/>
      <c r="G32" s="11"/>
      <c r="H32" s="11"/>
      <c r="I32" s="11"/>
      <c r="J32" s="11"/>
      <c r="K32" s="11"/>
      <c r="L32" s="11"/>
      <c r="S32" s="42"/>
      <c r="T32" s="29" t="s">
        <v>274</v>
      </c>
      <c r="U32" s="11" t="s">
        <v>813</v>
      </c>
      <c r="Z32" s="899" t="s">
        <v>995</v>
      </c>
    </row>
    <row r="33" spans="2:35" ht="32.25" customHeight="1">
      <c r="B33" s="1259"/>
      <c r="C33" s="1311"/>
      <c r="D33" s="1311"/>
      <c r="E33" s="1311"/>
      <c r="F33" s="1311"/>
      <c r="G33" s="1311"/>
      <c r="H33" s="1311"/>
      <c r="I33" s="1311"/>
      <c r="J33" s="1311"/>
      <c r="K33" s="1311"/>
      <c r="L33" s="1311"/>
      <c r="M33" s="1311"/>
      <c r="N33" s="1311"/>
      <c r="O33" s="1311"/>
      <c r="P33" s="1311"/>
      <c r="Q33" s="1311"/>
      <c r="R33" s="1311"/>
      <c r="S33" s="1311"/>
      <c r="T33" s="1258"/>
      <c r="U33" s="1311"/>
      <c r="V33" s="1311"/>
      <c r="W33" s="1311"/>
      <c r="X33" s="1311"/>
      <c r="Y33" s="1311"/>
      <c r="Z33" s="1311"/>
      <c r="AA33" s="1311"/>
      <c r="AB33" s="1311"/>
      <c r="AC33" s="1311"/>
      <c r="AD33" s="1311"/>
      <c r="AE33" s="1311"/>
      <c r="AF33" s="1311"/>
      <c r="AG33" s="1311"/>
      <c r="AH33" s="1311"/>
      <c r="AI33" s="1311"/>
    </row>
    <row r="36" spans="2:35" ht="15.65">
      <c r="C36" s="847"/>
    </row>
    <row r="37" spans="2:35" ht="15.65">
      <c r="C37" s="847"/>
    </row>
    <row r="38" spans="2:35" ht="15.65">
      <c r="C38" s="847"/>
    </row>
    <row r="39" spans="2:35" ht="15.65">
      <c r="C39" s="847"/>
    </row>
    <row r="40" spans="2:35" ht="15.65">
      <c r="C40" s="847"/>
    </row>
    <row r="41" spans="2:35" ht="15.65">
      <c r="C41" s="847"/>
    </row>
    <row r="42" spans="2:35" ht="15.65">
      <c r="C42" s="847"/>
    </row>
    <row r="43" spans="2:35" ht="15.65">
      <c r="C43" s="847"/>
    </row>
    <row r="44" spans="2:35" ht="15.65">
      <c r="C44" s="847"/>
    </row>
    <row r="45" spans="2:35" ht="15.65">
      <c r="C45" s="847"/>
    </row>
    <row r="46" spans="2:35" ht="15.65">
      <c r="C46" s="847"/>
    </row>
    <row r="47" spans="2:35" ht="15.65">
      <c r="C47" s="847"/>
    </row>
    <row r="48" spans="2:35" ht="15.65">
      <c r="C48" s="847"/>
    </row>
    <row r="49" spans="3:3" ht="15.65">
      <c r="C49" s="847"/>
    </row>
    <row r="50" spans="3:3" ht="15.65">
      <c r="C50" s="847"/>
    </row>
    <row r="51" spans="3:3" ht="15.65">
      <c r="C51" s="847"/>
    </row>
    <row r="52" spans="3:3" ht="15.65">
      <c r="C52" s="847"/>
    </row>
  </sheetData>
  <mergeCells count="6">
    <mergeCell ref="T1:AE1"/>
    <mergeCell ref="T2:AE2"/>
    <mergeCell ref="A1:N1"/>
    <mergeCell ref="A2:N2"/>
    <mergeCell ref="C33:S33"/>
    <mergeCell ref="U33:AI33"/>
  </mergeCells>
  <pageMargins left="0.7" right="0.7" top="0.75" bottom="0.75" header="0.3" footer="0.3"/>
  <pageSetup scale="35" orientation="landscape" r:id="rId1"/>
  <colBreaks count="1" manualBreakCount="1">
    <brk id="19" max="29" man="1"/>
  </col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5">
    <pageSetUpPr fitToPage="1"/>
  </sheetPr>
  <dimension ref="A1:M248"/>
  <sheetViews>
    <sheetView view="pageBreakPreview" zoomScale="65" zoomScaleNormal="75" zoomScaleSheetLayoutView="65" workbookViewId="0">
      <selection activeCell="L80" sqref="L80"/>
    </sheetView>
  </sheetViews>
  <sheetFormatPr defaultColWidth="8.90625" defaultRowHeight="15.05"/>
  <cols>
    <col min="1" max="1" width="6" style="678" customWidth="1"/>
    <col min="2" max="2" width="3.36328125" style="678" customWidth="1"/>
    <col min="3" max="3" width="39.08984375" style="678" customWidth="1"/>
    <col min="4" max="4" width="14.08984375" style="678" customWidth="1"/>
    <col min="5" max="5" width="14.453125" style="678" customWidth="1"/>
    <col min="6" max="6" width="13.1796875" style="678" customWidth="1"/>
    <col min="7" max="7" width="14.08984375" style="678" customWidth="1"/>
    <col min="8" max="8" width="13.90625" style="678" customWidth="1"/>
    <col min="9" max="9" width="13.36328125" style="678" customWidth="1"/>
    <col min="10" max="10" width="15.1796875" style="678" customWidth="1"/>
    <col min="11" max="11" width="13.54296875" style="678" customWidth="1"/>
    <col min="12" max="12" width="15.36328125" style="678" customWidth="1"/>
    <col min="13" max="13" width="1.54296875" style="678" customWidth="1"/>
    <col min="14" max="16384" width="8.90625" style="678"/>
  </cols>
  <sheetData>
    <row r="1" spans="1:13">
      <c r="M1" s="718" t="s">
        <v>811</v>
      </c>
    </row>
    <row r="2" spans="1:13">
      <c r="M2" s="718" t="s">
        <v>221</v>
      </c>
    </row>
    <row r="3" spans="1:13">
      <c r="M3" s="718" t="str">
        <f>'Attach 11a - TEC Cost Support'!S3</f>
        <v>For the 12 months ended 12/31/2019</v>
      </c>
    </row>
    <row r="4" spans="1:13">
      <c r="A4" s="682"/>
      <c r="G4" s="694"/>
    </row>
    <row r="5" spans="1:13">
      <c r="A5" s="682"/>
      <c r="C5" s="692"/>
      <c r="D5" s="692"/>
    </row>
    <row r="6" spans="1:13">
      <c r="A6" s="682"/>
      <c r="C6" s="692"/>
      <c r="D6" s="692"/>
      <c r="L6" s="694"/>
    </row>
    <row r="7" spans="1:13" ht="14.25" customHeight="1">
      <c r="A7" s="682"/>
    </row>
    <row r="8" spans="1:13">
      <c r="A8" s="1363" t="s">
        <v>987</v>
      </c>
      <c r="B8" s="1363"/>
      <c r="C8" s="1363"/>
      <c r="D8" s="1363"/>
      <c r="E8" s="1363"/>
      <c r="F8" s="1363"/>
      <c r="G8" s="1363"/>
      <c r="H8" s="1363"/>
      <c r="I8" s="1363"/>
      <c r="J8" s="1363"/>
      <c r="K8" s="1363"/>
      <c r="L8" s="1363"/>
    </row>
    <row r="9" spans="1:13">
      <c r="A9" s="1364" t="s">
        <v>812</v>
      </c>
      <c r="B9" s="1367"/>
      <c r="C9" s="1367"/>
      <c r="D9" s="1367"/>
      <c r="E9" s="1367"/>
      <c r="F9" s="1367"/>
      <c r="G9" s="1367"/>
      <c r="H9" s="1367"/>
      <c r="I9" s="1367"/>
      <c r="J9" s="1367"/>
      <c r="K9" s="1367"/>
      <c r="L9" s="1367"/>
    </row>
    <row r="10" spans="1:13">
      <c r="A10" s="682"/>
      <c r="E10" s="699"/>
      <c r="H10" s="683"/>
      <c r="I10" s="683"/>
      <c r="J10" s="683"/>
      <c r="K10" s="683"/>
      <c r="L10" s="683"/>
    </row>
    <row r="11" spans="1:13">
      <c r="A11" s="682"/>
      <c r="E11" s="699"/>
      <c r="F11" s="699"/>
      <c r="H11" s="683"/>
      <c r="I11" s="683"/>
      <c r="J11" s="683"/>
      <c r="K11" s="683"/>
      <c r="L11" s="683"/>
    </row>
    <row r="12" spans="1:13">
      <c r="A12" s="682"/>
      <c r="C12" s="719" t="s">
        <v>299</v>
      </c>
      <c r="D12" s="719" t="s">
        <v>300</v>
      </c>
      <c r="E12" s="719" t="s">
        <v>301</v>
      </c>
      <c r="F12" s="719" t="s">
        <v>302</v>
      </c>
      <c r="G12" s="719" t="s">
        <v>303</v>
      </c>
      <c r="H12" s="719" t="s">
        <v>304</v>
      </c>
      <c r="I12" s="719" t="s">
        <v>305</v>
      </c>
      <c r="J12" s="719" t="s">
        <v>306</v>
      </c>
      <c r="K12" s="719" t="s">
        <v>307</v>
      </c>
      <c r="L12" s="719" t="s">
        <v>308</v>
      </c>
      <c r="M12" s="719"/>
    </row>
    <row r="13" spans="1:13" s="749" customFormat="1" ht="80.150000000000006" customHeight="1">
      <c r="A13" s="720" t="s">
        <v>212</v>
      </c>
      <c r="B13" s="747"/>
      <c r="C13" s="723" t="s">
        <v>213</v>
      </c>
      <c r="D13" s="723" t="s">
        <v>229</v>
      </c>
      <c r="E13" s="724" t="s">
        <v>649</v>
      </c>
      <c r="F13" s="724" t="s">
        <v>296</v>
      </c>
      <c r="G13" s="723" t="s">
        <v>636</v>
      </c>
      <c r="H13" s="723" t="s">
        <v>637</v>
      </c>
      <c r="I13" s="724" t="s">
        <v>297</v>
      </c>
      <c r="J13" s="724" t="s">
        <v>914</v>
      </c>
      <c r="K13" s="723" t="s">
        <v>915</v>
      </c>
      <c r="L13" s="724" t="s">
        <v>916</v>
      </c>
      <c r="M13" s="748"/>
    </row>
    <row r="14" spans="1:13" ht="46.5" customHeight="1">
      <c r="A14" s="727"/>
      <c r="B14" s="728"/>
      <c r="C14" s="728"/>
      <c r="D14" s="728"/>
      <c r="E14" s="729"/>
      <c r="F14" s="750" t="s">
        <v>842</v>
      </c>
      <c r="G14" s="750" t="s">
        <v>1012</v>
      </c>
      <c r="H14" s="750" t="s">
        <v>638</v>
      </c>
      <c r="I14" s="750" t="s">
        <v>843</v>
      </c>
      <c r="J14" s="729" t="s">
        <v>639</v>
      </c>
      <c r="K14" s="750" t="s">
        <v>917</v>
      </c>
      <c r="L14" s="750" t="s">
        <v>651</v>
      </c>
      <c r="M14" s="751"/>
    </row>
    <row r="15" spans="1:13">
      <c r="A15" s="752">
        <v>1</v>
      </c>
      <c r="B15" s="683" t="s">
        <v>260</v>
      </c>
      <c r="C15" s="683" t="s">
        <v>648</v>
      </c>
      <c r="D15" s="683"/>
      <c r="E15" s="1279">
        <v>14922371</v>
      </c>
      <c r="F15" s="753"/>
      <c r="G15" s="753"/>
      <c r="H15" s="754"/>
      <c r="I15" s="753"/>
      <c r="J15" s="753"/>
      <c r="K15" s="753"/>
      <c r="L15" s="753"/>
      <c r="M15" s="755"/>
    </row>
    <row r="16" spans="1:13">
      <c r="A16" s="756"/>
      <c r="B16" s="683"/>
      <c r="C16" s="683"/>
      <c r="D16" s="683"/>
      <c r="E16" s="683"/>
      <c r="F16" s="683"/>
      <c r="G16" s="683"/>
      <c r="H16" s="683"/>
      <c r="I16" s="683"/>
      <c r="J16" s="683"/>
      <c r="K16" s="683"/>
      <c r="L16" s="683"/>
      <c r="M16" s="757"/>
    </row>
    <row r="17" spans="1:13" ht="30.05">
      <c r="A17" s="1280" t="s">
        <v>640</v>
      </c>
      <c r="B17" s="1281"/>
      <c r="C17" s="1282" t="s">
        <v>1215</v>
      </c>
      <c r="D17" s="1283" t="s">
        <v>1216</v>
      </c>
      <c r="E17" s="741"/>
      <c r="F17" s="1289">
        <v>1521328.3815842026</v>
      </c>
      <c r="G17" s="741">
        <f>IF($F$39=0,0,F17/$F$39)</f>
        <v>0.10472277112346523</v>
      </c>
      <c r="H17" s="764">
        <f>IF($E$15=0,0,$E$15*G17)</f>
        <v>1562712.042852435</v>
      </c>
      <c r="I17" s="1290">
        <f>'Attachment 11 - TEC'!P62</f>
        <v>1753442.4498018431</v>
      </c>
      <c r="J17" s="764">
        <f>H17-I17</f>
        <v>-190730.40694940812</v>
      </c>
      <c r="K17" s="1291">
        <f>J17/$J$39*$L$41</f>
        <v>-21281.290698703349</v>
      </c>
      <c r="L17" s="764">
        <f>J17+K17</f>
        <v>-212011.69764811147</v>
      </c>
      <c r="M17" s="758"/>
    </row>
    <row r="18" spans="1:13">
      <c r="A18" s="1280" t="s">
        <v>641</v>
      </c>
      <c r="B18" s="1284"/>
      <c r="C18" s="1285" t="s">
        <v>1217</v>
      </c>
      <c r="D18" s="1286" t="s">
        <v>1218</v>
      </c>
      <c r="E18" s="741"/>
      <c r="F18" s="1289">
        <v>402934.26326786028</v>
      </c>
      <c r="G18" s="741">
        <f t="shared" ref="G18:G34" si="0">IF($F$39=0,0,F18/$F$39)</f>
        <v>2.7736544680815003E-2</v>
      </c>
      <c r="H18" s="764">
        <f>IF($E$15=0,0,$E$15*G18)</f>
        <v>413895.00998519809</v>
      </c>
      <c r="I18" s="1290">
        <f>'Attachment 11 - TEC'!P63</f>
        <v>460624.28516445158</v>
      </c>
      <c r="J18" s="764">
        <f t="shared" ref="J18:J34" si="1">H18-I18</f>
        <v>-46729.275179253484</v>
      </c>
      <c r="K18" s="1291">
        <f>J18/$J$39*$L$41</f>
        <v>-5213.9525371703321</v>
      </c>
      <c r="L18" s="764">
        <f t="shared" ref="L18:L34" si="2">J18+K18</f>
        <v>-51943.227716423818</v>
      </c>
      <c r="M18" s="758"/>
    </row>
    <row r="19" spans="1:13">
      <c r="A19" s="1280" t="s">
        <v>642</v>
      </c>
      <c r="B19" s="1284"/>
      <c r="C19" s="1285" t="s">
        <v>1389</v>
      </c>
      <c r="D19" s="1286" t="s">
        <v>1390</v>
      </c>
      <c r="E19" s="741"/>
      <c r="F19" s="1289"/>
      <c r="G19" s="741">
        <f t="shared" si="0"/>
        <v>0</v>
      </c>
      <c r="H19" s="764">
        <f t="shared" ref="H19:H34" si="3">IF($E$15=0,0,$E$15*G19)</f>
        <v>0</v>
      </c>
      <c r="I19" s="1290">
        <v>0</v>
      </c>
      <c r="J19" s="764">
        <f t="shared" si="1"/>
        <v>0</v>
      </c>
      <c r="K19" s="1291">
        <f>J19/$J$39*$L$41</f>
        <v>0</v>
      </c>
      <c r="L19" s="764">
        <f t="shared" si="2"/>
        <v>0</v>
      </c>
      <c r="M19" s="758"/>
    </row>
    <row r="20" spans="1:13">
      <c r="A20" s="1280" t="s">
        <v>1219</v>
      </c>
      <c r="B20" s="1284"/>
      <c r="C20" s="1285" t="s">
        <v>1220</v>
      </c>
      <c r="D20" s="1286" t="s">
        <v>1221</v>
      </c>
      <c r="E20" s="741"/>
      <c r="F20" s="1289">
        <v>165243.98868606519</v>
      </c>
      <c r="G20" s="741">
        <f t="shared" si="0"/>
        <v>1.1374801532775779E-2</v>
      </c>
      <c r="H20" s="764">
        <f t="shared" si="3"/>
        <v>169739.00852344884</v>
      </c>
      <c r="I20" s="1290">
        <f>'Attachment 11 - TEC'!P64</f>
        <v>189066.20454232182</v>
      </c>
      <c r="J20" s="764">
        <f t="shared" si="1"/>
        <v>-19327.196018872986</v>
      </c>
      <c r="K20" s="1291">
        <f t="shared" ref="K20:K34" si="4">J20/$J$39*$L$41</f>
        <v>-2156.4871770947293</v>
      </c>
      <c r="L20" s="764">
        <f t="shared" si="2"/>
        <v>-21483.683195967715</v>
      </c>
      <c r="M20" s="758"/>
    </row>
    <row r="21" spans="1:13">
      <c r="A21" s="1280" t="s">
        <v>1222</v>
      </c>
      <c r="B21" s="1284"/>
      <c r="C21" s="1285" t="s">
        <v>1223</v>
      </c>
      <c r="D21" s="1286" t="s">
        <v>1224</v>
      </c>
      <c r="E21" s="741"/>
      <c r="F21" s="1289">
        <v>134126.42540234089</v>
      </c>
      <c r="G21" s="741">
        <f t="shared" si="0"/>
        <v>9.2327804562426438E-3</v>
      </c>
      <c r="H21" s="764">
        <f t="shared" si="3"/>
        <v>137774.97532960199</v>
      </c>
      <c r="I21" s="1290">
        <f>'Attachment 11 - TEC'!P65</f>
        <v>151398.87851597992</v>
      </c>
      <c r="J21" s="764">
        <f t="shared" si="1"/>
        <v>-13623.903186377924</v>
      </c>
      <c r="K21" s="1291">
        <f t="shared" si="4"/>
        <v>-1520.1259662661205</v>
      </c>
      <c r="L21" s="764">
        <f t="shared" si="2"/>
        <v>-15144.029152644045</v>
      </c>
      <c r="M21" s="758"/>
    </row>
    <row r="22" spans="1:13">
      <c r="A22" s="1280" t="s">
        <v>1225</v>
      </c>
      <c r="B22" s="1284"/>
      <c r="C22" s="1285" t="s">
        <v>1226</v>
      </c>
      <c r="D22" s="1286" t="s">
        <v>1227</v>
      </c>
      <c r="E22" s="290"/>
      <c r="F22" s="1289">
        <v>116815.40198217233</v>
      </c>
      <c r="G22" s="741">
        <f t="shared" si="0"/>
        <v>8.0411518995890975E-3</v>
      </c>
      <c r="H22" s="764">
        <f t="shared" si="3"/>
        <v>119993.05191302326</v>
      </c>
      <c r="I22" s="1290">
        <f>'Attachment 11 - TEC'!P66</f>
        <v>133246.84905520521</v>
      </c>
      <c r="J22" s="764">
        <f t="shared" si="1"/>
        <v>-13253.797142181953</v>
      </c>
      <c r="K22" s="1291">
        <f t="shared" si="4"/>
        <v>-1478.8303257761863</v>
      </c>
      <c r="L22" s="764">
        <f t="shared" si="2"/>
        <v>-14732.62746795814</v>
      </c>
      <c r="M22" s="759"/>
    </row>
    <row r="23" spans="1:13">
      <c r="A23" s="1280" t="s">
        <v>1228</v>
      </c>
      <c r="B23" s="1284"/>
      <c r="C23" s="1285" t="s">
        <v>1229</v>
      </c>
      <c r="D23" s="1286" t="s">
        <v>1230</v>
      </c>
      <c r="E23" s="290"/>
      <c r="F23" s="1289">
        <v>273533.83850754134</v>
      </c>
      <c r="G23" s="741">
        <f t="shared" si="0"/>
        <v>1.882908510174448E-2</v>
      </c>
      <c r="H23" s="764">
        <f t="shared" si="3"/>
        <v>280974.59347880387</v>
      </c>
      <c r="I23" s="1290">
        <f>'Attachment 11 - TEC'!P67</f>
        <v>312562.69317009405</v>
      </c>
      <c r="J23" s="764">
        <f t="shared" si="1"/>
        <v>-31588.099691290176</v>
      </c>
      <c r="K23" s="1291">
        <f t="shared" si="4"/>
        <v>-3524.532574023608</v>
      </c>
      <c r="L23" s="764">
        <f t="shared" si="2"/>
        <v>-35112.632265313783</v>
      </c>
      <c r="M23" s="759"/>
    </row>
    <row r="24" spans="1:13">
      <c r="A24" s="1280" t="s">
        <v>1231</v>
      </c>
      <c r="B24" s="1284"/>
      <c r="C24" s="1285" t="s">
        <v>1232</v>
      </c>
      <c r="D24" s="1286" t="s">
        <v>1233</v>
      </c>
      <c r="E24" s="290"/>
      <c r="F24" s="1289">
        <v>1396767.3989142356</v>
      </c>
      <c r="G24" s="741">
        <f t="shared" si="0"/>
        <v>9.6148441322638528E-2</v>
      </c>
      <c r="H24" s="764">
        <f t="shared" si="3"/>
        <v>1434762.7124881428</v>
      </c>
      <c r="I24" s="1290">
        <f>'Attachment 11 - TEC'!P68</f>
        <v>1582051.1421119566</v>
      </c>
      <c r="J24" s="764">
        <f t="shared" si="1"/>
        <v>-147288.42962381383</v>
      </c>
      <c r="K24" s="1291">
        <f t="shared" si="4"/>
        <v>-16434.127822163802</v>
      </c>
      <c r="L24" s="764">
        <f t="shared" si="2"/>
        <v>-163722.55744597764</v>
      </c>
      <c r="M24" s="759"/>
    </row>
    <row r="25" spans="1:13" ht="38.200000000000003">
      <c r="A25" s="1280" t="s">
        <v>1391</v>
      </c>
      <c r="B25" s="1284"/>
      <c r="C25" s="1287" t="s">
        <v>1234</v>
      </c>
      <c r="D25" s="1286" t="s">
        <v>1235</v>
      </c>
      <c r="E25" s="290"/>
      <c r="F25" s="1289">
        <v>8661798.3245703857</v>
      </c>
      <c r="G25" s="741">
        <f t="shared" si="0"/>
        <v>0.59624702624493398</v>
      </c>
      <c r="H25" s="764">
        <f t="shared" si="3"/>
        <v>8897419.3332736418</v>
      </c>
      <c r="I25" s="1290">
        <f>'Attachment 11 - TEC'!P69</f>
        <v>9399948.1076295432</v>
      </c>
      <c r="J25" s="764">
        <f t="shared" si="1"/>
        <v>-502528.77435590141</v>
      </c>
      <c r="K25" s="1291">
        <f t="shared" si="4"/>
        <v>-56071.085374277944</v>
      </c>
      <c r="L25" s="764">
        <f t="shared" si="2"/>
        <v>-558599.85973017931</v>
      </c>
      <c r="M25" s="759"/>
    </row>
    <row r="26" spans="1:13">
      <c r="A26" s="1280" t="s">
        <v>1381</v>
      </c>
      <c r="B26" s="1284"/>
      <c r="C26" s="1287" t="s">
        <v>1373</v>
      </c>
      <c r="D26" s="1286" t="s">
        <v>1374</v>
      </c>
      <c r="E26" s="290"/>
      <c r="F26" s="1289"/>
      <c r="G26" s="741">
        <f t="shared" si="0"/>
        <v>0</v>
      </c>
      <c r="H26" s="764">
        <f t="shared" si="3"/>
        <v>0</v>
      </c>
      <c r="I26" s="1290">
        <f>'Attachment 11 - TEC'!P70</f>
        <v>19316.704353958936</v>
      </c>
      <c r="J26" s="764">
        <f t="shared" si="1"/>
        <v>-19316.704353958936</v>
      </c>
      <c r="K26" s="1291">
        <f t="shared" si="4"/>
        <v>-2155.316539572792</v>
      </c>
      <c r="L26" s="764">
        <f t="shared" si="2"/>
        <v>-21472.020893531728</v>
      </c>
      <c r="M26" s="759"/>
    </row>
    <row r="27" spans="1:13" ht="25.7">
      <c r="A27" s="1280" t="s">
        <v>1236</v>
      </c>
      <c r="B27" s="1284"/>
      <c r="C27" s="1287" t="s">
        <v>1375</v>
      </c>
      <c r="D27" s="1286" t="s">
        <v>1376</v>
      </c>
      <c r="E27" s="290"/>
      <c r="F27" s="1289"/>
      <c r="G27" s="741">
        <f t="shared" si="0"/>
        <v>0</v>
      </c>
      <c r="H27" s="764">
        <f t="shared" si="3"/>
        <v>0</v>
      </c>
      <c r="I27" s="1290">
        <f>'Attachment 11 - TEC'!P71</f>
        <v>12975.810194212398</v>
      </c>
      <c r="J27" s="764">
        <f t="shared" si="1"/>
        <v>-12975.810194212398</v>
      </c>
      <c r="K27" s="1291">
        <f t="shared" si="4"/>
        <v>-1447.813136934584</v>
      </c>
      <c r="L27" s="764">
        <f t="shared" si="2"/>
        <v>-14423.623331146982</v>
      </c>
      <c r="M27" s="759"/>
    </row>
    <row r="28" spans="1:13">
      <c r="A28" s="1280" t="s">
        <v>1239</v>
      </c>
      <c r="B28" s="1284"/>
      <c r="C28" s="1287" t="s">
        <v>1377</v>
      </c>
      <c r="D28" s="1286" t="s">
        <v>1378</v>
      </c>
      <c r="E28" s="290"/>
      <c r="F28" s="1289"/>
      <c r="G28" s="741">
        <f t="shared" si="0"/>
        <v>0</v>
      </c>
      <c r="H28" s="764">
        <f t="shared" si="3"/>
        <v>0</v>
      </c>
      <c r="I28" s="1290">
        <f>'Attachment 11 - TEC'!P72</f>
        <v>7339.4177154087183</v>
      </c>
      <c r="J28" s="764">
        <f t="shared" si="1"/>
        <v>-7339.4177154087183</v>
      </c>
      <c r="K28" s="1291">
        <f t="shared" si="4"/>
        <v>-818.91652442317002</v>
      </c>
      <c r="L28" s="764">
        <f t="shared" si="2"/>
        <v>-8158.3342398318882</v>
      </c>
      <c r="M28" s="759"/>
    </row>
    <row r="29" spans="1:13">
      <c r="A29" s="1280" t="s">
        <v>1241</v>
      </c>
      <c r="B29" s="1284"/>
      <c r="C29" s="1287" t="s">
        <v>1379</v>
      </c>
      <c r="D29" s="1286" t="s">
        <v>1380</v>
      </c>
      <c r="E29" s="290"/>
      <c r="F29" s="1289"/>
      <c r="G29" s="741">
        <f t="shared" si="0"/>
        <v>0</v>
      </c>
      <c r="H29" s="764">
        <f t="shared" si="3"/>
        <v>0</v>
      </c>
      <c r="I29" s="1290">
        <f>'Attachment 11 - TEC'!P73</f>
        <v>5642.0654378964337</v>
      </c>
      <c r="J29" s="764">
        <f t="shared" si="1"/>
        <v>-5642.0654378964337</v>
      </c>
      <c r="K29" s="1291">
        <f t="shared" si="4"/>
        <v>-629.52958914846806</v>
      </c>
      <c r="L29" s="764">
        <f t="shared" si="2"/>
        <v>-6271.5950270449021</v>
      </c>
      <c r="M29" s="759"/>
    </row>
    <row r="30" spans="1:13" ht="25.7">
      <c r="A30" s="1280" t="s">
        <v>1252</v>
      </c>
      <c r="B30" s="1284"/>
      <c r="C30" s="1287" t="s">
        <v>1357</v>
      </c>
      <c r="D30" s="1286" t="s">
        <v>1358</v>
      </c>
      <c r="E30" s="290"/>
      <c r="F30" s="1289"/>
      <c r="G30" s="741">
        <f t="shared" si="0"/>
        <v>0</v>
      </c>
      <c r="H30" s="764">
        <f t="shared" si="3"/>
        <v>0</v>
      </c>
      <c r="I30" s="1290">
        <f>'Attachment 11 - TEC'!P74</f>
        <v>944069.40179330262</v>
      </c>
      <c r="J30" s="764">
        <f t="shared" si="1"/>
        <v>-944069.40179330262</v>
      </c>
      <c r="K30" s="1291">
        <f t="shared" si="4"/>
        <v>-105337.24381264206</v>
      </c>
      <c r="L30" s="764">
        <f t="shared" si="2"/>
        <v>-1049406.6456059446</v>
      </c>
      <c r="M30" s="759"/>
    </row>
    <row r="31" spans="1:13" ht="30.05">
      <c r="A31" s="1280" t="s">
        <v>1236</v>
      </c>
      <c r="B31" s="1284"/>
      <c r="C31" s="1287" t="s">
        <v>1237</v>
      </c>
      <c r="D31" s="1288" t="s">
        <v>1238</v>
      </c>
      <c r="E31" s="290"/>
      <c r="F31" s="1289">
        <v>313679.3843688714</v>
      </c>
      <c r="G31" s="741">
        <f t="shared" si="0"/>
        <v>2.1592560010747847E-2</v>
      </c>
      <c r="H31" s="764">
        <f t="shared" si="3"/>
        <v>322212.19132014335</v>
      </c>
      <c r="I31" s="1290">
        <f>'Attachment 11 - TEC'!P75</f>
        <v>354376.24421864212</v>
      </c>
      <c r="J31" s="764">
        <f t="shared" si="1"/>
        <v>-32164.052898498776</v>
      </c>
      <c r="K31" s="1291">
        <f t="shared" si="4"/>
        <v>-3588.7962005082304</v>
      </c>
      <c r="L31" s="764">
        <f t="shared" si="2"/>
        <v>-35752.849099007006</v>
      </c>
      <c r="M31" s="759"/>
    </row>
    <row r="32" spans="1:13" ht="45.1">
      <c r="A32" s="1280" t="s">
        <v>1239</v>
      </c>
      <c r="B32" s="1284"/>
      <c r="C32" s="1287" t="s">
        <v>1237</v>
      </c>
      <c r="D32" s="1288" t="s">
        <v>1240</v>
      </c>
      <c r="E32" s="290"/>
      <c r="F32" s="1289">
        <v>313679.3843688714</v>
      </c>
      <c r="G32" s="741">
        <f t="shared" si="0"/>
        <v>2.1592560010747847E-2</v>
      </c>
      <c r="H32" s="764">
        <f t="shared" si="3"/>
        <v>322212.19132014335</v>
      </c>
      <c r="I32" s="1290">
        <f>'Attachment 11 - TEC'!P76</f>
        <v>354376.24421864212</v>
      </c>
      <c r="J32" s="764">
        <f t="shared" si="1"/>
        <v>-32164.052898498776</v>
      </c>
      <c r="K32" s="1291">
        <f t="shared" si="4"/>
        <v>-3588.7962005082304</v>
      </c>
      <c r="L32" s="764">
        <f t="shared" si="2"/>
        <v>-35752.849099007006</v>
      </c>
      <c r="M32" s="759"/>
    </row>
    <row r="33" spans="1:13">
      <c r="A33" s="1280" t="s">
        <v>1241</v>
      </c>
      <c r="B33" s="1284"/>
      <c r="C33" s="1285" t="s">
        <v>1242</v>
      </c>
      <c r="D33" s="1286" t="s">
        <v>1243</v>
      </c>
      <c r="E33" s="290"/>
      <c r="F33" s="1289">
        <v>866903.67115766963</v>
      </c>
      <c r="G33" s="741">
        <f t="shared" si="0"/>
        <v>5.9674529075832962E-2</v>
      </c>
      <c r="H33" s="764">
        <f t="shared" si="3"/>
        <v>890485.46211986663</v>
      </c>
      <c r="I33" s="1290">
        <f>'Attachment 11 - TEC'!P77</f>
        <v>951506.73216175474</v>
      </c>
      <c r="J33" s="764">
        <f t="shared" si="1"/>
        <v>-61021.270041888114</v>
      </c>
      <c r="K33" s="1291">
        <f t="shared" si="4"/>
        <v>-6808.6227431473981</v>
      </c>
      <c r="L33" s="764">
        <f t="shared" si="2"/>
        <v>-67829.89278503551</v>
      </c>
      <c r="M33" s="759"/>
    </row>
    <row r="34" spans="1:13">
      <c r="A34" s="1280" t="s">
        <v>1252</v>
      </c>
      <c r="B34" s="1284"/>
      <c r="C34" s="1287" t="s">
        <v>1253</v>
      </c>
      <c r="D34" s="1286" t="s">
        <v>1251</v>
      </c>
      <c r="E34" s="290"/>
      <c r="F34" s="1289">
        <v>360387.0632235317</v>
      </c>
      <c r="G34" s="741">
        <f t="shared" si="0"/>
        <v>2.4807748540466457E-2</v>
      </c>
      <c r="H34" s="764">
        <f t="shared" si="3"/>
        <v>370190.42739554896</v>
      </c>
      <c r="I34" s="1290">
        <f>'Attachment 11 - TEC'!P78</f>
        <v>429787.10014555667</v>
      </c>
      <c r="J34" s="764">
        <f t="shared" si="1"/>
        <v>-59596.67275000771</v>
      </c>
      <c r="K34" s="1291">
        <f t="shared" si="4"/>
        <v>-6649.66922555157</v>
      </c>
      <c r="L34" s="764">
        <f t="shared" si="2"/>
        <v>-66246.341975559277</v>
      </c>
      <c r="M34" s="759"/>
    </row>
    <row r="35" spans="1:13">
      <c r="A35" s="685"/>
      <c r="C35" s="291"/>
      <c r="D35" s="291"/>
      <c r="E35" s="290"/>
      <c r="F35" s="290"/>
      <c r="G35" s="290"/>
      <c r="H35" s="292"/>
      <c r="I35" s="292"/>
      <c r="J35" s="292"/>
      <c r="K35" s="292"/>
      <c r="L35" s="292"/>
      <c r="M35" s="759"/>
    </row>
    <row r="36" spans="1:13">
      <c r="A36" s="685"/>
      <c r="C36" s="291"/>
      <c r="D36" s="291"/>
      <c r="E36" s="290"/>
      <c r="F36" s="290"/>
      <c r="G36" s="290"/>
      <c r="H36" s="292"/>
      <c r="I36" s="292"/>
      <c r="J36" s="292"/>
      <c r="K36" s="292"/>
      <c r="L36" s="292"/>
      <c r="M36" s="759"/>
    </row>
    <row r="37" spans="1:13">
      <c r="A37" s="685"/>
      <c r="C37" s="291"/>
      <c r="D37" s="291"/>
      <c r="E37" s="290"/>
      <c r="F37" s="290"/>
      <c r="G37" s="290"/>
      <c r="H37" s="292"/>
      <c r="I37" s="292"/>
      <c r="J37" s="292"/>
      <c r="K37" s="292"/>
      <c r="L37" s="292"/>
      <c r="M37" s="759"/>
    </row>
    <row r="38" spans="1:13">
      <c r="A38" s="738"/>
      <c r="B38" s="716"/>
      <c r="C38" s="739"/>
      <c r="D38" s="739"/>
      <c r="E38" s="760"/>
      <c r="F38" s="760"/>
      <c r="G38" s="760"/>
      <c r="H38" s="1292"/>
      <c r="I38" s="1292"/>
      <c r="J38" s="1292"/>
      <c r="K38" s="1292"/>
      <c r="L38" s="1292"/>
      <c r="M38" s="761"/>
    </row>
    <row r="39" spans="1:13">
      <c r="A39" s="689" t="s">
        <v>245</v>
      </c>
      <c r="B39" s="762"/>
      <c r="C39" s="678" t="s">
        <v>298</v>
      </c>
      <c r="D39" s="692"/>
      <c r="E39" s="705"/>
      <c r="F39" s="1293">
        <f>SUM(F17:F38)</f>
        <v>14527197.52603375</v>
      </c>
      <c r="G39" s="763"/>
      <c r="H39" s="1293"/>
      <c r="I39" s="1293">
        <f>SUM(I17:I38)</f>
        <v>17061730.330230769</v>
      </c>
      <c r="J39" s="1293">
        <f>SUM(J17:J38)</f>
        <v>-2139359.330230772</v>
      </c>
      <c r="K39" s="764"/>
      <c r="L39" s="764">
        <f>SUM(L17:L38)</f>
        <v>-2378064.466678685</v>
      </c>
      <c r="M39" s="741"/>
    </row>
    <row r="40" spans="1:13">
      <c r="A40" s="291"/>
      <c r="B40" s="291"/>
      <c r="E40" s="291"/>
    </row>
    <row r="41" spans="1:13">
      <c r="A41" s="689" t="s">
        <v>246</v>
      </c>
      <c r="B41" s="291"/>
      <c r="C41" s="678" t="s">
        <v>929</v>
      </c>
      <c r="E41" s="291"/>
      <c r="J41" s="741"/>
      <c r="L41" s="764">
        <f>'Attach 13a-TEC Rev Req True up'!H53</f>
        <v>-238705.13644791255</v>
      </c>
      <c r="M41" s="741"/>
    </row>
    <row r="42" spans="1:13">
      <c r="A42" s="745"/>
      <c r="B42" s="291"/>
      <c r="E42" s="291"/>
    </row>
    <row r="43" spans="1:13">
      <c r="A43" s="705"/>
      <c r="J43" s="764"/>
    </row>
    <row r="44" spans="1:13">
      <c r="A44" s="705"/>
      <c r="J44" s="764"/>
    </row>
    <row r="45" spans="1:13">
      <c r="A45" s="689"/>
      <c r="J45" s="741"/>
    </row>
    <row r="46" spans="1:13">
      <c r="A46" s="689"/>
      <c r="J46" s="741"/>
    </row>
    <row r="47" spans="1:13">
      <c r="C47" s="765"/>
    </row>
    <row r="49" spans="1:13">
      <c r="A49" s="291" t="s">
        <v>309</v>
      </c>
      <c r="B49" s="291"/>
      <c r="C49" s="291"/>
      <c r="D49" s="291"/>
      <c r="E49" s="291"/>
      <c r="F49" s="291"/>
      <c r="G49" s="291"/>
      <c r="H49" s="291"/>
      <c r="I49" s="291"/>
      <c r="J49" s="291"/>
      <c r="K49" s="291"/>
      <c r="L49" s="291"/>
      <c r="M49" s="291"/>
    </row>
    <row r="50" spans="1:13">
      <c r="A50" s="743"/>
      <c r="B50" s="291" t="s">
        <v>260</v>
      </c>
      <c r="C50" s="291" t="s">
        <v>635</v>
      </c>
      <c r="D50" s="291"/>
      <c r="E50" s="291"/>
      <c r="F50" s="291"/>
      <c r="G50" s="291"/>
      <c r="H50" s="291"/>
      <c r="I50" s="291"/>
      <c r="J50" s="291"/>
      <c r="K50" s="291"/>
      <c r="L50" s="291"/>
      <c r="M50" s="291"/>
    </row>
    <row r="51" spans="1:13">
      <c r="A51" s="766"/>
      <c r="C51" s="689"/>
      <c r="D51" s="689"/>
      <c r="E51" s="705"/>
      <c r="F51" s="705"/>
      <c r="G51" s="694"/>
      <c r="J51" s="746"/>
    </row>
    <row r="52" spans="1:13">
      <c r="A52" s="766"/>
      <c r="C52" s="689"/>
      <c r="D52" s="689"/>
      <c r="E52" s="705"/>
      <c r="F52" s="705"/>
      <c r="G52" s="694"/>
      <c r="J52" s="746"/>
    </row>
    <row r="53" spans="1:13">
      <c r="C53" s="291"/>
      <c r="D53" s="291"/>
      <c r="E53" s="291"/>
      <c r="F53" s="291"/>
      <c r="G53" s="291"/>
      <c r="H53" s="291"/>
      <c r="I53" s="291"/>
      <c r="J53" s="291"/>
      <c r="K53" s="291"/>
      <c r="L53" s="291"/>
    </row>
    <row r="54" spans="1:13">
      <c r="C54" s="291"/>
      <c r="D54" s="291"/>
      <c r="E54" s="291"/>
      <c r="F54" s="291"/>
      <c r="G54" s="291"/>
      <c r="H54" s="291"/>
      <c r="I54" s="291"/>
      <c r="J54" s="291"/>
      <c r="K54" s="291"/>
      <c r="L54" s="291"/>
    </row>
    <row r="55" spans="1:13">
      <c r="C55" s="291"/>
      <c r="D55" s="291"/>
      <c r="E55" s="291"/>
      <c r="F55" s="291"/>
      <c r="G55" s="291"/>
      <c r="H55" s="291"/>
      <c r="I55" s="291"/>
      <c r="J55" s="291"/>
      <c r="K55" s="291"/>
      <c r="L55" s="291"/>
    </row>
    <row r="56" spans="1:13">
      <c r="C56" s="291"/>
      <c r="D56" s="291"/>
      <c r="E56" s="291"/>
      <c r="F56" s="291"/>
      <c r="G56" s="291"/>
      <c r="H56" s="291"/>
      <c r="I56" s="291"/>
      <c r="J56" s="291"/>
      <c r="K56" s="291"/>
      <c r="L56" s="291"/>
    </row>
    <row r="57" spans="1:13">
      <c r="C57" s="291"/>
      <c r="D57" s="291"/>
      <c r="E57" s="291"/>
      <c r="F57" s="291"/>
      <c r="G57" s="291"/>
      <c r="H57" s="291"/>
      <c r="I57" s="291"/>
      <c r="J57" s="291"/>
      <c r="K57" s="291"/>
      <c r="L57" s="291"/>
    </row>
    <row r="58" spans="1:13">
      <c r="C58" s="291"/>
      <c r="D58" s="291"/>
      <c r="E58" s="291"/>
      <c r="F58" s="291"/>
      <c r="G58" s="291"/>
      <c r="H58" s="291"/>
      <c r="I58" s="291"/>
      <c r="J58" s="291"/>
      <c r="K58" s="291"/>
      <c r="L58" s="291"/>
    </row>
    <row r="59" spans="1:13">
      <c r="C59" s="291"/>
      <c r="D59" s="291"/>
      <c r="E59" s="291"/>
      <c r="F59" s="291"/>
      <c r="G59" s="291"/>
      <c r="H59" s="291"/>
      <c r="I59" s="291"/>
      <c r="J59" s="291"/>
      <c r="K59" s="291"/>
      <c r="L59" s="291"/>
    </row>
    <row r="60" spans="1:13">
      <c r="C60" s="291"/>
      <c r="D60" s="291"/>
      <c r="E60" s="291"/>
      <c r="F60" s="291"/>
      <c r="G60" s="291"/>
      <c r="H60" s="291"/>
      <c r="I60" s="291"/>
      <c r="J60" s="291"/>
      <c r="K60" s="291"/>
      <c r="L60" s="291"/>
    </row>
    <row r="61" spans="1:13">
      <c r="C61" s="291"/>
      <c r="D61" s="291"/>
      <c r="E61" s="291"/>
      <c r="F61" s="291"/>
      <c r="G61" s="291"/>
      <c r="H61" s="291"/>
      <c r="I61" s="291"/>
      <c r="J61" s="291"/>
      <c r="K61" s="291"/>
      <c r="L61" s="291"/>
    </row>
    <row r="62" spans="1:13">
      <c r="C62" s="291"/>
      <c r="D62" s="291"/>
      <c r="E62" s="291"/>
      <c r="F62" s="291"/>
      <c r="G62" s="291"/>
      <c r="H62" s="291"/>
      <c r="I62" s="291"/>
      <c r="J62" s="291"/>
      <c r="K62" s="291"/>
      <c r="L62" s="291"/>
    </row>
    <row r="63" spans="1:13">
      <c r="C63" s="291"/>
      <c r="D63" s="291"/>
      <c r="E63" s="291"/>
      <c r="F63" s="291"/>
      <c r="G63" s="291"/>
      <c r="H63" s="291"/>
      <c r="I63" s="291"/>
      <c r="J63" s="291"/>
      <c r="K63" s="291"/>
      <c r="L63" s="291"/>
    </row>
    <row r="64" spans="1:13">
      <c r="C64" s="291"/>
      <c r="D64" s="291"/>
      <c r="E64" s="291"/>
      <c r="F64" s="291"/>
      <c r="G64" s="291"/>
      <c r="H64" s="291"/>
      <c r="I64" s="291"/>
      <c r="J64" s="291"/>
      <c r="K64" s="291"/>
      <c r="L64" s="291"/>
    </row>
    <row r="65" spans="3:12">
      <c r="C65" s="291"/>
      <c r="D65" s="291"/>
      <c r="E65" s="291"/>
      <c r="F65" s="291"/>
      <c r="G65" s="291"/>
      <c r="H65" s="291"/>
      <c r="I65" s="291"/>
      <c r="J65" s="291"/>
      <c r="K65" s="291"/>
      <c r="L65" s="291"/>
    </row>
    <row r="66" spans="3:12">
      <c r="C66" s="291"/>
      <c r="D66" s="291"/>
      <c r="E66" s="291"/>
      <c r="F66" s="291"/>
      <c r="G66" s="291"/>
      <c r="H66" s="291"/>
      <c r="I66" s="291"/>
      <c r="J66" s="291"/>
      <c r="K66" s="291"/>
      <c r="L66" s="291"/>
    </row>
    <row r="67" spans="3:12">
      <c r="C67" s="291"/>
      <c r="D67" s="291"/>
      <c r="E67" s="291"/>
      <c r="F67" s="291"/>
      <c r="G67" s="291"/>
      <c r="H67" s="291"/>
      <c r="I67" s="291"/>
      <c r="J67" s="291"/>
      <c r="K67" s="291"/>
      <c r="L67" s="291"/>
    </row>
    <row r="68" spans="3:12">
      <c r="C68" s="291"/>
      <c r="D68" s="291"/>
      <c r="E68" s="291"/>
      <c r="F68" s="291"/>
      <c r="G68" s="291"/>
      <c r="H68" s="291"/>
      <c r="I68" s="291"/>
      <c r="J68" s="291"/>
      <c r="K68" s="291"/>
      <c r="L68" s="291"/>
    </row>
    <row r="69" spans="3:12">
      <c r="C69" s="291"/>
      <c r="D69" s="291"/>
      <c r="E69" s="291"/>
      <c r="F69" s="291"/>
      <c r="G69" s="291"/>
      <c r="H69" s="291"/>
      <c r="I69" s="291"/>
      <c r="J69" s="291"/>
      <c r="K69" s="291"/>
      <c r="L69" s="291"/>
    </row>
    <row r="70" spans="3:12">
      <c r="C70" s="291"/>
      <c r="D70" s="291"/>
      <c r="E70" s="291"/>
      <c r="F70" s="291"/>
      <c r="G70" s="291"/>
      <c r="H70" s="291"/>
      <c r="I70" s="291"/>
      <c r="J70" s="291"/>
      <c r="K70" s="291"/>
      <c r="L70" s="291"/>
    </row>
    <row r="71" spans="3:12">
      <c r="C71" s="291"/>
      <c r="D71" s="291"/>
      <c r="E71" s="291"/>
      <c r="F71" s="291"/>
      <c r="G71" s="291"/>
      <c r="H71" s="291"/>
      <c r="I71" s="291"/>
      <c r="J71" s="291"/>
      <c r="K71" s="291"/>
      <c r="L71" s="291"/>
    </row>
    <row r="72" spans="3:12">
      <c r="C72" s="291"/>
      <c r="D72" s="291"/>
      <c r="E72" s="291"/>
      <c r="F72" s="291"/>
      <c r="G72" s="291"/>
      <c r="H72" s="291"/>
      <c r="I72" s="291"/>
      <c r="J72" s="291"/>
      <c r="K72" s="291"/>
      <c r="L72" s="291"/>
    </row>
    <row r="73" spans="3:12">
      <c r="C73" s="291"/>
      <c r="D73" s="291"/>
      <c r="E73" s="291"/>
      <c r="F73" s="291"/>
      <c r="G73" s="291"/>
      <c r="H73" s="291"/>
      <c r="I73" s="291"/>
      <c r="J73" s="291"/>
      <c r="K73" s="291"/>
      <c r="L73" s="291"/>
    </row>
    <row r="74" spans="3:12">
      <c r="C74" s="291"/>
      <c r="D74" s="291"/>
      <c r="E74" s="291"/>
      <c r="F74" s="291"/>
      <c r="G74" s="291"/>
      <c r="H74" s="291"/>
      <c r="I74" s="291"/>
      <c r="J74" s="291"/>
      <c r="K74" s="291"/>
      <c r="L74" s="291"/>
    </row>
    <row r="75" spans="3:12">
      <c r="C75" s="291"/>
      <c r="D75" s="291"/>
      <c r="E75" s="291"/>
      <c r="F75" s="291"/>
      <c r="G75" s="291"/>
      <c r="H75" s="291"/>
      <c r="I75" s="291"/>
      <c r="J75" s="291"/>
      <c r="K75" s="291"/>
      <c r="L75" s="291"/>
    </row>
    <row r="76" spans="3:12">
      <c r="C76" s="291"/>
      <c r="D76" s="291"/>
      <c r="E76" s="291"/>
      <c r="F76" s="291"/>
      <c r="G76" s="291"/>
      <c r="H76" s="291"/>
      <c r="I76" s="291"/>
      <c r="J76" s="291"/>
      <c r="K76" s="291"/>
      <c r="L76" s="291"/>
    </row>
    <row r="77" spans="3:12">
      <c r="C77" s="291"/>
      <c r="D77" s="291"/>
      <c r="E77" s="291"/>
      <c r="F77" s="291"/>
      <c r="G77" s="291"/>
      <c r="H77" s="291"/>
      <c r="I77" s="291"/>
      <c r="J77" s="291"/>
      <c r="K77" s="291"/>
      <c r="L77" s="291"/>
    </row>
    <row r="78" spans="3:12">
      <c r="C78" s="291"/>
      <c r="D78" s="291"/>
      <c r="E78" s="291"/>
      <c r="F78" s="291"/>
      <c r="G78" s="291"/>
      <c r="H78" s="291"/>
      <c r="I78" s="291"/>
      <c r="J78" s="291"/>
      <c r="K78" s="291"/>
      <c r="L78" s="291"/>
    </row>
    <row r="79" spans="3:12">
      <c r="C79" s="291"/>
      <c r="D79" s="291"/>
      <c r="E79" s="291"/>
      <c r="F79" s="291"/>
      <c r="G79" s="291"/>
      <c r="H79" s="291"/>
      <c r="I79" s="291"/>
      <c r="J79" s="291"/>
      <c r="K79" s="291"/>
      <c r="L79" s="291"/>
    </row>
    <row r="80" spans="3:12">
      <c r="C80" s="291"/>
      <c r="D80" s="291"/>
      <c r="E80" s="291"/>
      <c r="F80" s="291"/>
      <c r="G80" s="291"/>
      <c r="H80" s="291"/>
      <c r="I80" s="291"/>
      <c r="J80" s="291"/>
      <c r="K80" s="291"/>
      <c r="L80" s="291"/>
    </row>
    <row r="81" spans="3:12">
      <c r="C81" s="291"/>
      <c r="D81" s="291"/>
      <c r="E81" s="291"/>
      <c r="F81" s="291"/>
      <c r="G81" s="291"/>
      <c r="H81" s="291"/>
      <c r="I81" s="291"/>
      <c r="J81" s="291"/>
      <c r="K81" s="291"/>
      <c r="L81" s="291"/>
    </row>
    <row r="82" spans="3:12">
      <c r="C82" s="291"/>
      <c r="D82" s="291"/>
      <c r="E82" s="291"/>
      <c r="F82" s="291"/>
      <c r="G82" s="291"/>
      <c r="H82" s="291"/>
      <c r="I82" s="291"/>
      <c r="J82" s="291"/>
      <c r="K82" s="291"/>
      <c r="L82" s="291"/>
    </row>
    <row r="83" spans="3:12">
      <c r="C83" s="291"/>
      <c r="D83" s="291"/>
      <c r="E83" s="291"/>
      <c r="F83" s="291"/>
      <c r="G83" s="291"/>
      <c r="H83" s="291"/>
      <c r="I83" s="291"/>
      <c r="J83" s="291"/>
      <c r="K83" s="291"/>
      <c r="L83" s="291"/>
    </row>
    <row r="84" spans="3:12">
      <c r="C84" s="291"/>
      <c r="D84" s="291"/>
      <c r="E84" s="291"/>
      <c r="F84" s="291"/>
      <c r="G84" s="291"/>
      <c r="H84" s="291"/>
      <c r="I84" s="291"/>
      <c r="J84" s="291"/>
      <c r="K84" s="291"/>
      <c r="L84" s="291"/>
    </row>
    <row r="85" spans="3:12">
      <c r="C85" s="291"/>
      <c r="D85" s="291"/>
      <c r="E85" s="291"/>
      <c r="F85" s="291"/>
      <c r="G85" s="291"/>
      <c r="H85" s="291"/>
      <c r="I85" s="291"/>
      <c r="J85" s="291"/>
      <c r="K85" s="291"/>
      <c r="L85" s="291"/>
    </row>
    <row r="86" spans="3:12">
      <c r="C86" s="291"/>
      <c r="D86" s="291"/>
      <c r="E86" s="291"/>
      <c r="F86" s="291"/>
      <c r="G86" s="291"/>
      <c r="H86" s="291"/>
      <c r="I86" s="291"/>
      <c r="J86" s="291"/>
      <c r="K86" s="291"/>
      <c r="L86" s="291"/>
    </row>
    <row r="87" spans="3:12">
      <c r="C87" s="291"/>
      <c r="D87" s="291"/>
      <c r="E87" s="291"/>
      <c r="F87" s="291"/>
      <c r="G87" s="291"/>
      <c r="H87" s="291"/>
      <c r="I87" s="291"/>
      <c r="J87" s="291"/>
      <c r="K87" s="291"/>
      <c r="L87" s="291"/>
    </row>
    <row r="88" spans="3:12">
      <c r="C88" s="291"/>
      <c r="D88" s="291"/>
      <c r="E88" s="291"/>
      <c r="F88" s="291"/>
      <c r="G88" s="291"/>
      <c r="H88" s="291"/>
      <c r="I88" s="291"/>
      <c r="J88" s="291"/>
      <c r="K88" s="291"/>
      <c r="L88" s="291"/>
    </row>
    <row r="89" spans="3:12">
      <c r="C89" s="291"/>
      <c r="D89" s="291"/>
      <c r="E89" s="291"/>
      <c r="F89" s="291"/>
      <c r="G89" s="291"/>
      <c r="H89" s="291"/>
      <c r="I89" s="291"/>
      <c r="J89" s="291"/>
      <c r="K89" s="291"/>
      <c r="L89" s="291"/>
    </row>
    <row r="90" spans="3:12">
      <c r="C90" s="291"/>
      <c r="D90" s="291"/>
      <c r="E90" s="291"/>
      <c r="F90" s="291"/>
      <c r="G90" s="291"/>
      <c r="H90" s="291"/>
      <c r="I90" s="291"/>
      <c r="J90" s="291"/>
      <c r="K90" s="291"/>
      <c r="L90" s="291"/>
    </row>
    <row r="91" spans="3:12">
      <c r="C91" s="291"/>
      <c r="D91" s="291"/>
      <c r="E91" s="291"/>
      <c r="F91" s="291"/>
      <c r="G91" s="291"/>
      <c r="H91" s="291"/>
      <c r="I91" s="291"/>
      <c r="J91" s="291"/>
      <c r="K91" s="291"/>
      <c r="L91" s="291"/>
    </row>
    <row r="92" spans="3:12">
      <c r="C92" s="291"/>
      <c r="D92" s="291"/>
      <c r="E92" s="291"/>
      <c r="F92" s="291"/>
      <c r="G92" s="291"/>
      <c r="H92" s="291"/>
      <c r="I92" s="291"/>
      <c r="J92" s="291"/>
      <c r="K92" s="291"/>
      <c r="L92" s="291"/>
    </row>
    <row r="93" spans="3:12">
      <c r="C93" s="291"/>
      <c r="D93" s="291"/>
      <c r="E93" s="291"/>
      <c r="F93" s="291"/>
      <c r="G93" s="291"/>
      <c r="H93" s="291"/>
      <c r="I93" s="291"/>
      <c r="J93" s="291"/>
      <c r="K93" s="291"/>
      <c r="L93" s="291"/>
    </row>
    <row r="94" spans="3:12">
      <c r="C94" s="291"/>
      <c r="D94" s="291"/>
      <c r="E94" s="291"/>
      <c r="F94" s="291"/>
      <c r="G94" s="291"/>
      <c r="H94" s="291"/>
      <c r="I94" s="291"/>
      <c r="J94" s="291"/>
      <c r="K94" s="291"/>
      <c r="L94" s="291"/>
    </row>
    <row r="95" spans="3:12">
      <c r="C95" s="291"/>
      <c r="D95" s="291"/>
      <c r="E95" s="291"/>
      <c r="F95" s="291"/>
      <c r="G95" s="291"/>
      <c r="H95" s="291"/>
      <c r="I95" s="291"/>
      <c r="J95" s="291"/>
      <c r="K95" s="291"/>
      <c r="L95" s="291"/>
    </row>
    <row r="96" spans="3:12">
      <c r="C96" s="291"/>
      <c r="D96" s="291"/>
      <c r="E96" s="291"/>
      <c r="F96" s="291"/>
      <c r="G96" s="291"/>
      <c r="H96" s="291"/>
      <c r="I96" s="291"/>
      <c r="J96" s="291"/>
      <c r="K96" s="291"/>
      <c r="L96" s="291"/>
    </row>
    <row r="97" spans="3:12">
      <c r="C97" s="291"/>
      <c r="D97" s="291"/>
      <c r="E97" s="291"/>
      <c r="F97" s="291"/>
      <c r="G97" s="291"/>
      <c r="H97" s="291"/>
      <c r="I97" s="291"/>
      <c r="J97" s="291"/>
      <c r="K97" s="291"/>
      <c r="L97" s="291"/>
    </row>
    <row r="98" spans="3:12">
      <c r="C98" s="291"/>
      <c r="D98" s="291"/>
      <c r="E98" s="291"/>
      <c r="F98" s="291"/>
      <c r="G98" s="291"/>
      <c r="H98" s="291"/>
      <c r="I98" s="291"/>
      <c r="J98" s="291"/>
      <c r="K98" s="291"/>
      <c r="L98" s="291"/>
    </row>
    <row r="99" spans="3:12">
      <c r="C99" s="291"/>
      <c r="D99" s="291"/>
      <c r="E99" s="291"/>
      <c r="F99" s="291"/>
      <c r="G99" s="291"/>
      <c r="H99" s="291"/>
      <c r="I99" s="291"/>
      <c r="J99" s="291"/>
      <c r="K99" s="291"/>
      <c r="L99" s="291"/>
    </row>
    <row r="100" spans="3:12">
      <c r="C100" s="291"/>
      <c r="D100" s="291"/>
      <c r="E100" s="291"/>
      <c r="F100" s="291"/>
      <c r="G100" s="291"/>
      <c r="H100" s="291"/>
      <c r="I100" s="291"/>
      <c r="J100" s="291"/>
      <c r="K100" s="291"/>
      <c r="L100" s="291"/>
    </row>
    <row r="101" spans="3:12">
      <c r="C101" s="291"/>
      <c r="D101" s="291"/>
      <c r="E101" s="291"/>
      <c r="F101" s="291"/>
      <c r="G101" s="291"/>
      <c r="H101" s="291"/>
      <c r="I101" s="291"/>
      <c r="J101" s="291"/>
      <c r="K101" s="291"/>
      <c r="L101" s="291"/>
    </row>
    <row r="102" spans="3:12">
      <c r="C102" s="291"/>
      <c r="D102" s="291"/>
      <c r="E102" s="291"/>
      <c r="F102" s="291"/>
      <c r="G102" s="291"/>
      <c r="H102" s="291"/>
      <c r="I102" s="291"/>
      <c r="J102" s="291"/>
      <c r="K102" s="291"/>
      <c r="L102" s="291"/>
    </row>
    <row r="103" spans="3:12">
      <c r="C103" s="291"/>
      <c r="D103" s="291"/>
      <c r="E103" s="291"/>
      <c r="F103" s="291"/>
      <c r="G103" s="291"/>
      <c r="H103" s="291"/>
      <c r="I103" s="291"/>
      <c r="J103" s="291"/>
      <c r="K103" s="291"/>
      <c r="L103" s="291"/>
    </row>
    <row r="104" spans="3:12">
      <c r="C104" s="291"/>
      <c r="D104" s="291"/>
      <c r="E104" s="291"/>
      <c r="F104" s="291"/>
      <c r="G104" s="291"/>
      <c r="H104" s="291"/>
      <c r="I104" s="291"/>
      <c r="J104" s="291"/>
      <c r="K104" s="291"/>
      <c r="L104" s="291"/>
    </row>
    <row r="105" spans="3:12">
      <c r="C105" s="291"/>
      <c r="D105" s="291"/>
      <c r="E105" s="291"/>
      <c r="F105" s="291"/>
      <c r="G105" s="291"/>
      <c r="H105" s="291"/>
      <c r="I105" s="291"/>
      <c r="J105" s="291"/>
      <c r="K105" s="291"/>
      <c r="L105" s="291"/>
    </row>
    <row r="106" spans="3:12">
      <c r="C106" s="291"/>
      <c r="D106" s="291"/>
      <c r="E106" s="291"/>
      <c r="F106" s="291"/>
      <c r="G106" s="291"/>
      <c r="H106" s="291"/>
      <c r="I106" s="291"/>
      <c r="J106" s="291"/>
      <c r="K106" s="291"/>
      <c r="L106" s="291"/>
    </row>
    <row r="107" spans="3:12">
      <c r="C107" s="291"/>
      <c r="D107" s="291"/>
      <c r="E107" s="291"/>
      <c r="F107" s="291"/>
      <c r="G107" s="291"/>
      <c r="H107" s="291"/>
      <c r="I107" s="291"/>
      <c r="J107" s="291"/>
      <c r="K107" s="291"/>
      <c r="L107" s="291"/>
    </row>
    <row r="108" spans="3:12">
      <c r="C108" s="291"/>
      <c r="D108" s="291"/>
      <c r="E108" s="291"/>
      <c r="F108" s="291"/>
      <c r="G108" s="291"/>
      <c r="H108" s="291"/>
      <c r="I108" s="291"/>
      <c r="J108" s="291"/>
      <c r="K108" s="291"/>
      <c r="L108" s="291"/>
    </row>
    <row r="109" spans="3:12">
      <c r="C109" s="291"/>
      <c r="D109" s="291"/>
      <c r="E109" s="291"/>
      <c r="F109" s="291"/>
      <c r="G109" s="291"/>
      <c r="H109" s="291"/>
      <c r="I109" s="291"/>
      <c r="J109" s="291"/>
      <c r="K109" s="291"/>
      <c r="L109" s="291"/>
    </row>
    <row r="110" spans="3:12">
      <c r="C110" s="291"/>
      <c r="D110" s="291"/>
      <c r="E110" s="291"/>
      <c r="F110" s="291"/>
      <c r="G110" s="291"/>
      <c r="H110" s="291"/>
      <c r="I110" s="291"/>
      <c r="J110" s="291"/>
      <c r="K110" s="291"/>
      <c r="L110" s="291"/>
    </row>
    <row r="111" spans="3:12">
      <c r="C111" s="291"/>
      <c r="D111" s="291"/>
      <c r="E111" s="291"/>
      <c r="F111" s="291"/>
      <c r="G111" s="291"/>
      <c r="H111" s="291"/>
      <c r="I111" s="291"/>
      <c r="J111" s="291"/>
      <c r="K111" s="291"/>
      <c r="L111" s="291"/>
    </row>
    <row r="112" spans="3:12">
      <c r="C112" s="291"/>
      <c r="D112" s="291"/>
      <c r="E112" s="291"/>
      <c r="F112" s="291"/>
      <c r="G112" s="291"/>
      <c r="H112" s="291"/>
      <c r="I112" s="291"/>
      <c r="J112" s="291"/>
      <c r="K112" s="291"/>
      <c r="L112" s="291"/>
    </row>
    <row r="113" spans="3:12">
      <c r="C113" s="291"/>
      <c r="D113" s="291"/>
      <c r="E113" s="291"/>
      <c r="F113" s="291"/>
      <c r="G113" s="291"/>
      <c r="H113" s="291"/>
      <c r="I113" s="291"/>
      <c r="J113" s="291"/>
      <c r="K113" s="291"/>
      <c r="L113" s="291"/>
    </row>
    <row r="114" spans="3:12">
      <c r="C114" s="291"/>
      <c r="D114" s="291"/>
      <c r="E114" s="291"/>
      <c r="F114" s="291"/>
      <c r="G114" s="291"/>
      <c r="H114" s="291"/>
      <c r="I114" s="291"/>
      <c r="J114" s="291"/>
      <c r="K114" s="291"/>
      <c r="L114" s="291"/>
    </row>
    <row r="115" spans="3:12">
      <c r="C115" s="291"/>
      <c r="D115" s="291"/>
      <c r="E115" s="291"/>
      <c r="F115" s="291"/>
      <c r="G115" s="291"/>
      <c r="H115" s="291"/>
      <c r="I115" s="291"/>
      <c r="J115" s="291"/>
      <c r="K115" s="291"/>
      <c r="L115" s="291"/>
    </row>
    <row r="116" spans="3:12">
      <c r="C116" s="291"/>
      <c r="D116" s="291"/>
      <c r="E116" s="291"/>
      <c r="F116" s="291"/>
      <c r="G116" s="291"/>
      <c r="H116" s="291"/>
      <c r="I116" s="291"/>
      <c r="J116" s="291"/>
      <c r="K116" s="291"/>
      <c r="L116" s="291"/>
    </row>
    <row r="117" spans="3:12">
      <c r="C117" s="291"/>
      <c r="D117" s="291"/>
      <c r="E117" s="291"/>
      <c r="F117" s="291"/>
      <c r="G117" s="291"/>
      <c r="H117" s="291"/>
      <c r="I117" s="291"/>
      <c r="J117" s="291"/>
      <c r="K117" s="291"/>
      <c r="L117" s="291"/>
    </row>
    <row r="118" spans="3:12">
      <c r="C118" s="291"/>
      <c r="D118" s="291"/>
      <c r="E118" s="291"/>
      <c r="F118" s="291"/>
      <c r="G118" s="291"/>
      <c r="H118" s="291"/>
      <c r="I118" s="291"/>
      <c r="J118" s="291"/>
      <c r="K118" s="291"/>
      <c r="L118" s="291"/>
    </row>
    <row r="119" spans="3:12">
      <c r="C119" s="291"/>
      <c r="D119" s="291"/>
      <c r="E119" s="291"/>
      <c r="F119" s="291"/>
      <c r="G119" s="291"/>
      <c r="H119" s="291"/>
      <c r="I119" s="291"/>
      <c r="J119" s="291"/>
      <c r="K119" s="291"/>
      <c r="L119" s="291"/>
    </row>
    <row r="120" spans="3:12">
      <c r="C120" s="291"/>
      <c r="D120" s="291"/>
      <c r="E120" s="291"/>
      <c r="F120" s="291"/>
      <c r="G120" s="291"/>
      <c r="H120" s="291"/>
      <c r="I120" s="291"/>
      <c r="J120" s="291"/>
      <c r="K120" s="291"/>
      <c r="L120" s="291"/>
    </row>
    <row r="121" spans="3:12">
      <c r="C121" s="291"/>
      <c r="D121" s="291"/>
      <c r="E121" s="291"/>
      <c r="F121" s="291"/>
      <c r="G121" s="291"/>
      <c r="H121" s="291"/>
      <c r="I121" s="291"/>
      <c r="J121" s="291"/>
      <c r="K121" s="291"/>
      <c r="L121" s="291"/>
    </row>
    <row r="122" spans="3:12">
      <c r="C122" s="291"/>
      <c r="D122" s="291"/>
      <c r="E122" s="291"/>
      <c r="F122" s="291"/>
      <c r="G122" s="291"/>
      <c r="H122" s="291"/>
      <c r="I122" s="291"/>
      <c r="J122" s="291"/>
      <c r="K122" s="291"/>
      <c r="L122" s="291"/>
    </row>
    <row r="123" spans="3:12">
      <c r="C123" s="291"/>
      <c r="D123" s="291"/>
      <c r="E123" s="291"/>
      <c r="F123" s="291"/>
      <c r="G123" s="291"/>
      <c r="H123" s="291"/>
      <c r="I123" s="291"/>
      <c r="J123" s="291"/>
      <c r="K123" s="291"/>
      <c r="L123" s="291"/>
    </row>
    <row r="124" spans="3:12">
      <c r="C124" s="291"/>
      <c r="D124" s="291"/>
      <c r="E124" s="291"/>
      <c r="F124" s="291"/>
      <c r="G124" s="291"/>
      <c r="H124" s="291"/>
      <c r="I124" s="291"/>
      <c r="J124" s="291"/>
      <c r="K124" s="291"/>
      <c r="L124" s="291"/>
    </row>
    <row r="125" spans="3:12">
      <c r="C125" s="291"/>
      <c r="D125" s="291"/>
      <c r="E125" s="291"/>
      <c r="F125" s="291"/>
      <c r="G125" s="291"/>
      <c r="H125" s="291"/>
      <c r="I125" s="291"/>
      <c r="J125" s="291"/>
      <c r="K125" s="291"/>
      <c r="L125" s="291"/>
    </row>
    <row r="126" spans="3:12">
      <c r="C126" s="291"/>
      <c r="D126" s="291"/>
      <c r="E126" s="291"/>
      <c r="F126" s="291"/>
      <c r="G126" s="291"/>
      <c r="H126" s="291"/>
      <c r="I126" s="291"/>
      <c r="J126" s="291"/>
      <c r="K126" s="291"/>
      <c r="L126" s="291"/>
    </row>
    <row r="127" spans="3:12">
      <c r="C127" s="291"/>
      <c r="D127" s="291"/>
      <c r="E127" s="291"/>
      <c r="F127" s="291"/>
      <c r="G127" s="291"/>
      <c r="H127" s="291"/>
      <c r="I127" s="291"/>
      <c r="J127" s="291"/>
      <c r="K127" s="291"/>
      <c r="L127" s="291"/>
    </row>
    <row r="128" spans="3:12">
      <c r="C128" s="291"/>
      <c r="D128" s="291"/>
      <c r="E128" s="291"/>
      <c r="F128" s="291"/>
      <c r="G128" s="291"/>
      <c r="H128" s="291"/>
      <c r="I128" s="291"/>
      <c r="J128" s="291"/>
      <c r="K128" s="291"/>
      <c r="L128" s="291"/>
    </row>
    <row r="129" spans="3:12">
      <c r="C129" s="291"/>
      <c r="D129" s="291"/>
      <c r="E129" s="291"/>
      <c r="F129" s="291"/>
      <c r="G129" s="291"/>
      <c r="H129" s="291"/>
      <c r="I129" s="291"/>
      <c r="J129" s="291"/>
      <c r="K129" s="291"/>
      <c r="L129" s="291"/>
    </row>
    <row r="130" spans="3:12">
      <c r="C130" s="291"/>
      <c r="D130" s="291"/>
      <c r="E130" s="291"/>
      <c r="F130" s="291"/>
      <c r="G130" s="291"/>
      <c r="H130" s="291"/>
      <c r="I130" s="291"/>
      <c r="J130" s="291"/>
      <c r="K130" s="291"/>
      <c r="L130" s="291"/>
    </row>
    <row r="131" spans="3:12">
      <c r="C131" s="291"/>
      <c r="D131" s="291"/>
      <c r="E131" s="291"/>
      <c r="F131" s="291"/>
      <c r="G131" s="291"/>
      <c r="H131" s="291"/>
      <c r="I131" s="291"/>
      <c r="J131" s="291"/>
      <c r="K131" s="291"/>
      <c r="L131" s="291"/>
    </row>
    <row r="132" spans="3:12">
      <c r="C132" s="291"/>
      <c r="D132" s="291"/>
      <c r="E132" s="291"/>
      <c r="F132" s="291"/>
      <c r="G132" s="291"/>
      <c r="H132" s="291"/>
      <c r="I132" s="291"/>
      <c r="J132" s="291"/>
      <c r="K132" s="291"/>
      <c r="L132" s="291"/>
    </row>
    <row r="133" spans="3:12">
      <c r="C133" s="291"/>
      <c r="D133" s="291"/>
      <c r="E133" s="291"/>
      <c r="F133" s="291"/>
      <c r="G133" s="291"/>
      <c r="H133" s="291"/>
      <c r="I133" s="291"/>
      <c r="J133" s="291"/>
      <c r="K133" s="291"/>
      <c r="L133" s="291"/>
    </row>
    <row r="134" spans="3:12">
      <c r="C134" s="291"/>
      <c r="D134" s="291"/>
      <c r="E134" s="291"/>
      <c r="F134" s="291"/>
      <c r="G134" s="291"/>
      <c r="H134" s="291"/>
      <c r="I134" s="291"/>
      <c r="J134" s="291"/>
      <c r="K134" s="291"/>
      <c r="L134" s="291"/>
    </row>
    <row r="135" spans="3:12">
      <c r="C135" s="291"/>
      <c r="D135" s="291"/>
      <c r="E135" s="291"/>
      <c r="F135" s="291"/>
      <c r="G135" s="291"/>
      <c r="H135" s="291"/>
      <c r="I135" s="291"/>
      <c r="J135" s="291"/>
      <c r="K135" s="291"/>
      <c r="L135" s="291"/>
    </row>
    <row r="136" spans="3:12">
      <c r="C136" s="291"/>
      <c r="D136" s="291"/>
      <c r="E136" s="291"/>
      <c r="F136" s="291"/>
      <c r="G136" s="291"/>
      <c r="H136" s="291"/>
      <c r="I136" s="291"/>
      <c r="J136" s="291"/>
      <c r="K136" s="291"/>
      <c r="L136" s="291"/>
    </row>
    <row r="137" spans="3:12">
      <c r="C137" s="291"/>
      <c r="D137" s="291"/>
      <c r="E137" s="291"/>
      <c r="F137" s="291"/>
      <c r="G137" s="291"/>
      <c r="H137" s="291"/>
      <c r="I137" s="291"/>
      <c r="J137" s="291"/>
      <c r="K137" s="291"/>
      <c r="L137" s="291"/>
    </row>
    <row r="138" spans="3:12">
      <c r="C138" s="291"/>
      <c r="D138" s="291"/>
      <c r="E138" s="291"/>
      <c r="F138" s="291"/>
      <c r="G138" s="291"/>
      <c r="H138" s="291"/>
      <c r="I138" s="291"/>
      <c r="J138" s="291"/>
      <c r="K138" s="291"/>
      <c r="L138" s="291"/>
    </row>
    <row r="139" spans="3:12">
      <c r="C139" s="291"/>
      <c r="D139" s="291"/>
      <c r="E139" s="291"/>
      <c r="F139" s="291"/>
      <c r="G139" s="291"/>
      <c r="H139" s="291"/>
      <c r="I139" s="291"/>
      <c r="J139" s="291"/>
      <c r="K139" s="291"/>
      <c r="L139" s="291"/>
    </row>
    <row r="140" spans="3:12">
      <c r="C140" s="291"/>
      <c r="D140" s="291"/>
      <c r="E140" s="291"/>
      <c r="F140" s="291"/>
      <c r="G140" s="291"/>
      <c r="H140" s="291"/>
      <c r="I140" s="291"/>
      <c r="J140" s="291"/>
      <c r="K140" s="291"/>
      <c r="L140" s="291"/>
    </row>
    <row r="141" spans="3:12">
      <c r="C141" s="291"/>
      <c r="D141" s="291"/>
      <c r="E141" s="291"/>
      <c r="F141" s="291"/>
      <c r="G141" s="291"/>
      <c r="H141" s="291"/>
      <c r="I141" s="291"/>
      <c r="J141" s="291"/>
      <c r="K141" s="291"/>
      <c r="L141" s="291"/>
    </row>
    <row r="142" spans="3:12">
      <c r="C142" s="291"/>
      <c r="D142" s="291"/>
      <c r="E142" s="291"/>
      <c r="F142" s="291"/>
      <c r="G142" s="291"/>
      <c r="H142" s="291"/>
      <c r="I142" s="291"/>
      <c r="J142" s="291"/>
      <c r="K142" s="291"/>
      <c r="L142" s="291"/>
    </row>
    <row r="143" spans="3:12">
      <c r="C143" s="291"/>
      <c r="D143" s="291"/>
      <c r="E143" s="291"/>
      <c r="F143" s="291"/>
      <c r="G143" s="291"/>
      <c r="H143" s="291"/>
      <c r="I143" s="291"/>
      <c r="J143" s="291"/>
      <c r="K143" s="291"/>
      <c r="L143" s="291"/>
    </row>
    <row r="144" spans="3:12">
      <c r="C144" s="291"/>
      <c r="D144" s="291"/>
      <c r="E144" s="291"/>
      <c r="F144" s="291"/>
      <c r="G144" s="291"/>
      <c r="H144" s="291"/>
      <c r="I144" s="291"/>
      <c r="J144" s="291"/>
      <c r="K144" s="291"/>
      <c r="L144" s="291"/>
    </row>
    <row r="145" spans="3:12">
      <c r="C145" s="291"/>
      <c r="D145" s="291"/>
      <c r="E145" s="291"/>
      <c r="F145" s="291"/>
      <c r="G145" s="291"/>
      <c r="H145" s="291"/>
      <c r="I145" s="291"/>
      <c r="J145" s="291"/>
      <c r="K145" s="291"/>
      <c r="L145" s="291"/>
    </row>
    <row r="146" spans="3:12">
      <c r="C146" s="291"/>
      <c r="D146" s="291"/>
      <c r="E146" s="291"/>
      <c r="F146" s="291"/>
      <c r="G146" s="291"/>
      <c r="H146" s="291"/>
      <c r="I146" s="291"/>
      <c r="J146" s="291"/>
      <c r="K146" s="291"/>
      <c r="L146" s="291"/>
    </row>
    <row r="147" spans="3:12">
      <c r="C147" s="291"/>
      <c r="D147" s="291"/>
      <c r="E147" s="291"/>
      <c r="F147" s="291"/>
      <c r="G147" s="291"/>
      <c r="H147" s="291"/>
      <c r="I147" s="291"/>
      <c r="J147" s="291"/>
      <c r="K147" s="291"/>
      <c r="L147" s="291"/>
    </row>
    <row r="148" spans="3:12">
      <c r="C148" s="291"/>
      <c r="D148" s="291"/>
      <c r="E148" s="291"/>
      <c r="F148" s="291"/>
      <c r="G148" s="291"/>
      <c r="H148" s="291"/>
      <c r="I148" s="291"/>
      <c r="J148" s="291"/>
      <c r="K148" s="291"/>
      <c r="L148" s="291"/>
    </row>
    <row r="149" spans="3:12">
      <c r="C149" s="291"/>
      <c r="D149" s="291"/>
      <c r="E149" s="291"/>
      <c r="F149" s="291"/>
      <c r="G149" s="291"/>
      <c r="H149" s="291"/>
      <c r="I149" s="291"/>
      <c r="J149" s="291"/>
      <c r="K149" s="291"/>
      <c r="L149" s="291"/>
    </row>
    <row r="150" spans="3:12">
      <c r="C150" s="291"/>
      <c r="D150" s="291"/>
      <c r="E150" s="291"/>
      <c r="F150" s="291"/>
      <c r="G150" s="291"/>
      <c r="H150" s="291"/>
      <c r="I150" s="291"/>
      <c r="J150" s="291"/>
      <c r="K150" s="291"/>
      <c r="L150" s="291"/>
    </row>
    <row r="151" spans="3:12">
      <c r="C151" s="291"/>
      <c r="D151" s="291"/>
      <c r="E151" s="291"/>
      <c r="F151" s="291"/>
      <c r="G151" s="291"/>
      <c r="H151" s="291"/>
      <c r="I151" s="291"/>
      <c r="J151" s="291"/>
      <c r="K151" s="291"/>
      <c r="L151" s="291"/>
    </row>
    <row r="152" spans="3:12">
      <c r="C152" s="291"/>
      <c r="D152" s="291"/>
      <c r="E152" s="291"/>
      <c r="F152" s="291"/>
      <c r="G152" s="291"/>
      <c r="H152" s="291"/>
      <c r="I152" s="291"/>
      <c r="J152" s="291"/>
      <c r="K152" s="291"/>
      <c r="L152" s="291"/>
    </row>
    <row r="153" spans="3:12">
      <c r="C153" s="291"/>
      <c r="D153" s="291"/>
      <c r="E153" s="291"/>
      <c r="F153" s="291"/>
      <c r="G153" s="291"/>
      <c r="H153" s="291"/>
      <c r="I153" s="291"/>
      <c r="J153" s="291"/>
      <c r="K153" s="291"/>
      <c r="L153" s="291"/>
    </row>
    <row r="154" spans="3:12">
      <c r="C154" s="291"/>
      <c r="D154" s="291"/>
      <c r="E154" s="291"/>
      <c r="F154" s="291"/>
      <c r="G154" s="291"/>
      <c r="H154" s="291"/>
      <c r="I154" s="291"/>
      <c r="J154" s="291"/>
      <c r="K154" s="291"/>
      <c r="L154" s="291"/>
    </row>
    <row r="155" spans="3:12">
      <c r="C155" s="291"/>
      <c r="D155" s="291"/>
      <c r="E155" s="291"/>
      <c r="F155" s="291"/>
      <c r="G155" s="291"/>
      <c r="H155" s="291"/>
      <c r="I155" s="291"/>
      <c r="J155" s="291"/>
      <c r="K155" s="291"/>
      <c r="L155" s="291"/>
    </row>
    <row r="156" spans="3:12">
      <c r="C156" s="291"/>
      <c r="D156" s="291"/>
      <c r="E156" s="291"/>
      <c r="F156" s="291"/>
      <c r="G156" s="291"/>
      <c r="H156" s="291"/>
      <c r="I156" s="291"/>
      <c r="J156" s="291"/>
      <c r="K156" s="291"/>
      <c r="L156" s="291"/>
    </row>
    <row r="157" spans="3:12">
      <c r="C157" s="291"/>
      <c r="D157" s="291"/>
      <c r="E157" s="291"/>
      <c r="F157" s="291"/>
      <c r="G157" s="291"/>
      <c r="H157" s="291"/>
      <c r="I157" s="291"/>
      <c r="J157" s="291"/>
      <c r="K157" s="291"/>
      <c r="L157" s="291"/>
    </row>
    <row r="158" spans="3:12">
      <c r="C158" s="291"/>
      <c r="D158" s="291"/>
      <c r="E158" s="291"/>
      <c r="F158" s="291"/>
      <c r="G158" s="291"/>
      <c r="H158" s="291"/>
      <c r="I158" s="291"/>
      <c r="J158" s="291"/>
      <c r="K158" s="291"/>
      <c r="L158" s="291"/>
    </row>
    <row r="159" spans="3:12">
      <c r="C159" s="291"/>
      <c r="D159" s="291"/>
      <c r="E159" s="291"/>
      <c r="F159" s="291"/>
      <c r="G159" s="291"/>
      <c r="H159" s="291"/>
      <c r="I159" s="291"/>
      <c r="J159" s="291"/>
      <c r="K159" s="291"/>
      <c r="L159" s="291"/>
    </row>
    <row r="160" spans="3:12">
      <c r="C160" s="291"/>
      <c r="D160" s="291"/>
      <c r="E160" s="291"/>
      <c r="F160" s="291"/>
      <c r="G160" s="291"/>
      <c r="H160" s="291"/>
      <c r="I160" s="291"/>
      <c r="J160" s="291"/>
      <c r="K160" s="291"/>
      <c r="L160" s="291"/>
    </row>
    <row r="161" spans="3:12">
      <c r="C161" s="291"/>
      <c r="D161" s="291"/>
      <c r="E161" s="291"/>
      <c r="F161" s="291"/>
      <c r="G161" s="291"/>
      <c r="H161" s="291"/>
      <c r="I161" s="291"/>
      <c r="J161" s="291"/>
      <c r="K161" s="291"/>
      <c r="L161" s="291"/>
    </row>
    <row r="162" spans="3:12">
      <c r="C162" s="291"/>
      <c r="D162" s="291"/>
      <c r="E162" s="291"/>
      <c r="F162" s="291"/>
      <c r="G162" s="291"/>
      <c r="H162" s="291"/>
      <c r="I162" s="291"/>
      <c r="J162" s="291"/>
      <c r="K162" s="291"/>
      <c r="L162" s="291"/>
    </row>
    <row r="163" spans="3:12">
      <c r="C163" s="291"/>
      <c r="D163" s="291"/>
      <c r="E163" s="291"/>
      <c r="F163" s="291"/>
      <c r="G163" s="291"/>
      <c r="H163" s="291"/>
      <c r="I163" s="291"/>
      <c r="J163" s="291"/>
      <c r="K163" s="291"/>
      <c r="L163" s="291"/>
    </row>
    <row r="164" spans="3:12">
      <c r="C164" s="291"/>
      <c r="D164" s="291"/>
      <c r="E164" s="291"/>
      <c r="F164" s="291"/>
      <c r="G164" s="291"/>
      <c r="H164" s="291"/>
      <c r="I164" s="291"/>
      <c r="J164" s="291"/>
      <c r="K164" s="291"/>
      <c r="L164" s="291"/>
    </row>
    <row r="165" spans="3:12">
      <c r="C165" s="291"/>
      <c r="D165" s="291"/>
      <c r="E165" s="291"/>
      <c r="F165" s="291"/>
      <c r="G165" s="291"/>
      <c r="H165" s="291"/>
      <c r="I165" s="291"/>
      <c r="J165" s="291"/>
      <c r="K165" s="291"/>
      <c r="L165" s="291"/>
    </row>
    <row r="166" spans="3:12">
      <c r="C166" s="291"/>
      <c r="D166" s="291"/>
      <c r="E166" s="291"/>
      <c r="F166" s="291"/>
      <c r="G166" s="291"/>
      <c r="H166" s="291"/>
      <c r="I166" s="291"/>
      <c r="J166" s="291"/>
      <c r="K166" s="291"/>
      <c r="L166" s="291"/>
    </row>
    <row r="167" spans="3:12">
      <c r="C167" s="291"/>
      <c r="D167" s="291"/>
      <c r="E167" s="291"/>
      <c r="F167" s="291"/>
      <c r="G167" s="291"/>
      <c r="H167" s="291"/>
      <c r="I167" s="291"/>
      <c r="J167" s="291"/>
      <c r="K167" s="291"/>
      <c r="L167" s="291"/>
    </row>
    <row r="168" spans="3:12">
      <c r="C168" s="291"/>
      <c r="D168" s="291"/>
      <c r="E168" s="291"/>
      <c r="F168" s="291"/>
      <c r="G168" s="291"/>
      <c r="H168" s="291"/>
      <c r="I168" s="291"/>
      <c r="J168" s="291"/>
      <c r="K168" s="291"/>
      <c r="L168" s="291"/>
    </row>
    <row r="169" spans="3:12">
      <c r="C169" s="291"/>
      <c r="D169" s="291"/>
      <c r="E169" s="291"/>
      <c r="F169" s="291"/>
      <c r="G169" s="291"/>
      <c r="H169" s="291"/>
      <c r="I169" s="291"/>
      <c r="J169" s="291"/>
      <c r="K169" s="291"/>
      <c r="L169" s="291"/>
    </row>
    <row r="170" spans="3:12">
      <c r="C170" s="291"/>
      <c r="D170" s="291"/>
      <c r="E170" s="291"/>
      <c r="F170" s="291"/>
      <c r="G170" s="291"/>
      <c r="H170" s="291"/>
      <c r="I170" s="291"/>
      <c r="J170" s="291"/>
      <c r="K170" s="291"/>
      <c r="L170" s="291"/>
    </row>
    <row r="171" spans="3:12">
      <c r="C171" s="291"/>
      <c r="D171" s="291"/>
      <c r="E171" s="291"/>
      <c r="F171" s="291"/>
      <c r="G171" s="291"/>
      <c r="H171" s="291"/>
      <c r="I171" s="291"/>
      <c r="J171" s="291"/>
      <c r="K171" s="291"/>
      <c r="L171" s="291"/>
    </row>
    <row r="172" spans="3:12">
      <c r="C172" s="291"/>
      <c r="D172" s="291"/>
      <c r="E172" s="291"/>
      <c r="F172" s="291"/>
      <c r="G172" s="291"/>
      <c r="H172" s="291"/>
      <c r="I172" s="291"/>
      <c r="J172" s="291"/>
      <c r="K172" s="291"/>
      <c r="L172" s="291"/>
    </row>
    <row r="173" spans="3:12">
      <c r="C173" s="291"/>
      <c r="D173" s="291"/>
      <c r="E173" s="291"/>
      <c r="F173" s="291"/>
      <c r="G173" s="291"/>
      <c r="H173" s="291"/>
      <c r="I173" s="291"/>
      <c r="J173" s="291"/>
      <c r="K173" s="291"/>
      <c r="L173" s="291"/>
    </row>
    <row r="174" spans="3:12">
      <c r="C174" s="291"/>
      <c r="D174" s="291"/>
      <c r="E174" s="291"/>
      <c r="F174" s="291"/>
      <c r="G174" s="291"/>
      <c r="H174" s="291"/>
      <c r="I174" s="291"/>
      <c r="J174" s="291"/>
      <c r="K174" s="291"/>
      <c r="L174" s="291"/>
    </row>
    <row r="175" spans="3:12">
      <c r="C175" s="291"/>
      <c r="D175" s="291"/>
      <c r="E175" s="291"/>
      <c r="F175" s="291"/>
      <c r="G175" s="291"/>
      <c r="H175" s="291"/>
      <c r="I175" s="291"/>
      <c r="J175" s="291"/>
      <c r="K175" s="291"/>
      <c r="L175" s="291"/>
    </row>
    <row r="176" spans="3:12">
      <c r="C176" s="291"/>
      <c r="D176" s="291"/>
      <c r="E176" s="291"/>
      <c r="F176" s="291"/>
      <c r="G176" s="291"/>
      <c r="H176" s="291"/>
      <c r="I176" s="291"/>
      <c r="J176" s="291"/>
      <c r="K176" s="291"/>
      <c r="L176" s="291"/>
    </row>
    <row r="177" spans="3:12">
      <c r="C177" s="291"/>
      <c r="D177" s="291"/>
      <c r="E177" s="291"/>
      <c r="F177" s="291"/>
      <c r="G177" s="291"/>
      <c r="H177" s="291"/>
      <c r="I177" s="291"/>
      <c r="J177" s="291"/>
      <c r="K177" s="291"/>
      <c r="L177" s="291"/>
    </row>
    <row r="178" spans="3:12">
      <c r="C178" s="291"/>
      <c r="D178" s="291"/>
      <c r="E178" s="291"/>
      <c r="F178" s="291"/>
      <c r="G178" s="291"/>
      <c r="H178" s="291"/>
      <c r="I178" s="291"/>
      <c r="J178" s="291"/>
      <c r="K178" s="291"/>
      <c r="L178" s="291"/>
    </row>
    <row r="179" spans="3:12">
      <c r="C179" s="291"/>
      <c r="D179" s="291"/>
      <c r="E179" s="291"/>
      <c r="F179" s="291"/>
      <c r="G179" s="291"/>
      <c r="H179" s="291"/>
      <c r="I179" s="291"/>
      <c r="J179" s="291"/>
      <c r="K179" s="291"/>
      <c r="L179" s="291"/>
    </row>
    <row r="180" spans="3:12">
      <c r="C180" s="291"/>
      <c r="D180" s="291"/>
      <c r="E180" s="291"/>
      <c r="F180" s="291"/>
      <c r="G180" s="291"/>
      <c r="H180" s="291"/>
      <c r="I180" s="291"/>
      <c r="J180" s="291"/>
      <c r="K180" s="291"/>
      <c r="L180" s="291"/>
    </row>
    <row r="181" spans="3:12">
      <c r="C181" s="291"/>
      <c r="D181" s="291"/>
      <c r="E181" s="291"/>
      <c r="F181" s="291"/>
      <c r="G181" s="291"/>
      <c r="H181" s="291"/>
      <c r="I181" s="291"/>
      <c r="J181" s="291"/>
      <c r="K181" s="291"/>
      <c r="L181" s="291"/>
    </row>
    <row r="182" spans="3:12">
      <c r="C182" s="291"/>
      <c r="D182" s="291"/>
      <c r="E182" s="291"/>
      <c r="F182" s="291"/>
      <c r="G182" s="291"/>
      <c r="H182" s="291"/>
      <c r="I182" s="291"/>
      <c r="J182" s="291"/>
      <c r="K182" s="291"/>
      <c r="L182" s="291"/>
    </row>
    <row r="183" spans="3:12">
      <c r="C183" s="291"/>
      <c r="D183" s="291"/>
      <c r="E183" s="291"/>
      <c r="F183" s="291"/>
      <c r="G183" s="291"/>
      <c r="H183" s="291"/>
      <c r="I183" s="291"/>
      <c r="J183" s="291"/>
      <c r="K183" s="291"/>
      <c r="L183" s="291"/>
    </row>
    <row r="184" spans="3:12">
      <c r="C184" s="291"/>
      <c r="D184" s="291"/>
      <c r="E184" s="291"/>
      <c r="F184" s="291"/>
      <c r="G184" s="291"/>
      <c r="H184" s="291"/>
      <c r="I184" s="291"/>
      <c r="J184" s="291"/>
      <c r="K184" s="291"/>
      <c r="L184" s="291"/>
    </row>
    <row r="185" spans="3:12">
      <c r="C185" s="291"/>
      <c r="D185" s="291"/>
      <c r="E185" s="291"/>
      <c r="F185" s="291"/>
      <c r="G185" s="291"/>
      <c r="H185" s="291"/>
      <c r="I185" s="291"/>
      <c r="J185" s="291"/>
      <c r="K185" s="291"/>
      <c r="L185" s="291"/>
    </row>
    <row r="186" spans="3:12">
      <c r="C186" s="291"/>
      <c r="D186" s="291"/>
      <c r="E186" s="291"/>
      <c r="F186" s="291"/>
      <c r="G186" s="291"/>
      <c r="H186" s="291"/>
      <c r="I186" s="291"/>
      <c r="J186" s="291"/>
      <c r="K186" s="291"/>
      <c r="L186" s="291"/>
    </row>
    <row r="187" spans="3:12">
      <c r="C187" s="291"/>
      <c r="D187" s="291"/>
      <c r="E187" s="291"/>
      <c r="F187" s="291"/>
      <c r="G187" s="291"/>
      <c r="H187" s="291"/>
      <c r="I187" s="291"/>
      <c r="J187" s="291"/>
      <c r="K187" s="291"/>
      <c r="L187" s="291"/>
    </row>
    <row r="188" spans="3:12">
      <c r="C188" s="291"/>
      <c r="D188" s="291"/>
      <c r="E188" s="291"/>
      <c r="F188" s="291"/>
      <c r="G188" s="291"/>
      <c r="H188" s="291"/>
      <c r="I188" s="291"/>
      <c r="J188" s="291"/>
      <c r="K188" s="291"/>
      <c r="L188" s="291"/>
    </row>
    <row r="189" spans="3:12">
      <c r="C189" s="291"/>
      <c r="D189" s="291"/>
      <c r="E189" s="291"/>
      <c r="F189" s="291"/>
      <c r="G189" s="291"/>
      <c r="H189" s="291"/>
      <c r="I189" s="291"/>
      <c r="J189" s="291"/>
      <c r="K189" s="291"/>
      <c r="L189" s="291"/>
    </row>
    <row r="190" spans="3:12">
      <c r="C190" s="291"/>
      <c r="D190" s="291"/>
      <c r="E190" s="291"/>
      <c r="F190" s="291"/>
      <c r="G190" s="291"/>
      <c r="H190" s="291"/>
      <c r="I190" s="291"/>
      <c r="J190" s="291"/>
      <c r="K190" s="291"/>
      <c r="L190" s="291"/>
    </row>
    <row r="191" spans="3:12">
      <c r="C191" s="291"/>
      <c r="D191" s="291"/>
      <c r="E191" s="291"/>
      <c r="F191" s="291"/>
      <c r="G191" s="291"/>
      <c r="H191" s="291"/>
      <c r="I191" s="291"/>
      <c r="J191" s="291"/>
      <c r="K191" s="291"/>
      <c r="L191" s="291"/>
    </row>
    <row r="192" spans="3:12">
      <c r="C192" s="291"/>
      <c r="D192" s="291"/>
      <c r="E192" s="291"/>
      <c r="F192" s="291"/>
      <c r="G192" s="291"/>
      <c r="H192" s="291"/>
      <c r="I192" s="291"/>
      <c r="J192" s="291"/>
      <c r="K192" s="291"/>
      <c r="L192" s="291"/>
    </row>
    <row r="193" spans="3:12">
      <c r="C193" s="291"/>
      <c r="D193" s="291"/>
      <c r="E193" s="291"/>
      <c r="F193" s="291"/>
      <c r="G193" s="291"/>
      <c r="H193" s="291"/>
      <c r="I193" s="291"/>
      <c r="J193" s="291"/>
      <c r="K193" s="291"/>
      <c r="L193" s="291"/>
    </row>
    <row r="194" spans="3:12">
      <c r="C194" s="291"/>
      <c r="D194" s="291"/>
      <c r="E194" s="291"/>
      <c r="F194" s="291"/>
      <c r="G194" s="291"/>
      <c r="H194" s="291"/>
      <c r="I194" s="291"/>
      <c r="J194" s="291"/>
      <c r="K194" s="291"/>
      <c r="L194" s="291"/>
    </row>
    <row r="195" spans="3:12">
      <c r="C195" s="291"/>
      <c r="D195" s="291"/>
      <c r="E195" s="291"/>
      <c r="F195" s="291"/>
      <c r="G195" s="291"/>
      <c r="H195" s="291"/>
      <c r="I195" s="291"/>
      <c r="J195" s="291"/>
      <c r="K195" s="291"/>
      <c r="L195" s="291"/>
    </row>
    <row r="196" spans="3:12">
      <c r="C196" s="291"/>
      <c r="D196" s="291"/>
      <c r="E196" s="291"/>
      <c r="F196" s="291"/>
      <c r="G196" s="291"/>
      <c r="H196" s="291"/>
      <c r="I196" s="291"/>
      <c r="J196" s="291"/>
      <c r="K196" s="291"/>
      <c r="L196" s="291"/>
    </row>
    <row r="197" spans="3:12">
      <c r="C197" s="291"/>
      <c r="D197" s="291"/>
      <c r="E197" s="291"/>
      <c r="F197" s="291"/>
      <c r="G197" s="291"/>
      <c r="H197" s="291"/>
      <c r="I197" s="291"/>
      <c r="J197" s="291"/>
      <c r="K197" s="291"/>
      <c r="L197" s="291"/>
    </row>
    <row r="198" spans="3:12">
      <c r="C198" s="291"/>
      <c r="D198" s="291"/>
      <c r="E198" s="291"/>
      <c r="F198" s="291"/>
      <c r="G198" s="291"/>
      <c r="H198" s="291"/>
      <c r="I198" s="291"/>
      <c r="J198" s="291"/>
      <c r="K198" s="291"/>
      <c r="L198" s="291"/>
    </row>
    <row r="199" spans="3:12">
      <c r="C199" s="291"/>
      <c r="D199" s="291"/>
      <c r="E199" s="291"/>
      <c r="F199" s="291"/>
      <c r="G199" s="291"/>
      <c r="H199" s="291"/>
      <c r="I199" s="291"/>
      <c r="J199" s="291"/>
      <c r="K199" s="291"/>
      <c r="L199" s="291"/>
    </row>
    <row r="200" spans="3:12">
      <c r="C200" s="291"/>
      <c r="D200" s="291"/>
      <c r="E200" s="291"/>
      <c r="F200" s="291"/>
      <c r="G200" s="291"/>
      <c r="H200" s="291"/>
      <c r="I200" s="291"/>
      <c r="J200" s="291"/>
      <c r="K200" s="291"/>
      <c r="L200" s="291"/>
    </row>
    <row r="201" spans="3:12">
      <c r="C201" s="291"/>
      <c r="D201" s="291"/>
      <c r="E201" s="291"/>
      <c r="F201" s="291"/>
      <c r="G201" s="291"/>
      <c r="H201" s="291"/>
      <c r="I201" s="291"/>
      <c r="J201" s="291"/>
      <c r="K201" s="291"/>
      <c r="L201" s="291"/>
    </row>
    <row r="202" spans="3:12">
      <c r="C202" s="291"/>
      <c r="D202" s="291"/>
      <c r="E202" s="291"/>
      <c r="F202" s="291"/>
      <c r="G202" s="291"/>
      <c r="H202" s="291"/>
      <c r="I202" s="291"/>
      <c r="J202" s="291"/>
      <c r="K202" s="291"/>
      <c r="L202" s="291"/>
    </row>
    <row r="203" spans="3:12">
      <c r="C203" s="291"/>
      <c r="D203" s="291"/>
      <c r="E203" s="291"/>
      <c r="F203" s="291"/>
      <c r="G203" s="291"/>
      <c r="H203" s="291"/>
      <c r="I203" s="291"/>
      <c r="J203" s="291"/>
      <c r="K203" s="291"/>
      <c r="L203" s="291"/>
    </row>
    <row r="204" spans="3:12">
      <c r="C204" s="291"/>
      <c r="D204" s="291"/>
      <c r="E204" s="291"/>
      <c r="F204" s="291"/>
      <c r="G204" s="291"/>
      <c r="H204" s="291"/>
      <c r="I204" s="291"/>
      <c r="J204" s="291"/>
      <c r="K204" s="291"/>
      <c r="L204" s="291"/>
    </row>
    <row r="205" spans="3:12">
      <c r="C205" s="291"/>
      <c r="D205" s="291"/>
      <c r="E205" s="291"/>
      <c r="F205" s="291"/>
      <c r="G205" s="291"/>
      <c r="H205" s="291"/>
      <c r="I205" s="291"/>
      <c r="J205" s="291"/>
      <c r="K205" s="291"/>
      <c r="L205" s="291"/>
    </row>
    <row r="206" spans="3:12">
      <c r="C206" s="291"/>
      <c r="D206" s="291"/>
      <c r="E206" s="291"/>
      <c r="F206" s="291"/>
      <c r="G206" s="291"/>
      <c r="H206" s="291"/>
      <c r="I206" s="291"/>
      <c r="J206" s="291"/>
      <c r="K206" s="291"/>
      <c r="L206" s="291"/>
    </row>
    <row r="207" spans="3:12">
      <c r="C207" s="291"/>
      <c r="D207" s="291"/>
      <c r="E207" s="291"/>
      <c r="F207" s="291"/>
      <c r="G207" s="291"/>
      <c r="H207" s="291"/>
      <c r="I207" s="291"/>
      <c r="J207" s="291"/>
      <c r="K207" s="291"/>
      <c r="L207" s="291"/>
    </row>
    <row r="208" spans="3:12">
      <c r="C208" s="291"/>
      <c r="D208" s="291"/>
      <c r="E208" s="291"/>
      <c r="F208" s="291"/>
      <c r="G208" s="291"/>
      <c r="H208" s="291"/>
      <c r="I208" s="291"/>
      <c r="J208" s="291"/>
      <c r="K208" s="291"/>
      <c r="L208" s="291"/>
    </row>
    <row r="209" spans="3:12">
      <c r="C209" s="291"/>
      <c r="D209" s="291"/>
      <c r="E209" s="291"/>
      <c r="F209" s="291"/>
      <c r="G209" s="291"/>
      <c r="H209" s="291"/>
      <c r="I209" s="291"/>
      <c r="J209" s="291"/>
      <c r="K209" s="291"/>
      <c r="L209" s="291"/>
    </row>
    <row r="210" spans="3:12">
      <c r="C210" s="291"/>
      <c r="D210" s="291"/>
      <c r="E210" s="291"/>
      <c r="F210" s="291"/>
      <c r="G210" s="291"/>
      <c r="H210" s="291"/>
      <c r="I210" s="291"/>
      <c r="J210" s="291"/>
      <c r="K210" s="291"/>
      <c r="L210" s="291"/>
    </row>
    <row r="211" spans="3:12">
      <c r="C211" s="291"/>
      <c r="D211" s="291"/>
      <c r="E211" s="291"/>
      <c r="F211" s="291"/>
      <c r="G211" s="291"/>
      <c r="H211" s="291"/>
      <c r="I211" s="291"/>
      <c r="J211" s="291"/>
      <c r="K211" s="291"/>
      <c r="L211" s="291"/>
    </row>
    <row r="212" spans="3:12">
      <c r="C212" s="291"/>
      <c r="D212" s="291"/>
      <c r="E212" s="291"/>
      <c r="F212" s="291"/>
      <c r="G212" s="291"/>
      <c r="H212" s="291"/>
      <c r="I212" s="291"/>
      <c r="J212" s="291"/>
      <c r="K212" s="291"/>
      <c r="L212" s="291"/>
    </row>
    <row r="213" spans="3:12">
      <c r="C213" s="291"/>
      <c r="D213" s="291"/>
      <c r="E213" s="291"/>
      <c r="F213" s="291"/>
      <c r="G213" s="291"/>
      <c r="H213" s="291"/>
      <c r="I213" s="291"/>
      <c r="J213" s="291"/>
      <c r="K213" s="291"/>
      <c r="L213" s="291"/>
    </row>
    <row r="214" spans="3:12">
      <c r="C214" s="291"/>
      <c r="D214" s="291"/>
      <c r="E214" s="291"/>
      <c r="F214" s="291"/>
      <c r="G214" s="291"/>
      <c r="H214" s="291"/>
      <c r="I214" s="291"/>
      <c r="J214" s="291"/>
      <c r="K214" s="291"/>
      <c r="L214" s="291"/>
    </row>
    <row r="215" spans="3:12">
      <c r="C215" s="291"/>
      <c r="D215" s="291"/>
      <c r="E215" s="291"/>
      <c r="F215" s="291"/>
      <c r="G215" s="291"/>
      <c r="H215" s="291"/>
      <c r="I215" s="291"/>
      <c r="J215" s="291"/>
      <c r="K215" s="291"/>
      <c r="L215" s="291"/>
    </row>
    <row r="216" spans="3:12">
      <c r="C216" s="291"/>
      <c r="D216" s="291"/>
      <c r="E216" s="291"/>
      <c r="F216" s="291"/>
      <c r="G216" s="291"/>
      <c r="H216" s="291"/>
      <c r="I216" s="291"/>
      <c r="J216" s="291"/>
      <c r="K216" s="291"/>
      <c r="L216" s="291"/>
    </row>
    <row r="217" spans="3:12">
      <c r="C217" s="291"/>
      <c r="D217" s="291"/>
      <c r="E217" s="291"/>
      <c r="F217" s="291"/>
      <c r="G217" s="291"/>
      <c r="H217" s="291"/>
      <c r="I217" s="291"/>
      <c r="J217" s="291"/>
      <c r="K217" s="291"/>
      <c r="L217" s="291"/>
    </row>
    <row r="218" spans="3:12">
      <c r="C218" s="291"/>
      <c r="D218" s="291"/>
      <c r="E218" s="291"/>
      <c r="F218" s="291"/>
      <c r="G218" s="291"/>
      <c r="H218" s="291"/>
      <c r="I218" s="291"/>
      <c r="J218" s="291"/>
      <c r="K218" s="291"/>
      <c r="L218" s="291"/>
    </row>
    <row r="219" spans="3:12">
      <c r="C219" s="291"/>
      <c r="D219" s="291"/>
      <c r="E219" s="291"/>
      <c r="F219" s="291"/>
      <c r="G219" s="291"/>
      <c r="H219" s="291"/>
      <c r="I219" s="291"/>
      <c r="J219" s="291"/>
      <c r="K219" s="291"/>
      <c r="L219" s="291"/>
    </row>
    <row r="220" spans="3:12">
      <c r="C220" s="291"/>
      <c r="D220" s="291"/>
      <c r="E220" s="291"/>
      <c r="F220" s="291"/>
      <c r="G220" s="291"/>
      <c r="H220" s="291"/>
      <c r="I220" s="291"/>
      <c r="J220" s="291"/>
      <c r="K220" s="291"/>
      <c r="L220" s="291"/>
    </row>
    <row r="221" spans="3:12">
      <c r="C221" s="291"/>
      <c r="D221" s="291"/>
      <c r="E221" s="291"/>
      <c r="F221" s="291"/>
      <c r="G221" s="291"/>
      <c r="H221" s="291"/>
      <c r="I221" s="291"/>
      <c r="J221" s="291"/>
      <c r="K221" s="291"/>
      <c r="L221" s="291"/>
    </row>
    <row r="222" spans="3:12">
      <c r="C222" s="291"/>
      <c r="D222" s="291"/>
      <c r="E222" s="291"/>
      <c r="F222" s="291"/>
      <c r="G222" s="291"/>
      <c r="H222" s="291"/>
      <c r="I222" s="291"/>
      <c r="J222" s="291"/>
      <c r="K222" s="291"/>
      <c r="L222" s="291"/>
    </row>
    <row r="223" spans="3:12">
      <c r="C223" s="291"/>
      <c r="D223" s="291"/>
      <c r="E223" s="291"/>
      <c r="F223" s="291"/>
      <c r="G223" s="291"/>
      <c r="H223" s="291"/>
      <c r="I223" s="291"/>
      <c r="J223" s="291"/>
      <c r="K223" s="291"/>
      <c r="L223" s="291"/>
    </row>
    <row r="224" spans="3:12">
      <c r="C224" s="291"/>
      <c r="D224" s="291"/>
      <c r="E224" s="291"/>
      <c r="F224" s="291"/>
      <c r="G224" s="291"/>
      <c r="H224" s="291"/>
      <c r="I224" s="291"/>
      <c r="J224" s="291"/>
      <c r="K224" s="291"/>
      <c r="L224" s="291"/>
    </row>
    <row r="225" spans="3:12">
      <c r="C225" s="291"/>
      <c r="D225" s="291"/>
      <c r="E225" s="291"/>
      <c r="F225" s="291"/>
      <c r="G225" s="291"/>
      <c r="H225" s="291"/>
      <c r="I225" s="291"/>
      <c r="J225" s="291"/>
      <c r="K225" s="291"/>
      <c r="L225" s="291"/>
    </row>
    <row r="226" spans="3:12">
      <c r="C226" s="291"/>
      <c r="D226" s="291"/>
      <c r="E226" s="291"/>
      <c r="F226" s="291"/>
      <c r="G226" s="291"/>
      <c r="H226" s="291"/>
      <c r="I226" s="291"/>
      <c r="J226" s="291"/>
      <c r="K226" s="291"/>
      <c r="L226" s="291"/>
    </row>
    <row r="227" spans="3:12">
      <c r="C227" s="291"/>
      <c r="D227" s="291"/>
      <c r="E227" s="291"/>
      <c r="F227" s="291"/>
      <c r="G227" s="291"/>
      <c r="H227" s="291"/>
      <c r="I227" s="291"/>
      <c r="J227" s="291"/>
      <c r="K227" s="291"/>
      <c r="L227" s="291"/>
    </row>
    <row r="228" spans="3:12">
      <c r="C228" s="291"/>
      <c r="D228" s="291"/>
      <c r="E228" s="291"/>
      <c r="F228" s="291"/>
      <c r="G228" s="291"/>
      <c r="H228" s="291"/>
      <c r="I228" s="291"/>
      <c r="J228" s="291"/>
      <c r="K228" s="291"/>
      <c r="L228" s="291"/>
    </row>
    <row r="229" spans="3:12">
      <c r="C229" s="291"/>
      <c r="D229" s="291"/>
      <c r="E229" s="291"/>
      <c r="F229" s="291"/>
      <c r="G229" s="291"/>
      <c r="H229" s="291"/>
      <c r="I229" s="291"/>
      <c r="J229" s="291"/>
      <c r="K229" s="291"/>
      <c r="L229" s="291"/>
    </row>
    <row r="230" spans="3:12">
      <c r="C230" s="291"/>
      <c r="D230" s="291"/>
      <c r="E230" s="291"/>
      <c r="F230" s="291"/>
      <c r="G230" s="291"/>
      <c r="H230" s="291"/>
      <c r="I230" s="291"/>
      <c r="J230" s="291"/>
      <c r="K230" s="291"/>
      <c r="L230" s="291"/>
    </row>
    <row r="231" spans="3:12">
      <c r="C231" s="291"/>
      <c r="D231" s="291"/>
      <c r="E231" s="291"/>
      <c r="F231" s="291"/>
      <c r="G231" s="291"/>
      <c r="H231" s="291"/>
      <c r="I231" s="291"/>
      <c r="J231" s="291"/>
      <c r="K231" s="291"/>
      <c r="L231" s="291"/>
    </row>
    <row r="232" spans="3:12">
      <c r="C232" s="291"/>
      <c r="D232" s="291"/>
      <c r="E232" s="291"/>
      <c r="F232" s="291"/>
      <c r="G232" s="291"/>
      <c r="H232" s="291"/>
      <c r="I232" s="291"/>
      <c r="J232" s="291"/>
      <c r="K232" s="291"/>
      <c r="L232" s="291"/>
    </row>
    <row r="233" spans="3:12">
      <c r="C233" s="291"/>
      <c r="D233" s="291"/>
      <c r="E233" s="291"/>
      <c r="F233" s="291"/>
      <c r="G233" s="291"/>
      <c r="H233" s="291"/>
      <c r="I233" s="291"/>
      <c r="J233" s="291"/>
      <c r="K233" s="291"/>
      <c r="L233" s="291"/>
    </row>
    <row r="234" spans="3:12">
      <c r="C234" s="291"/>
      <c r="D234" s="291"/>
      <c r="E234" s="291"/>
      <c r="F234" s="291"/>
      <c r="G234" s="291"/>
      <c r="H234" s="291"/>
      <c r="I234" s="291"/>
      <c r="J234" s="291"/>
      <c r="K234" s="291"/>
      <c r="L234" s="291"/>
    </row>
    <row r="235" spans="3:12">
      <c r="C235" s="291"/>
      <c r="D235" s="291"/>
      <c r="E235" s="291"/>
      <c r="F235" s="291"/>
      <c r="G235" s="291"/>
      <c r="H235" s="291"/>
      <c r="I235" s="291"/>
      <c r="J235" s="291"/>
      <c r="K235" s="291"/>
      <c r="L235" s="291"/>
    </row>
    <row r="236" spans="3:12">
      <c r="C236" s="291"/>
      <c r="D236" s="291"/>
      <c r="E236" s="291"/>
      <c r="F236" s="291"/>
      <c r="G236" s="291"/>
      <c r="H236" s="291"/>
      <c r="I236" s="291"/>
      <c r="J236" s="291"/>
      <c r="K236" s="291"/>
      <c r="L236" s="291"/>
    </row>
    <row r="237" spans="3:12">
      <c r="C237" s="291"/>
      <c r="D237" s="291"/>
      <c r="E237" s="291"/>
      <c r="F237" s="291"/>
      <c r="G237" s="291"/>
      <c r="H237" s="291"/>
      <c r="I237" s="291"/>
      <c r="J237" s="291"/>
      <c r="K237" s="291"/>
      <c r="L237" s="291"/>
    </row>
    <row r="238" spans="3:12">
      <c r="C238" s="291"/>
      <c r="D238" s="291"/>
      <c r="E238" s="291"/>
      <c r="F238" s="291"/>
      <c r="G238" s="291"/>
      <c r="H238" s="291"/>
      <c r="I238" s="291"/>
      <c r="J238" s="291"/>
      <c r="K238" s="291"/>
      <c r="L238" s="291"/>
    </row>
    <row r="239" spans="3:12">
      <c r="C239" s="291"/>
      <c r="D239" s="291"/>
      <c r="E239" s="291"/>
      <c r="F239" s="291"/>
      <c r="G239" s="291"/>
      <c r="H239" s="291"/>
      <c r="I239" s="291"/>
      <c r="J239" s="291"/>
      <c r="K239" s="291"/>
      <c r="L239" s="291"/>
    </row>
    <row r="240" spans="3:12">
      <c r="C240" s="291"/>
      <c r="D240" s="291"/>
      <c r="E240" s="291"/>
      <c r="F240" s="291"/>
      <c r="G240" s="291"/>
      <c r="H240" s="291"/>
      <c r="I240" s="291"/>
      <c r="J240" s="291"/>
      <c r="K240" s="291"/>
      <c r="L240" s="291"/>
    </row>
    <row r="241" spans="3:12">
      <c r="C241" s="291"/>
      <c r="D241" s="291"/>
      <c r="E241" s="291"/>
      <c r="F241" s="291"/>
      <c r="G241" s="291"/>
      <c r="H241" s="291"/>
      <c r="I241" s="291"/>
      <c r="J241" s="291"/>
      <c r="K241" s="291"/>
      <c r="L241" s="291"/>
    </row>
    <row r="242" spans="3:12">
      <c r="C242" s="291"/>
      <c r="D242" s="291"/>
      <c r="E242" s="291"/>
      <c r="F242" s="291"/>
      <c r="G242" s="291"/>
      <c r="H242" s="291"/>
      <c r="I242" s="291"/>
      <c r="J242" s="291"/>
      <c r="K242" s="291"/>
      <c r="L242" s="291"/>
    </row>
    <row r="243" spans="3:12">
      <c r="C243" s="291"/>
      <c r="D243" s="291"/>
      <c r="E243" s="291"/>
      <c r="F243" s="291"/>
      <c r="G243" s="291"/>
      <c r="H243" s="291"/>
      <c r="I243" s="291"/>
      <c r="J243" s="291"/>
      <c r="K243" s="291"/>
      <c r="L243" s="291"/>
    </row>
    <row r="244" spans="3:12">
      <c r="C244" s="291"/>
      <c r="D244" s="291"/>
      <c r="E244" s="291"/>
      <c r="F244" s="291"/>
      <c r="G244" s="291"/>
      <c r="H244" s="291"/>
      <c r="I244" s="291"/>
      <c r="J244" s="291"/>
      <c r="K244" s="291"/>
      <c r="L244" s="291"/>
    </row>
    <row r="245" spans="3:12">
      <c r="C245" s="291"/>
      <c r="D245" s="291"/>
      <c r="E245" s="291"/>
      <c r="F245" s="291"/>
      <c r="G245" s="291"/>
      <c r="H245" s="291"/>
      <c r="I245" s="291"/>
      <c r="J245" s="291"/>
      <c r="K245" s="291"/>
      <c r="L245" s="291"/>
    </row>
    <row r="246" spans="3:12">
      <c r="C246" s="291"/>
      <c r="D246" s="291"/>
      <c r="E246" s="291"/>
      <c r="F246" s="291"/>
      <c r="G246" s="291"/>
      <c r="H246" s="291"/>
      <c r="I246" s="291"/>
      <c r="J246" s="291"/>
      <c r="K246" s="291"/>
      <c r="L246" s="291"/>
    </row>
    <row r="247" spans="3:12">
      <c r="C247" s="291"/>
      <c r="D247" s="291"/>
      <c r="E247" s="291"/>
      <c r="F247" s="291"/>
      <c r="G247" s="291"/>
      <c r="H247" s="291"/>
      <c r="I247" s="291"/>
      <c r="J247" s="291"/>
      <c r="K247" s="291"/>
      <c r="L247" s="291"/>
    </row>
    <row r="248" spans="3:12">
      <c r="C248" s="291"/>
      <c r="D248" s="291"/>
      <c r="E248" s="291"/>
      <c r="F248" s="291"/>
      <c r="G248" s="291"/>
      <c r="H248" s="291"/>
      <c r="I248" s="291"/>
      <c r="J248" s="291"/>
      <c r="K248" s="291"/>
      <c r="L248" s="291"/>
    </row>
  </sheetData>
  <customSheetViews>
    <customSheetView guid="{E1861F40-EBD5-44AE-868B-FDE0ED504D72}" scale="65" showPageBreaks="1" printArea="1" view="pageBreakPreview">
      <selection activeCell="D40" sqref="D40"/>
      <pageMargins left="0.25" right="0.25" top="0.75" bottom="0.25" header="0.4" footer="0.5"/>
      <printOptions horizontalCentered="1"/>
      <pageSetup scale="51" fitToHeight="3" orientation="landscape" r:id="rId1"/>
      <headerFooter alignWithMargins="0"/>
    </customSheetView>
  </customSheetViews>
  <mergeCells count="2">
    <mergeCell ref="A8:L8"/>
    <mergeCell ref="A9:L9"/>
  </mergeCells>
  <printOptions horizontalCentered="1"/>
  <pageMargins left="0.7" right="0.7" top="0.75" bottom="0.75" header="0.3" footer="0.3"/>
  <pageSetup scale="44" fitToHeight="0" orientation="landscape" r:id="rId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J18"/>
  <sheetViews>
    <sheetView view="pageBreakPreview" zoomScale="75" zoomScaleNormal="75" zoomScaleSheetLayoutView="75" workbookViewId="0">
      <selection activeCell="L80" sqref="L80"/>
    </sheetView>
  </sheetViews>
  <sheetFormatPr defaultColWidth="7.08984375" defaultRowHeight="12.55"/>
  <cols>
    <col min="1" max="1" width="47.81640625" style="13" customWidth="1"/>
    <col min="2" max="2" width="7.08984375" style="13" customWidth="1"/>
    <col min="3" max="3" width="2.54296875" style="13" customWidth="1"/>
    <col min="4" max="4" width="10.81640625" style="13" bestFit="1" customWidth="1"/>
    <col min="5" max="8" width="7.08984375" style="13" customWidth="1"/>
    <col min="9" max="9" width="13.453125" style="13" customWidth="1"/>
    <col min="10" max="10" width="47.81640625" style="13" customWidth="1"/>
    <col min="11" max="16384" width="7.08984375" style="13"/>
  </cols>
  <sheetData>
    <row r="1" spans="1:10" ht="16.45" customHeight="1">
      <c r="D1" s="138"/>
      <c r="G1" s="5"/>
      <c r="H1" s="2"/>
      <c r="J1" s="6" t="s">
        <v>784</v>
      </c>
    </row>
    <row r="2" spans="1:10" ht="16.45" customHeight="1">
      <c r="G2" s="5"/>
      <c r="H2" s="5"/>
      <c r="J2" s="6" t="s">
        <v>221</v>
      </c>
    </row>
    <row r="3" spans="1:10" ht="16.45" customHeight="1">
      <c r="G3" s="3"/>
      <c r="H3" s="7"/>
      <c r="J3" s="9" t="str">
        <f>'Attachment H-28A MAIT '!K4</f>
        <v>For the 12 months ended 12/31/2019</v>
      </c>
    </row>
    <row r="4" spans="1:10" ht="15.65">
      <c r="G4" s="3"/>
      <c r="H4" s="7"/>
      <c r="I4" s="9"/>
    </row>
    <row r="5" spans="1:10" ht="15.65">
      <c r="G5" s="3"/>
      <c r="H5" s="7"/>
      <c r="I5" s="9"/>
    </row>
    <row r="6" spans="1:10" ht="15.85" customHeight="1">
      <c r="B6" s="1320" t="s">
        <v>222</v>
      </c>
      <c r="C6" s="1320"/>
      <c r="D6" s="1320"/>
      <c r="E6" s="1320"/>
      <c r="F6" s="1320"/>
      <c r="G6" s="1320"/>
      <c r="H6" s="1320"/>
      <c r="I6" s="1320"/>
    </row>
    <row r="7" spans="1:10" ht="15.65">
      <c r="B7" s="12"/>
      <c r="C7" s="12"/>
      <c r="D7" s="15"/>
      <c r="E7" s="15"/>
      <c r="F7" s="14"/>
      <c r="G7" s="14" t="s">
        <v>3</v>
      </c>
      <c r="H7" s="14"/>
      <c r="I7" s="14"/>
    </row>
    <row r="8" spans="1:10" ht="15.65">
      <c r="B8" s="12"/>
      <c r="C8" s="16">
        <v>1</v>
      </c>
      <c r="D8" s="19">
        <f>'Attachment H-28A MAIT '!I221</f>
        <v>1257980</v>
      </c>
      <c r="E8" s="16" t="s">
        <v>874</v>
      </c>
      <c r="F8" s="16"/>
      <c r="G8" s="20"/>
      <c r="H8" s="17"/>
      <c r="I8" s="17"/>
    </row>
    <row r="9" spans="1:10" ht="15.65">
      <c r="A9" s="138"/>
      <c r="B9" s="12"/>
      <c r="C9" s="16">
        <v>2</v>
      </c>
      <c r="D9" s="140">
        <v>100698.62999999999</v>
      </c>
      <c r="E9" s="21" t="s">
        <v>188</v>
      </c>
      <c r="F9" s="22"/>
      <c r="G9" s="22"/>
      <c r="H9" s="17"/>
      <c r="I9" s="17"/>
    </row>
    <row r="10" spans="1:10" ht="15.65">
      <c r="A10" s="138"/>
      <c r="B10" s="12"/>
      <c r="C10" s="16">
        <v>3</v>
      </c>
      <c r="D10" s="23">
        <f>D8-D9</f>
        <v>1157281.3700000001</v>
      </c>
      <c r="E10" s="17" t="s">
        <v>189</v>
      </c>
      <c r="F10" s="16"/>
      <c r="G10" s="20"/>
      <c r="H10" s="17"/>
      <c r="I10" s="17"/>
    </row>
    <row r="11" spans="1:10" ht="7.55" customHeight="1">
      <c r="A11" s="138"/>
      <c r="B11" s="12"/>
      <c r="C11" s="16"/>
      <c r="D11" s="16"/>
      <c r="E11" s="17"/>
      <c r="F11" s="17"/>
      <c r="G11" s="17"/>
      <c r="H11" s="17"/>
      <c r="I11" s="17"/>
    </row>
    <row r="12" spans="1:10" ht="15.65">
      <c r="A12" s="138"/>
      <c r="B12" s="12"/>
      <c r="C12" s="16">
        <v>4</v>
      </c>
      <c r="D12" s="140">
        <v>33372347.752999999</v>
      </c>
      <c r="E12" s="17" t="s">
        <v>875</v>
      </c>
      <c r="F12" s="17"/>
      <c r="G12" s="17"/>
      <c r="H12" s="17"/>
      <c r="I12" s="17"/>
    </row>
    <row r="13" spans="1:10" ht="15.65">
      <c r="A13" s="138"/>
      <c r="B13" s="24"/>
      <c r="C13" s="18">
        <v>5</v>
      </c>
      <c r="D13" s="25">
        <f>D10/D12</f>
        <v>3.4677853010685072E-2</v>
      </c>
      <c r="E13" s="17" t="s">
        <v>231</v>
      </c>
      <c r="F13" s="22"/>
      <c r="G13" s="22"/>
      <c r="H13" s="22"/>
      <c r="I13" s="22"/>
    </row>
    <row r="14" spans="1:10" ht="15.65">
      <c r="B14" s="24"/>
      <c r="C14" s="22"/>
      <c r="D14" s="22"/>
      <c r="E14" s="22"/>
      <c r="F14" s="22"/>
      <c r="G14" s="22"/>
      <c r="H14" s="22"/>
      <c r="I14" s="22"/>
    </row>
    <row r="15" spans="1:10" ht="15.65">
      <c r="B15" s="28" t="s">
        <v>190</v>
      </c>
      <c r="D15" s="24"/>
      <c r="E15" s="24"/>
      <c r="F15" s="24"/>
      <c r="G15" s="24"/>
      <c r="H15" s="24"/>
      <c r="I15" s="24"/>
    </row>
    <row r="16" spans="1:10" ht="45.7" customHeight="1">
      <c r="B16" s="44" t="s">
        <v>123</v>
      </c>
      <c r="C16" s="1317" t="s">
        <v>876</v>
      </c>
      <c r="D16" s="1318"/>
      <c r="E16" s="1318"/>
      <c r="F16" s="1318"/>
      <c r="G16" s="1318"/>
      <c r="H16" s="1318"/>
      <c r="I16" s="1318"/>
      <c r="J16" s="138"/>
    </row>
    <row r="17" spans="2:10" ht="12.05" customHeight="1">
      <c r="B17" s="44"/>
      <c r="C17" s="26"/>
      <c r="D17" s="27"/>
      <c r="E17" s="27"/>
      <c r="F17" s="27"/>
      <c r="G17" s="27"/>
      <c r="H17" s="27"/>
      <c r="I17" s="27"/>
    </row>
    <row r="18" spans="2:10" ht="49.5" customHeight="1">
      <c r="B18" s="44" t="s">
        <v>124</v>
      </c>
      <c r="C18" s="1319" t="s">
        <v>877</v>
      </c>
      <c r="D18" s="1319"/>
      <c r="E18" s="1319"/>
      <c r="F18" s="1319"/>
      <c r="G18" s="1319"/>
      <c r="H18" s="1319"/>
      <c r="I18" s="1319"/>
      <c r="J18" s="138"/>
    </row>
  </sheetData>
  <customSheetViews>
    <customSheetView guid="{E1861F40-EBD5-44AE-868B-FDE0ED504D72}" showPageBreaks="1" printArea="1" view="pageBreakPreview">
      <selection activeCell="H4" sqref="H4"/>
      <pageMargins left="0.75" right="0.75" top="1" bottom="1" header="0.5" footer="0.5"/>
      <printOptions horizontalCentered="1"/>
      <pageSetup scale="76" orientation="portrait" r:id="rId1"/>
      <headerFooter alignWithMargins="0"/>
    </customSheetView>
  </customSheetViews>
  <mergeCells count="3">
    <mergeCell ref="C16:I16"/>
    <mergeCell ref="C18:I18"/>
    <mergeCell ref="B6:I6"/>
  </mergeCells>
  <phoneticPr fontId="53" type="noConversion"/>
  <printOptions horizontalCentered="1"/>
  <pageMargins left="0.7" right="0.7" top="0.75" bottom="0.75" header="0.3" footer="0.3"/>
  <pageSetup scale="45" fitToWidth="0" fitToHeight="0" orientation="portrait" r:id="rId2"/>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0"/>
  <dimension ref="A1:J55"/>
  <sheetViews>
    <sheetView view="pageBreakPreview" zoomScale="65" zoomScaleNormal="70" zoomScaleSheetLayoutView="65" workbookViewId="0">
      <selection activeCell="L80" sqref="L80"/>
    </sheetView>
  </sheetViews>
  <sheetFormatPr defaultColWidth="8.90625" defaultRowHeight="20.05" customHeight="1"/>
  <cols>
    <col min="1" max="1" width="4.36328125" style="85" customWidth="1"/>
    <col min="2" max="2" width="24.81640625" style="87" customWidth="1"/>
    <col min="3" max="3" width="9" style="87" customWidth="1"/>
    <col min="4" max="4" width="25.54296875" style="85" customWidth="1"/>
    <col min="5" max="9" width="15.81640625" style="85" customWidth="1"/>
    <col min="10" max="10" width="18.81640625" style="85" customWidth="1"/>
    <col min="11" max="16384" width="8.90625" style="85"/>
  </cols>
  <sheetData>
    <row r="1" spans="1:10" ht="16.45" customHeight="1">
      <c r="B1" s="84"/>
      <c r="C1" s="84"/>
      <c r="J1" s="86" t="s">
        <v>814</v>
      </c>
    </row>
    <row r="2" spans="1:10" ht="16.45" customHeight="1">
      <c r="B2" s="84"/>
      <c r="C2" s="84"/>
      <c r="D2" s="137"/>
      <c r="J2" s="86" t="s">
        <v>221</v>
      </c>
    </row>
    <row r="3" spans="1:10" ht="16.45" customHeight="1">
      <c r="B3" s="84"/>
      <c r="C3" s="84"/>
      <c r="J3" s="86" t="str">
        <f>'Attachment H-28A MAIT '!K4</f>
        <v>For the 12 months ended 12/31/2019</v>
      </c>
    </row>
    <row r="4" spans="1:10" ht="20.05" customHeight="1">
      <c r="B4" s="84"/>
      <c r="C4" s="84"/>
    </row>
    <row r="5" spans="1:10" ht="20.05" customHeight="1">
      <c r="B5" s="1368" t="s">
        <v>841</v>
      </c>
      <c r="C5" s="1368"/>
      <c r="D5" s="1368"/>
      <c r="E5" s="1368"/>
      <c r="F5" s="1368"/>
      <c r="G5" s="1368"/>
      <c r="H5" s="1368"/>
      <c r="I5" s="1368"/>
    </row>
    <row r="6" spans="1:10" ht="20.05" customHeight="1">
      <c r="B6" s="1368"/>
      <c r="C6" s="1368"/>
      <c r="D6" s="1368"/>
      <c r="E6" s="1368"/>
      <c r="F6" s="1368"/>
      <c r="G6" s="1368"/>
      <c r="H6" s="1368"/>
      <c r="I6" s="1368"/>
    </row>
    <row r="7" spans="1:10" ht="20.05" customHeight="1" thickBot="1"/>
    <row r="8" spans="1:10" s="117" customFormat="1" ht="98.3" customHeight="1">
      <c r="B8" s="840" t="s">
        <v>1397</v>
      </c>
      <c r="C8" s="119"/>
      <c r="D8" s="840" t="s">
        <v>1398</v>
      </c>
      <c r="E8" s="119"/>
      <c r="F8" s="118" t="s">
        <v>325</v>
      </c>
      <c r="H8" s="116"/>
      <c r="I8" s="116"/>
    </row>
    <row r="9" spans="1:10" ht="20.05" customHeight="1">
      <c r="B9" s="90"/>
      <c r="C9" s="88"/>
      <c r="D9" s="90"/>
      <c r="E9" s="88"/>
      <c r="F9" s="91"/>
      <c r="H9" s="89"/>
      <c r="I9" s="89"/>
    </row>
    <row r="10" spans="1:10" ht="20.05" customHeight="1" thickBot="1">
      <c r="A10" s="656">
        <v>1</v>
      </c>
      <c r="B10" s="857">
        <f>'Attachment H-28A MAIT '!I24</f>
        <v>204660220.26129809</v>
      </c>
      <c r="C10" s="94" t="str">
        <f>"-"</f>
        <v>-</v>
      </c>
      <c r="D10" s="857">
        <v>187563802.33000001</v>
      </c>
      <c r="E10" s="94" t="str">
        <f>"="</f>
        <v>=</v>
      </c>
      <c r="F10" s="95">
        <f>IF(B10=0,0,D10-B10)</f>
        <v>-17096417.931298077</v>
      </c>
      <c r="H10" s="89"/>
      <c r="I10" s="89"/>
    </row>
    <row r="11" spans="1:10" ht="20.05" customHeight="1" thickBot="1">
      <c r="A11" s="656"/>
      <c r="B11" s="96"/>
      <c r="C11" s="97"/>
      <c r="D11" s="96"/>
      <c r="E11" s="97"/>
      <c r="F11" s="96"/>
      <c r="G11" s="98"/>
      <c r="H11" s="98"/>
      <c r="I11" s="98"/>
    </row>
    <row r="12" spans="1:10" ht="20.05" customHeight="1">
      <c r="A12" s="656"/>
      <c r="B12" s="99"/>
      <c r="C12" s="92"/>
      <c r="D12" s="93"/>
      <c r="E12" s="92"/>
      <c r="F12" s="93"/>
      <c r="G12" s="89"/>
      <c r="H12" s="89"/>
      <c r="I12" s="89"/>
    </row>
    <row r="13" spans="1:10" ht="30.05">
      <c r="A13" s="656"/>
      <c r="B13" s="1369"/>
      <c r="C13" s="1369"/>
      <c r="D13" s="101" t="s">
        <v>326</v>
      </c>
      <c r="E13" s="101" t="s">
        <v>327</v>
      </c>
      <c r="F13" s="94" t="s">
        <v>328</v>
      </c>
      <c r="G13" s="102" t="s">
        <v>329</v>
      </c>
      <c r="H13" s="101" t="s">
        <v>330</v>
      </c>
      <c r="I13" s="101" t="s">
        <v>331</v>
      </c>
    </row>
    <row r="14" spans="1:10" ht="20.05" customHeight="1">
      <c r="A14" s="656">
        <v>2</v>
      </c>
      <c r="B14" s="121" t="s">
        <v>1015</v>
      </c>
      <c r="C14" s="92"/>
      <c r="D14" s="89"/>
      <c r="E14" s="900">
        <v>4.3050000000000007E-3</v>
      </c>
      <c r="F14" s="93"/>
      <c r="G14" s="89"/>
      <c r="H14" s="89"/>
      <c r="I14" s="89"/>
      <c r="J14" s="137"/>
    </row>
    <row r="15" spans="1:10" ht="20.05" customHeight="1">
      <c r="A15" s="656"/>
      <c r="B15" s="100"/>
      <c r="C15" s="92"/>
      <c r="D15" s="89"/>
      <c r="E15" s="103"/>
      <c r="F15" s="93"/>
      <c r="G15" s="89"/>
      <c r="H15" s="89"/>
      <c r="I15" s="89"/>
    </row>
    <row r="16" spans="1:10" ht="20.05" customHeight="1">
      <c r="A16" s="656"/>
      <c r="B16" s="100" t="s">
        <v>1388</v>
      </c>
      <c r="C16" s="92"/>
      <c r="D16" s="89"/>
      <c r="E16" s="103"/>
      <c r="F16" s="93"/>
      <c r="G16" s="89"/>
      <c r="H16" s="89"/>
      <c r="I16" s="89"/>
    </row>
    <row r="17" spans="1:9" ht="20.05" customHeight="1">
      <c r="A17" s="656"/>
      <c r="B17" s="104" t="s">
        <v>3</v>
      </c>
      <c r="C17" s="92"/>
      <c r="D17" s="92"/>
      <c r="E17" s="92" t="s">
        <v>3</v>
      </c>
      <c r="F17" s="89"/>
      <c r="G17" s="89"/>
      <c r="H17" s="89"/>
      <c r="I17" s="89"/>
    </row>
    <row r="18" spans="1:9" ht="20.05" customHeight="1">
      <c r="A18" s="656"/>
      <c r="B18" s="120" t="s">
        <v>332</v>
      </c>
      <c r="C18" s="92"/>
      <c r="D18" s="92"/>
      <c r="E18" s="89"/>
      <c r="F18" s="89"/>
      <c r="G18" s="94" t="s">
        <v>333</v>
      </c>
      <c r="H18" s="92"/>
      <c r="I18" s="92"/>
    </row>
    <row r="19" spans="1:9" ht="20.05" customHeight="1">
      <c r="A19" s="656">
        <v>3</v>
      </c>
      <c r="B19" s="88" t="s">
        <v>235</v>
      </c>
      <c r="C19" s="841" t="s">
        <v>1386</v>
      </c>
      <c r="D19" s="105">
        <f>+F10/12</f>
        <v>-1424701.4942748398</v>
      </c>
      <c r="E19" s="106">
        <f>+E14</f>
        <v>4.3050000000000007E-3</v>
      </c>
      <c r="F19" s="107">
        <v>12</v>
      </c>
      <c r="G19" s="105">
        <f t="shared" ref="G19:G30" si="0">E19*D19*F19*-1</f>
        <v>73600.079194238235</v>
      </c>
      <c r="H19" s="105"/>
      <c r="I19" s="105">
        <f t="shared" ref="I19:I30" si="1">(-G19+D19)*-1</f>
        <v>1498301.5734690779</v>
      </c>
    </row>
    <row r="20" spans="1:9" ht="20.05" customHeight="1">
      <c r="A20" s="656">
        <v>4</v>
      </c>
      <c r="B20" s="88" t="s">
        <v>236</v>
      </c>
      <c r="C20" s="88" t="str">
        <f>C19</f>
        <v>Year 2019</v>
      </c>
      <c r="D20" s="105">
        <f>+D19</f>
        <v>-1424701.4942748398</v>
      </c>
      <c r="E20" s="106">
        <f>+E19</f>
        <v>4.3050000000000007E-3</v>
      </c>
      <c r="F20" s="108">
        <f t="shared" ref="F20:F30" si="2">+F19-1</f>
        <v>11</v>
      </c>
      <c r="G20" s="105">
        <f t="shared" si="0"/>
        <v>67466.739261385039</v>
      </c>
      <c r="H20" s="105"/>
      <c r="I20" s="105">
        <f t="shared" si="1"/>
        <v>1492168.2335362248</v>
      </c>
    </row>
    <row r="21" spans="1:9" ht="20.05" customHeight="1">
      <c r="A21" s="656">
        <v>5</v>
      </c>
      <c r="B21" s="88" t="s">
        <v>237</v>
      </c>
      <c r="C21" s="88" t="str">
        <f>C20</f>
        <v>Year 2019</v>
      </c>
      <c r="D21" s="105">
        <f t="shared" ref="D21:D30" si="3">+D20</f>
        <v>-1424701.4942748398</v>
      </c>
      <c r="E21" s="106">
        <f t="shared" ref="E21:E30" si="4">+E20</f>
        <v>4.3050000000000007E-3</v>
      </c>
      <c r="F21" s="108">
        <f t="shared" si="2"/>
        <v>10</v>
      </c>
      <c r="G21" s="105">
        <f t="shared" si="0"/>
        <v>61333.399328531857</v>
      </c>
      <c r="H21" s="105"/>
      <c r="I21" s="105">
        <f t="shared" si="1"/>
        <v>1486034.8936033717</v>
      </c>
    </row>
    <row r="22" spans="1:9" ht="20.05" customHeight="1">
      <c r="A22" s="656">
        <v>6</v>
      </c>
      <c r="B22" s="88" t="s">
        <v>238</v>
      </c>
      <c r="C22" s="88" t="str">
        <f t="shared" ref="C22:C29" si="5">C21</f>
        <v>Year 2019</v>
      </c>
      <c r="D22" s="105">
        <f t="shared" si="3"/>
        <v>-1424701.4942748398</v>
      </c>
      <c r="E22" s="106">
        <f t="shared" si="4"/>
        <v>4.3050000000000007E-3</v>
      </c>
      <c r="F22" s="108">
        <f t="shared" si="2"/>
        <v>9</v>
      </c>
      <c r="G22" s="105">
        <f t="shared" si="0"/>
        <v>55200.059395678676</v>
      </c>
      <c r="H22" s="105"/>
      <c r="I22" s="105">
        <f t="shared" si="1"/>
        <v>1479901.5536705183</v>
      </c>
    </row>
    <row r="23" spans="1:9" ht="20.05" customHeight="1">
      <c r="A23" s="656">
        <v>7</v>
      </c>
      <c r="B23" s="88" t="s">
        <v>239</v>
      </c>
      <c r="C23" s="88" t="str">
        <f t="shared" si="5"/>
        <v>Year 2019</v>
      </c>
      <c r="D23" s="105">
        <f t="shared" si="3"/>
        <v>-1424701.4942748398</v>
      </c>
      <c r="E23" s="106">
        <f t="shared" si="4"/>
        <v>4.3050000000000007E-3</v>
      </c>
      <c r="F23" s="108">
        <f t="shared" si="2"/>
        <v>8</v>
      </c>
      <c r="G23" s="105">
        <f t="shared" si="0"/>
        <v>49066.719462825487</v>
      </c>
      <c r="H23" s="105"/>
      <c r="I23" s="105">
        <f t="shared" si="1"/>
        <v>1473768.2137376652</v>
      </c>
    </row>
    <row r="24" spans="1:9" ht="20.05" customHeight="1">
      <c r="A24" s="656">
        <v>8</v>
      </c>
      <c r="B24" s="88" t="s">
        <v>250</v>
      </c>
      <c r="C24" s="88" t="str">
        <f t="shared" si="5"/>
        <v>Year 2019</v>
      </c>
      <c r="D24" s="105">
        <f t="shared" si="3"/>
        <v>-1424701.4942748398</v>
      </c>
      <c r="E24" s="106">
        <f t="shared" si="4"/>
        <v>4.3050000000000007E-3</v>
      </c>
      <c r="F24" s="108">
        <f t="shared" si="2"/>
        <v>7</v>
      </c>
      <c r="G24" s="105">
        <f t="shared" si="0"/>
        <v>42933.379529972299</v>
      </c>
      <c r="H24" s="105"/>
      <c r="I24" s="105">
        <f t="shared" si="1"/>
        <v>1467634.8738048121</v>
      </c>
    </row>
    <row r="25" spans="1:9" ht="20.05" customHeight="1">
      <c r="A25" s="656">
        <v>9</v>
      </c>
      <c r="B25" s="88" t="s">
        <v>240</v>
      </c>
      <c r="C25" s="88" t="str">
        <f t="shared" si="5"/>
        <v>Year 2019</v>
      </c>
      <c r="D25" s="105">
        <f t="shared" si="3"/>
        <v>-1424701.4942748398</v>
      </c>
      <c r="E25" s="106">
        <f t="shared" si="4"/>
        <v>4.3050000000000007E-3</v>
      </c>
      <c r="F25" s="108">
        <f t="shared" si="2"/>
        <v>6</v>
      </c>
      <c r="G25" s="105">
        <f t="shared" si="0"/>
        <v>36800.039597119117</v>
      </c>
      <c r="H25" s="105"/>
      <c r="I25" s="105">
        <f t="shared" si="1"/>
        <v>1461501.533871959</v>
      </c>
    </row>
    <row r="26" spans="1:9" ht="20.05" customHeight="1">
      <c r="A26" s="656">
        <v>10</v>
      </c>
      <c r="B26" s="88" t="s">
        <v>241</v>
      </c>
      <c r="C26" s="88" t="str">
        <f t="shared" si="5"/>
        <v>Year 2019</v>
      </c>
      <c r="D26" s="105">
        <f t="shared" si="3"/>
        <v>-1424701.4942748398</v>
      </c>
      <c r="E26" s="106">
        <f t="shared" si="4"/>
        <v>4.3050000000000007E-3</v>
      </c>
      <c r="F26" s="108">
        <f t="shared" si="2"/>
        <v>5</v>
      </c>
      <c r="G26" s="105">
        <f t="shared" si="0"/>
        <v>30666.699664265929</v>
      </c>
      <c r="H26" s="105"/>
      <c r="I26" s="105">
        <f t="shared" si="1"/>
        <v>1455368.1939391056</v>
      </c>
    </row>
    <row r="27" spans="1:9" ht="20.05" customHeight="1">
      <c r="A27" s="656">
        <v>11</v>
      </c>
      <c r="B27" s="88" t="s">
        <v>242</v>
      </c>
      <c r="C27" s="88" t="str">
        <f t="shared" si="5"/>
        <v>Year 2019</v>
      </c>
      <c r="D27" s="105">
        <f t="shared" si="3"/>
        <v>-1424701.4942748398</v>
      </c>
      <c r="E27" s="106">
        <f t="shared" si="4"/>
        <v>4.3050000000000007E-3</v>
      </c>
      <c r="F27" s="108">
        <f t="shared" si="2"/>
        <v>4</v>
      </c>
      <c r="G27" s="105">
        <f t="shared" si="0"/>
        <v>24533.359731412744</v>
      </c>
      <c r="H27" s="105"/>
      <c r="I27" s="105">
        <f t="shared" si="1"/>
        <v>1449234.8540062525</v>
      </c>
    </row>
    <row r="28" spans="1:9" ht="20.05" customHeight="1">
      <c r="A28" s="656">
        <v>12</v>
      </c>
      <c r="B28" s="88" t="s">
        <v>244</v>
      </c>
      <c r="C28" s="88" t="str">
        <f>C27</f>
        <v>Year 2019</v>
      </c>
      <c r="D28" s="105">
        <f t="shared" si="3"/>
        <v>-1424701.4942748398</v>
      </c>
      <c r="E28" s="106">
        <f t="shared" si="4"/>
        <v>4.3050000000000007E-3</v>
      </c>
      <c r="F28" s="108">
        <f t="shared" si="2"/>
        <v>3</v>
      </c>
      <c r="G28" s="105">
        <f t="shared" si="0"/>
        <v>18400.019798559559</v>
      </c>
      <c r="H28" s="105"/>
      <c r="I28" s="105">
        <f t="shared" si="1"/>
        <v>1443101.5140733994</v>
      </c>
    </row>
    <row r="29" spans="1:9" ht="20.05" customHeight="1">
      <c r="A29" s="656">
        <v>13</v>
      </c>
      <c r="B29" s="88" t="s">
        <v>243</v>
      </c>
      <c r="C29" s="88" t="str">
        <f t="shared" si="5"/>
        <v>Year 2019</v>
      </c>
      <c r="D29" s="105">
        <f t="shared" si="3"/>
        <v>-1424701.4942748398</v>
      </c>
      <c r="E29" s="106">
        <f t="shared" si="4"/>
        <v>4.3050000000000007E-3</v>
      </c>
      <c r="F29" s="108">
        <f t="shared" si="2"/>
        <v>2</v>
      </c>
      <c r="G29" s="105">
        <f t="shared" si="0"/>
        <v>12266.679865706372</v>
      </c>
      <c r="H29" s="105"/>
      <c r="I29" s="105">
        <f t="shared" si="1"/>
        <v>1436968.1741405462</v>
      </c>
    </row>
    <row r="30" spans="1:9" ht="20.05" customHeight="1">
      <c r="A30" s="656">
        <v>14</v>
      </c>
      <c r="B30" s="88" t="s">
        <v>234</v>
      </c>
      <c r="C30" s="88" t="str">
        <f>C29</f>
        <v>Year 2019</v>
      </c>
      <c r="D30" s="105">
        <f t="shared" si="3"/>
        <v>-1424701.4942748398</v>
      </c>
      <c r="E30" s="106">
        <f t="shared" si="4"/>
        <v>4.3050000000000007E-3</v>
      </c>
      <c r="F30" s="108">
        <f t="shared" si="2"/>
        <v>1</v>
      </c>
      <c r="G30" s="109">
        <f t="shared" si="0"/>
        <v>6133.3399328531859</v>
      </c>
      <c r="H30" s="105"/>
      <c r="I30" s="105">
        <f t="shared" si="1"/>
        <v>1430834.8342076929</v>
      </c>
    </row>
    <row r="31" spans="1:9" ht="20.05" customHeight="1">
      <c r="A31" s="656"/>
      <c r="B31" s="88"/>
      <c r="C31" s="88"/>
      <c r="D31" s="105"/>
      <c r="E31" s="106"/>
      <c r="F31" s="108"/>
      <c r="G31" s="105">
        <f>SUM(G19:G30)</f>
        <v>478400.51476254844</v>
      </c>
      <c r="H31" s="105"/>
      <c r="I31" s="110">
        <f>SUM(I19:I30)</f>
        <v>17574818.446060624</v>
      </c>
    </row>
    <row r="32" spans="1:9" ht="20.05" customHeight="1">
      <c r="A32" s="656"/>
      <c r="B32" s="88"/>
      <c r="C32" s="88"/>
      <c r="D32" s="105"/>
      <c r="E32" s="106"/>
      <c r="F32" s="107"/>
      <c r="G32" s="105"/>
      <c r="H32" s="105" t="s">
        <v>3</v>
      </c>
      <c r="I32" s="111"/>
    </row>
    <row r="33" spans="1:9" ht="20.05" customHeight="1">
      <c r="A33" s="656"/>
      <c r="B33" s="88"/>
      <c r="C33" s="88"/>
      <c r="D33" s="93"/>
      <c r="E33" s="106"/>
      <c r="F33" s="107"/>
      <c r="G33" s="112" t="s">
        <v>334</v>
      </c>
      <c r="H33" s="105"/>
      <c r="I33" s="105"/>
    </row>
    <row r="34" spans="1:9" ht="20.05" customHeight="1">
      <c r="A34" s="656">
        <f>A30+1</f>
        <v>15</v>
      </c>
      <c r="B34" s="88" t="s">
        <v>335</v>
      </c>
      <c r="C34" s="841" t="s">
        <v>1387</v>
      </c>
      <c r="D34" s="93">
        <f>I31</f>
        <v>17574818.446060624</v>
      </c>
      <c r="E34" s="106">
        <f>+E30</f>
        <v>4.3050000000000007E-3</v>
      </c>
      <c r="F34" s="107">
        <v>12</v>
      </c>
      <c r="G34" s="105">
        <f>+F34*E34*D34</f>
        <v>907915.12092349201</v>
      </c>
      <c r="H34" s="105"/>
      <c r="I34" s="110">
        <f>+D34+G34</f>
        <v>18482733.566984117</v>
      </c>
    </row>
    <row r="35" spans="1:9" ht="20.05" customHeight="1">
      <c r="A35" s="656"/>
      <c r="B35" s="88"/>
      <c r="C35" s="88"/>
      <c r="D35" s="93"/>
      <c r="E35" s="106"/>
      <c r="F35" s="88"/>
      <c r="G35" s="105"/>
      <c r="H35" s="105"/>
      <c r="I35" s="105"/>
    </row>
    <row r="36" spans="1:9" ht="20.05" customHeight="1">
      <c r="A36" s="656"/>
      <c r="B36" s="113" t="s">
        <v>336</v>
      </c>
      <c r="C36" s="88"/>
      <c r="D36" s="105"/>
      <c r="E36" s="106"/>
      <c r="F36" s="88"/>
      <c r="G36" s="112" t="s">
        <v>333</v>
      </c>
      <c r="H36" s="105"/>
      <c r="I36" s="105"/>
    </row>
    <row r="37" spans="1:9" ht="20.05" customHeight="1">
      <c r="A37" s="656">
        <f>A34+1</f>
        <v>16</v>
      </c>
      <c r="B37" s="88" t="s">
        <v>235</v>
      </c>
      <c r="C37" s="841" t="s">
        <v>1399</v>
      </c>
      <c r="D37" s="114">
        <f>-I34</f>
        <v>-18482733.566984117</v>
      </c>
      <c r="E37" s="106">
        <f>+E30</f>
        <v>4.3050000000000007E-3</v>
      </c>
      <c r="F37" s="88"/>
      <c r="G37" s="105">
        <f t="shared" ref="G37:G48" si="6" xml:space="preserve"> -E37*D37</f>
        <v>79568.168005866639</v>
      </c>
      <c r="H37" s="105">
        <f>PMT(E37,12,I$34)</f>
        <v>-1583666.6385508771</v>
      </c>
      <c r="I37" s="105">
        <f t="shared" ref="I37:I48" si="7">(+D37+D37*E37-H37)*-1</f>
        <v>16978635.096439105</v>
      </c>
    </row>
    <row r="38" spans="1:9" ht="20.05" customHeight="1">
      <c r="A38" s="656">
        <f>A37+1</f>
        <v>17</v>
      </c>
      <c r="B38" s="88" t="s">
        <v>236</v>
      </c>
      <c r="C38" s="88" t="str">
        <f>+C37</f>
        <v>Year 2021</v>
      </c>
      <c r="D38" s="93">
        <f>-I37</f>
        <v>-16978635.096439105</v>
      </c>
      <c r="E38" s="106">
        <f>+E37</f>
        <v>4.3050000000000007E-3</v>
      </c>
      <c r="F38" s="88"/>
      <c r="G38" s="105">
        <f t="shared" si="6"/>
        <v>73093.024090170351</v>
      </c>
      <c r="H38" s="105">
        <f>H37</f>
        <v>-1583666.6385508771</v>
      </c>
      <c r="I38" s="105">
        <f t="shared" si="7"/>
        <v>15468061.481978398</v>
      </c>
    </row>
    <row r="39" spans="1:9" ht="20.05" customHeight="1">
      <c r="A39" s="656">
        <f t="shared" ref="A39:A48" si="8">A38+1</f>
        <v>18</v>
      </c>
      <c r="B39" s="88" t="s">
        <v>237</v>
      </c>
      <c r="C39" s="88" t="str">
        <f>+C38</f>
        <v>Year 2021</v>
      </c>
      <c r="D39" s="93">
        <f t="shared" ref="D39:D48" si="9">-I38</f>
        <v>-15468061.481978398</v>
      </c>
      <c r="E39" s="106">
        <f t="shared" ref="E39:E48" si="10">+E38</f>
        <v>4.3050000000000007E-3</v>
      </c>
      <c r="F39" s="88"/>
      <c r="G39" s="105">
        <f t="shared" si="6"/>
        <v>66590.004679917009</v>
      </c>
      <c r="H39" s="105">
        <f t="shared" ref="H39:H48" si="11">H38</f>
        <v>-1583666.6385508771</v>
      </c>
      <c r="I39" s="105">
        <f t="shared" si="7"/>
        <v>13950984.848107437</v>
      </c>
    </row>
    <row r="40" spans="1:9" ht="20.05" customHeight="1">
      <c r="A40" s="656">
        <f t="shared" si="8"/>
        <v>19</v>
      </c>
      <c r="B40" s="88" t="s">
        <v>238</v>
      </c>
      <c r="C40" s="88" t="str">
        <f>+C39</f>
        <v>Year 2021</v>
      </c>
      <c r="D40" s="93">
        <f t="shared" si="9"/>
        <v>-13950984.848107437</v>
      </c>
      <c r="E40" s="106">
        <f t="shared" si="10"/>
        <v>4.3050000000000007E-3</v>
      </c>
      <c r="F40" s="88"/>
      <c r="G40" s="105">
        <f t="shared" si="6"/>
        <v>60058.989771102526</v>
      </c>
      <c r="H40" s="105">
        <f t="shared" si="11"/>
        <v>-1583666.6385508771</v>
      </c>
      <c r="I40" s="105">
        <f t="shared" si="7"/>
        <v>12427377.199327661</v>
      </c>
    </row>
    <row r="41" spans="1:9" ht="20.05" customHeight="1">
      <c r="A41" s="656">
        <f t="shared" si="8"/>
        <v>20</v>
      </c>
      <c r="B41" s="88" t="s">
        <v>239</v>
      </c>
      <c r="C41" s="88" t="str">
        <f>+C40</f>
        <v>Year 2021</v>
      </c>
      <c r="D41" s="93">
        <f t="shared" si="9"/>
        <v>-12427377.199327661</v>
      </c>
      <c r="E41" s="106">
        <f t="shared" si="10"/>
        <v>4.3050000000000007E-3</v>
      </c>
      <c r="F41" s="88"/>
      <c r="G41" s="105">
        <f t="shared" si="6"/>
        <v>53499.85884310559</v>
      </c>
      <c r="H41" s="105">
        <f t="shared" si="11"/>
        <v>-1583666.6385508771</v>
      </c>
      <c r="I41" s="105">
        <f t="shared" si="7"/>
        <v>10897210.419619888</v>
      </c>
    </row>
    <row r="42" spans="1:9" ht="20.05" customHeight="1">
      <c r="A42" s="656">
        <f t="shared" si="8"/>
        <v>21</v>
      </c>
      <c r="B42" s="88" t="s">
        <v>250</v>
      </c>
      <c r="C42" s="88" t="str">
        <f>C41</f>
        <v>Year 2021</v>
      </c>
      <c r="D42" s="93">
        <f t="shared" si="9"/>
        <v>-10897210.419619888</v>
      </c>
      <c r="E42" s="106">
        <f t="shared" si="10"/>
        <v>4.3050000000000007E-3</v>
      </c>
      <c r="F42" s="88"/>
      <c r="G42" s="105">
        <f t="shared" si="6"/>
        <v>46912.490856463628</v>
      </c>
      <c r="H42" s="105">
        <f t="shared" si="11"/>
        <v>-1583666.6385508771</v>
      </c>
      <c r="I42" s="105">
        <f t="shared" si="7"/>
        <v>9360456.2719254736</v>
      </c>
    </row>
    <row r="43" spans="1:9" ht="20.05" customHeight="1">
      <c r="A43" s="656">
        <f t="shared" si="8"/>
        <v>22</v>
      </c>
      <c r="B43" s="88" t="s">
        <v>240</v>
      </c>
      <c r="C43" s="88" t="str">
        <f t="shared" ref="C43:C48" si="12">+C42</f>
        <v>Year 2021</v>
      </c>
      <c r="D43" s="93">
        <f t="shared" si="9"/>
        <v>-9360456.2719254736</v>
      </c>
      <c r="E43" s="106">
        <f t="shared" si="10"/>
        <v>4.3050000000000007E-3</v>
      </c>
      <c r="F43" s="88"/>
      <c r="G43" s="105">
        <f t="shared" si="6"/>
        <v>40296.764250639171</v>
      </c>
      <c r="H43" s="105">
        <f t="shared" si="11"/>
        <v>-1583666.6385508771</v>
      </c>
      <c r="I43" s="105">
        <f t="shared" si="7"/>
        <v>7817086.3976252358</v>
      </c>
    </row>
    <row r="44" spans="1:9" ht="20.05" customHeight="1">
      <c r="A44" s="656">
        <f t="shared" si="8"/>
        <v>23</v>
      </c>
      <c r="B44" s="88" t="s">
        <v>241</v>
      </c>
      <c r="C44" s="88" t="str">
        <f t="shared" si="12"/>
        <v>Year 2021</v>
      </c>
      <c r="D44" s="93">
        <f t="shared" si="9"/>
        <v>-7817086.3976252358</v>
      </c>
      <c r="E44" s="106">
        <f t="shared" si="10"/>
        <v>4.3050000000000007E-3</v>
      </c>
      <c r="F44" s="88"/>
      <c r="G44" s="105">
        <f t="shared" si="6"/>
        <v>33652.556941776646</v>
      </c>
      <c r="H44" s="105">
        <f t="shared" si="11"/>
        <v>-1583666.6385508771</v>
      </c>
      <c r="I44" s="105">
        <f t="shared" si="7"/>
        <v>6267072.3160161357</v>
      </c>
    </row>
    <row r="45" spans="1:9" ht="20.05" customHeight="1">
      <c r="A45" s="656">
        <f t="shared" si="8"/>
        <v>24</v>
      </c>
      <c r="B45" s="88" t="s">
        <v>242</v>
      </c>
      <c r="C45" s="88" t="str">
        <f t="shared" si="12"/>
        <v>Year 2021</v>
      </c>
      <c r="D45" s="93">
        <f t="shared" si="9"/>
        <v>-6267072.3160161357</v>
      </c>
      <c r="E45" s="106">
        <f t="shared" si="10"/>
        <v>4.3050000000000007E-3</v>
      </c>
      <c r="F45" s="88"/>
      <c r="G45" s="105">
        <f t="shared" si="6"/>
        <v>26979.746320449467</v>
      </c>
      <c r="H45" s="105">
        <f t="shared" si="11"/>
        <v>-1583666.6385508771</v>
      </c>
      <c r="I45" s="105">
        <f t="shared" si="7"/>
        <v>4710385.4237857088</v>
      </c>
    </row>
    <row r="46" spans="1:9" ht="20.05" customHeight="1">
      <c r="A46" s="656">
        <f t="shared" si="8"/>
        <v>25</v>
      </c>
      <c r="B46" s="88" t="s">
        <v>244</v>
      </c>
      <c r="C46" s="88" t="str">
        <f t="shared" si="12"/>
        <v>Year 2021</v>
      </c>
      <c r="D46" s="93">
        <f t="shared" si="9"/>
        <v>-4710385.4237857088</v>
      </c>
      <c r="E46" s="106">
        <f t="shared" si="10"/>
        <v>4.3050000000000007E-3</v>
      </c>
      <c r="F46" s="88"/>
      <c r="G46" s="105">
        <f t="shared" si="6"/>
        <v>20278.209249397481</v>
      </c>
      <c r="H46" s="105">
        <f t="shared" si="11"/>
        <v>-1583666.6385508771</v>
      </c>
      <c r="I46" s="105">
        <f t="shared" si="7"/>
        <v>3146996.9944842295</v>
      </c>
    </row>
    <row r="47" spans="1:9" ht="20.05" customHeight="1">
      <c r="A47" s="656">
        <f t="shared" si="8"/>
        <v>26</v>
      </c>
      <c r="B47" s="88" t="s">
        <v>243</v>
      </c>
      <c r="C47" s="88" t="str">
        <f t="shared" si="12"/>
        <v>Year 2021</v>
      </c>
      <c r="D47" s="93">
        <f t="shared" si="9"/>
        <v>-3146996.9944842295</v>
      </c>
      <c r="E47" s="106">
        <f t="shared" si="10"/>
        <v>4.3050000000000007E-3</v>
      </c>
      <c r="F47" s="88"/>
      <c r="G47" s="105">
        <f t="shared" si="6"/>
        <v>13547.82206125461</v>
      </c>
      <c r="H47" s="105">
        <f t="shared" si="11"/>
        <v>-1583666.6385508771</v>
      </c>
      <c r="I47" s="105">
        <f t="shared" si="7"/>
        <v>1576878.177994607</v>
      </c>
    </row>
    <row r="48" spans="1:9" ht="20.05" customHeight="1">
      <c r="A48" s="656">
        <f t="shared" si="8"/>
        <v>27</v>
      </c>
      <c r="B48" s="88" t="s">
        <v>234</v>
      </c>
      <c r="C48" s="88" t="str">
        <f t="shared" si="12"/>
        <v>Year 2021</v>
      </c>
      <c r="D48" s="93">
        <f t="shared" si="9"/>
        <v>-1576878.177994607</v>
      </c>
      <c r="E48" s="106">
        <f t="shared" si="10"/>
        <v>4.3050000000000007E-3</v>
      </c>
      <c r="F48" s="88"/>
      <c r="G48" s="109">
        <f t="shared" si="6"/>
        <v>6788.4605562667839</v>
      </c>
      <c r="H48" s="105">
        <f t="shared" si="11"/>
        <v>-1583666.6385508771</v>
      </c>
      <c r="I48" s="105">
        <f t="shared" si="7"/>
        <v>-3.2596290111541748E-9</v>
      </c>
    </row>
    <row r="49" spans="1:10" ht="20.05" customHeight="1">
      <c r="A49" s="656"/>
      <c r="B49" s="88"/>
      <c r="C49" s="88"/>
      <c r="D49" s="93"/>
      <c r="E49" s="106"/>
      <c r="F49" s="88"/>
      <c r="G49" s="105">
        <f>SUM(G37:G48)</f>
        <v>521266.09562640992</v>
      </c>
      <c r="H49" s="105"/>
      <c r="I49" s="105"/>
    </row>
    <row r="50" spans="1:10" ht="20.05" customHeight="1">
      <c r="A50" s="656"/>
      <c r="B50" s="111"/>
      <c r="C50" s="111"/>
      <c r="D50" s="111"/>
      <c r="E50" s="111"/>
      <c r="F50" s="111"/>
      <c r="G50" s="111"/>
      <c r="H50" s="111"/>
      <c r="I50" s="111"/>
    </row>
    <row r="51" spans="1:10" ht="20.05" customHeight="1">
      <c r="A51" s="656">
        <v>28</v>
      </c>
      <c r="B51" s="88" t="s">
        <v>339</v>
      </c>
      <c r="C51" s="111"/>
      <c r="D51" s="111"/>
      <c r="E51" s="111"/>
      <c r="F51" s="111"/>
      <c r="G51" s="111"/>
      <c r="H51" s="115">
        <f>SUM(H37:H48)</f>
        <v>-19003999.662610527</v>
      </c>
      <c r="I51" s="111"/>
    </row>
    <row r="52" spans="1:10" ht="20.05" customHeight="1">
      <c r="A52" s="656">
        <v>29</v>
      </c>
      <c r="B52" s="88" t="s">
        <v>337</v>
      </c>
      <c r="C52" s="111"/>
      <c r="D52" s="111"/>
      <c r="E52" s="111"/>
      <c r="F52" s="111"/>
      <c r="G52" s="111"/>
      <c r="H52" s="115">
        <f>+F10</f>
        <v>-17096417.931298077</v>
      </c>
      <c r="I52" s="111"/>
    </row>
    <row r="53" spans="1:10" ht="20.05" customHeight="1">
      <c r="A53" s="656">
        <v>30</v>
      </c>
      <c r="B53" s="88" t="s">
        <v>338</v>
      </c>
      <c r="C53" s="111"/>
      <c r="D53" s="111"/>
      <c r="E53" s="111"/>
      <c r="F53" s="111"/>
      <c r="G53" s="111"/>
      <c r="H53" s="115">
        <f>(H51-H52)</f>
        <v>-1907581.73131245</v>
      </c>
      <c r="I53" s="111"/>
    </row>
    <row r="54" spans="1:10" ht="20.05" customHeight="1">
      <c r="A54" s="656"/>
      <c r="B54" s="88"/>
      <c r="C54" s="111"/>
      <c r="D54" s="111"/>
      <c r="E54" s="111"/>
      <c r="F54" s="111"/>
      <c r="G54" s="111"/>
      <c r="H54" s="115"/>
      <c r="I54" s="111"/>
    </row>
    <row r="55" spans="1:10" ht="36" customHeight="1">
      <c r="A55" s="901" t="s">
        <v>260</v>
      </c>
      <c r="B55" s="1370" t="s">
        <v>1016</v>
      </c>
      <c r="C55" s="1370"/>
      <c r="D55" s="1370"/>
      <c r="E55" s="1370"/>
      <c r="F55" s="1370"/>
      <c r="G55" s="1370"/>
      <c r="H55" s="1370"/>
      <c r="I55" s="1370"/>
      <c r="J55" s="1370"/>
    </row>
  </sheetData>
  <mergeCells count="4">
    <mergeCell ref="B5:I5"/>
    <mergeCell ref="B6:I6"/>
    <mergeCell ref="B13:C13"/>
    <mergeCell ref="B55:J55"/>
  </mergeCells>
  <printOptions horizontalCentered="1"/>
  <pageMargins left="0.7" right="0.7" top="0.75" bottom="0.75" header="0.3" footer="0.3"/>
  <pageSetup scale="45" fitToWidth="0" fitToHeight="0"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J55"/>
  <sheetViews>
    <sheetView view="pageBreakPreview" zoomScale="65" zoomScaleNormal="70" zoomScaleSheetLayoutView="65" workbookViewId="0">
      <selection activeCell="L80" sqref="L80"/>
    </sheetView>
  </sheetViews>
  <sheetFormatPr defaultColWidth="8.90625" defaultRowHeight="20.05" customHeight="1"/>
  <cols>
    <col min="1" max="1" width="4.36328125" style="85" customWidth="1"/>
    <col min="2" max="2" width="24.81640625" style="87" customWidth="1"/>
    <col min="3" max="3" width="9" style="87" customWidth="1"/>
    <col min="4" max="4" width="25.54296875" style="85" customWidth="1"/>
    <col min="5" max="9" width="15.81640625" style="85" customWidth="1"/>
    <col min="10" max="10" width="18.81640625" style="85" customWidth="1"/>
    <col min="11" max="16384" width="8.90625" style="85"/>
  </cols>
  <sheetData>
    <row r="1" spans="1:10" ht="16.45" customHeight="1">
      <c r="B1" s="84"/>
      <c r="C1" s="84"/>
      <c r="J1" s="86" t="s">
        <v>931</v>
      </c>
    </row>
    <row r="2" spans="1:10" ht="16.45" customHeight="1">
      <c r="B2" s="84"/>
      <c r="C2" s="84"/>
      <c r="D2" s="137"/>
      <c r="J2" s="86" t="s">
        <v>221</v>
      </c>
    </row>
    <row r="3" spans="1:10" ht="16.45" customHeight="1">
      <c r="B3" s="84"/>
      <c r="C3" s="84"/>
      <c r="J3" s="86" t="str">
        <f>'Attachment H-28A MAIT '!K4</f>
        <v>For the 12 months ended 12/31/2019</v>
      </c>
    </row>
    <row r="4" spans="1:10" ht="20.05" customHeight="1">
      <c r="B4" s="84"/>
      <c r="C4" s="84"/>
    </row>
    <row r="5" spans="1:10" ht="20.05" customHeight="1">
      <c r="B5" s="1368" t="s">
        <v>918</v>
      </c>
      <c r="C5" s="1368"/>
      <c r="D5" s="1368"/>
      <c r="E5" s="1368"/>
      <c r="F5" s="1368"/>
      <c r="G5" s="1368"/>
      <c r="H5" s="1368"/>
      <c r="I5" s="1368"/>
    </row>
    <row r="6" spans="1:10" ht="20.05" customHeight="1">
      <c r="B6" s="1368"/>
      <c r="C6" s="1368"/>
      <c r="D6" s="1368"/>
      <c r="E6" s="1368"/>
      <c r="F6" s="1368"/>
      <c r="G6" s="1368"/>
      <c r="H6" s="1368"/>
      <c r="I6" s="1368"/>
    </row>
    <row r="7" spans="1:10" ht="20.05" customHeight="1" thickBot="1"/>
    <row r="8" spans="1:10" s="117" customFormat="1" ht="98.3" customHeight="1">
      <c r="B8" s="840" t="s">
        <v>1400</v>
      </c>
      <c r="C8" s="119"/>
      <c r="D8" s="840" t="s">
        <v>1401</v>
      </c>
      <c r="E8" s="119"/>
      <c r="F8" s="118" t="s">
        <v>325</v>
      </c>
      <c r="H8" s="116"/>
      <c r="I8" s="116"/>
    </row>
    <row r="9" spans="1:10" ht="20.05" customHeight="1">
      <c r="B9" s="90"/>
      <c r="C9" s="88"/>
      <c r="D9" s="90"/>
      <c r="E9" s="88"/>
      <c r="F9" s="91"/>
      <c r="H9" s="89"/>
      <c r="I9" s="89"/>
    </row>
    <row r="10" spans="1:10" ht="20.05" customHeight="1" thickBot="1">
      <c r="A10" s="656">
        <v>1</v>
      </c>
      <c r="B10" s="839">
        <f>'Attachment 12 - TEC True-up'!I39</f>
        <v>17061730.330230769</v>
      </c>
      <c r="C10" s="94" t="str">
        <f>"-"</f>
        <v>-</v>
      </c>
      <c r="D10" s="839">
        <f>'Attachment 12 - TEC True-up'!E15</f>
        <v>14922371</v>
      </c>
      <c r="E10" s="94" t="str">
        <f>"="</f>
        <v>=</v>
      </c>
      <c r="F10" s="95">
        <f>IF(B10=0,0,D10-B10)</f>
        <v>-2139359.3302307688</v>
      </c>
      <c r="H10" s="89"/>
      <c r="I10" s="89"/>
    </row>
    <row r="11" spans="1:10" ht="20.05" customHeight="1" thickBot="1">
      <c r="A11" s="656"/>
      <c r="B11" s="96"/>
      <c r="C11" s="97"/>
      <c r="D11" s="96"/>
      <c r="E11" s="97"/>
      <c r="F11" s="96"/>
      <c r="G11" s="98"/>
      <c r="H11" s="98"/>
      <c r="I11" s="98"/>
    </row>
    <row r="12" spans="1:10" ht="20.05" customHeight="1">
      <c r="A12" s="656"/>
      <c r="B12" s="99"/>
      <c r="C12" s="92"/>
      <c r="D12" s="93"/>
      <c r="E12" s="92"/>
      <c r="F12" s="93"/>
      <c r="G12" s="89"/>
      <c r="H12" s="89"/>
      <c r="I12" s="89"/>
    </row>
    <row r="13" spans="1:10" ht="30.05">
      <c r="A13" s="656"/>
      <c r="B13" s="1369"/>
      <c r="C13" s="1369"/>
      <c r="D13" s="101" t="s">
        <v>326</v>
      </c>
      <c r="E13" s="101" t="s">
        <v>327</v>
      </c>
      <c r="F13" s="94" t="s">
        <v>328</v>
      </c>
      <c r="G13" s="102" t="s">
        <v>329</v>
      </c>
      <c r="H13" s="101" t="s">
        <v>330</v>
      </c>
      <c r="I13" s="101" t="s">
        <v>331</v>
      </c>
    </row>
    <row r="14" spans="1:10" ht="20.05" customHeight="1">
      <c r="A14" s="656">
        <v>2</v>
      </c>
      <c r="B14" s="121" t="s">
        <v>1015</v>
      </c>
      <c r="C14" s="92"/>
      <c r="D14" s="89"/>
      <c r="E14" s="900">
        <v>4.3050000000000007E-3</v>
      </c>
      <c r="F14" s="93"/>
      <c r="G14" s="89"/>
      <c r="H14" s="89"/>
      <c r="I14" s="89"/>
      <c r="J14" s="137"/>
    </row>
    <row r="15" spans="1:10" ht="20.05" customHeight="1">
      <c r="A15" s="656"/>
      <c r="B15" s="100"/>
      <c r="C15" s="92"/>
      <c r="D15" s="89"/>
      <c r="E15" s="103"/>
      <c r="F15" s="93"/>
      <c r="G15" s="89"/>
      <c r="H15" s="89"/>
      <c r="I15" s="89"/>
    </row>
    <row r="16" spans="1:10" ht="20.05" customHeight="1">
      <c r="A16" s="656"/>
      <c r="B16" s="100" t="s">
        <v>1388</v>
      </c>
      <c r="C16" s="92"/>
      <c r="D16" s="89"/>
      <c r="E16" s="103"/>
      <c r="F16" s="93"/>
      <c r="G16" s="89"/>
      <c r="H16" s="89"/>
      <c r="I16" s="89"/>
    </row>
    <row r="17" spans="1:9" ht="20.05" customHeight="1">
      <c r="A17" s="656"/>
      <c r="B17" s="104" t="s">
        <v>3</v>
      </c>
      <c r="C17" s="92"/>
      <c r="D17" s="92"/>
      <c r="E17" s="92" t="s">
        <v>3</v>
      </c>
      <c r="F17" s="89"/>
      <c r="G17" s="89"/>
      <c r="H17" s="89"/>
      <c r="I17" s="89"/>
    </row>
    <row r="18" spans="1:9" ht="20.05" customHeight="1">
      <c r="A18" s="656"/>
      <c r="B18" s="120" t="s">
        <v>332</v>
      </c>
      <c r="C18" s="92"/>
      <c r="D18" s="92"/>
      <c r="E18" s="89"/>
      <c r="F18" s="89"/>
      <c r="G18" s="94" t="s">
        <v>333</v>
      </c>
      <c r="H18" s="92"/>
      <c r="I18" s="92"/>
    </row>
    <row r="19" spans="1:9" ht="20.05" customHeight="1">
      <c r="A19" s="656">
        <v>3</v>
      </c>
      <c r="B19" s="88" t="s">
        <v>235</v>
      </c>
      <c r="C19" s="841" t="s">
        <v>1386</v>
      </c>
      <c r="D19" s="105">
        <f>+F10/12</f>
        <v>-178279.94418589739</v>
      </c>
      <c r="E19" s="106">
        <f>+E14</f>
        <v>4.3050000000000007E-3</v>
      </c>
      <c r="F19" s="107">
        <v>12</v>
      </c>
      <c r="G19" s="105">
        <f t="shared" ref="G19:G30" si="0">E19*D19*F19*-1</f>
        <v>9209.94191664346</v>
      </c>
      <c r="H19" s="105"/>
      <c r="I19" s="105">
        <f t="shared" ref="I19:I30" si="1">(-G19+D19)*-1</f>
        <v>187489.88610254086</v>
      </c>
    </row>
    <row r="20" spans="1:9" ht="20.05" customHeight="1">
      <c r="A20" s="656">
        <v>4</v>
      </c>
      <c r="B20" s="88" t="s">
        <v>236</v>
      </c>
      <c r="C20" s="88" t="str">
        <f>C19</f>
        <v>Year 2019</v>
      </c>
      <c r="D20" s="105">
        <f>+D19</f>
        <v>-178279.94418589739</v>
      </c>
      <c r="E20" s="106">
        <f>+E19</f>
        <v>4.3050000000000007E-3</v>
      </c>
      <c r="F20" s="108">
        <f t="shared" ref="F20:F30" si="2">+F19-1</f>
        <v>11</v>
      </c>
      <c r="G20" s="105">
        <f t="shared" si="0"/>
        <v>8442.4467569231729</v>
      </c>
      <c r="H20" s="105"/>
      <c r="I20" s="105">
        <f t="shared" si="1"/>
        <v>186722.39094282055</v>
      </c>
    </row>
    <row r="21" spans="1:9" ht="20.05" customHeight="1">
      <c r="A21" s="656">
        <v>5</v>
      </c>
      <c r="B21" s="88" t="s">
        <v>237</v>
      </c>
      <c r="C21" s="88" t="str">
        <f>C20</f>
        <v>Year 2019</v>
      </c>
      <c r="D21" s="105">
        <f t="shared" ref="D21:E30" si="3">+D20</f>
        <v>-178279.94418589739</v>
      </c>
      <c r="E21" s="106">
        <f t="shared" si="3"/>
        <v>4.3050000000000007E-3</v>
      </c>
      <c r="F21" s="108">
        <f t="shared" si="2"/>
        <v>10</v>
      </c>
      <c r="G21" s="105">
        <f t="shared" si="0"/>
        <v>7674.9515972028839</v>
      </c>
      <c r="H21" s="105"/>
      <c r="I21" s="105">
        <f t="shared" si="1"/>
        <v>185954.89578310028</v>
      </c>
    </row>
    <row r="22" spans="1:9" ht="20.05" customHeight="1">
      <c r="A22" s="656">
        <v>6</v>
      </c>
      <c r="B22" s="88" t="s">
        <v>238</v>
      </c>
      <c r="C22" s="88" t="str">
        <f t="shared" ref="C22:C29" si="4">C21</f>
        <v>Year 2019</v>
      </c>
      <c r="D22" s="105">
        <f t="shared" si="3"/>
        <v>-178279.94418589739</v>
      </c>
      <c r="E22" s="106">
        <f t="shared" si="3"/>
        <v>4.3050000000000007E-3</v>
      </c>
      <c r="F22" s="108">
        <f t="shared" si="2"/>
        <v>9</v>
      </c>
      <c r="G22" s="105">
        <f t="shared" si="0"/>
        <v>6907.456437482595</v>
      </c>
      <c r="H22" s="105"/>
      <c r="I22" s="105">
        <f t="shared" si="1"/>
        <v>185187.40062337997</v>
      </c>
    </row>
    <row r="23" spans="1:9" ht="20.05" customHeight="1">
      <c r="A23" s="656">
        <v>7</v>
      </c>
      <c r="B23" s="88" t="s">
        <v>239</v>
      </c>
      <c r="C23" s="88" t="str">
        <f t="shared" si="4"/>
        <v>Year 2019</v>
      </c>
      <c r="D23" s="105">
        <f t="shared" si="3"/>
        <v>-178279.94418589739</v>
      </c>
      <c r="E23" s="106">
        <f t="shared" si="3"/>
        <v>4.3050000000000007E-3</v>
      </c>
      <c r="F23" s="108">
        <f t="shared" si="2"/>
        <v>8</v>
      </c>
      <c r="G23" s="105">
        <f t="shared" si="0"/>
        <v>6139.961277762307</v>
      </c>
      <c r="H23" s="105"/>
      <c r="I23" s="105">
        <f t="shared" si="1"/>
        <v>184419.9054636597</v>
      </c>
    </row>
    <row r="24" spans="1:9" ht="20.05" customHeight="1">
      <c r="A24" s="656">
        <v>8</v>
      </c>
      <c r="B24" s="88" t="s">
        <v>250</v>
      </c>
      <c r="C24" s="88" t="str">
        <f t="shared" si="4"/>
        <v>Year 2019</v>
      </c>
      <c r="D24" s="105">
        <f t="shared" si="3"/>
        <v>-178279.94418589739</v>
      </c>
      <c r="E24" s="106">
        <f t="shared" si="3"/>
        <v>4.3050000000000007E-3</v>
      </c>
      <c r="F24" s="108">
        <f t="shared" si="2"/>
        <v>7</v>
      </c>
      <c r="G24" s="105">
        <f t="shared" si="0"/>
        <v>5372.4661180420189</v>
      </c>
      <c r="H24" s="105"/>
      <c r="I24" s="105">
        <f t="shared" si="1"/>
        <v>183652.4103039394</v>
      </c>
    </row>
    <row r="25" spans="1:9" ht="20.05" customHeight="1">
      <c r="A25" s="656">
        <v>9</v>
      </c>
      <c r="B25" s="88" t="s">
        <v>240</v>
      </c>
      <c r="C25" s="88" t="str">
        <f t="shared" si="4"/>
        <v>Year 2019</v>
      </c>
      <c r="D25" s="105">
        <f t="shared" si="3"/>
        <v>-178279.94418589739</v>
      </c>
      <c r="E25" s="106">
        <f t="shared" si="3"/>
        <v>4.3050000000000007E-3</v>
      </c>
      <c r="F25" s="108">
        <f t="shared" si="2"/>
        <v>6</v>
      </c>
      <c r="G25" s="105">
        <f t="shared" si="0"/>
        <v>4604.97095832173</v>
      </c>
      <c r="H25" s="105"/>
      <c r="I25" s="105">
        <f t="shared" si="1"/>
        <v>182884.91514421912</v>
      </c>
    </row>
    <row r="26" spans="1:9" ht="20.05" customHeight="1">
      <c r="A26" s="656">
        <v>10</v>
      </c>
      <c r="B26" s="88" t="s">
        <v>241</v>
      </c>
      <c r="C26" s="88" t="str">
        <f t="shared" si="4"/>
        <v>Year 2019</v>
      </c>
      <c r="D26" s="105">
        <f t="shared" si="3"/>
        <v>-178279.94418589739</v>
      </c>
      <c r="E26" s="106">
        <f t="shared" si="3"/>
        <v>4.3050000000000007E-3</v>
      </c>
      <c r="F26" s="108">
        <f t="shared" si="2"/>
        <v>5</v>
      </c>
      <c r="G26" s="105">
        <f t="shared" si="0"/>
        <v>3837.475798601442</v>
      </c>
      <c r="H26" s="105"/>
      <c r="I26" s="105">
        <f t="shared" si="1"/>
        <v>182117.41998449882</v>
      </c>
    </row>
    <row r="27" spans="1:9" ht="20.05" customHeight="1">
      <c r="A27" s="656">
        <v>11</v>
      </c>
      <c r="B27" s="88" t="s">
        <v>242</v>
      </c>
      <c r="C27" s="88" t="str">
        <f t="shared" si="4"/>
        <v>Year 2019</v>
      </c>
      <c r="D27" s="105">
        <f t="shared" si="3"/>
        <v>-178279.94418589739</v>
      </c>
      <c r="E27" s="106">
        <f t="shared" si="3"/>
        <v>4.3050000000000007E-3</v>
      </c>
      <c r="F27" s="108">
        <f t="shared" si="2"/>
        <v>4</v>
      </c>
      <c r="G27" s="105">
        <f t="shared" si="0"/>
        <v>3069.9806388811535</v>
      </c>
      <c r="H27" s="105"/>
      <c r="I27" s="105">
        <f t="shared" si="1"/>
        <v>181349.92482477854</v>
      </c>
    </row>
    <row r="28" spans="1:9" ht="20.05" customHeight="1">
      <c r="A28" s="656">
        <v>12</v>
      </c>
      <c r="B28" s="88" t="s">
        <v>244</v>
      </c>
      <c r="C28" s="88" t="str">
        <f>C27</f>
        <v>Year 2019</v>
      </c>
      <c r="D28" s="105">
        <f t="shared" si="3"/>
        <v>-178279.94418589739</v>
      </c>
      <c r="E28" s="106">
        <f t="shared" si="3"/>
        <v>4.3050000000000007E-3</v>
      </c>
      <c r="F28" s="108">
        <f t="shared" si="2"/>
        <v>3</v>
      </c>
      <c r="G28" s="105">
        <f t="shared" si="0"/>
        <v>2302.485479160865</v>
      </c>
      <c r="H28" s="105"/>
      <c r="I28" s="105">
        <f t="shared" si="1"/>
        <v>180582.42966505824</v>
      </c>
    </row>
    <row r="29" spans="1:9" ht="20.05" customHeight="1">
      <c r="A29" s="656">
        <v>13</v>
      </c>
      <c r="B29" s="88" t="s">
        <v>243</v>
      </c>
      <c r="C29" s="88" t="str">
        <f t="shared" si="4"/>
        <v>Year 2019</v>
      </c>
      <c r="D29" s="105">
        <f t="shared" si="3"/>
        <v>-178279.94418589739</v>
      </c>
      <c r="E29" s="106">
        <f t="shared" si="3"/>
        <v>4.3050000000000007E-3</v>
      </c>
      <c r="F29" s="108">
        <f t="shared" si="2"/>
        <v>2</v>
      </c>
      <c r="G29" s="105">
        <f t="shared" si="0"/>
        <v>1534.9903194405767</v>
      </c>
      <c r="H29" s="105"/>
      <c r="I29" s="105">
        <f t="shared" si="1"/>
        <v>179814.93450533797</v>
      </c>
    </row>
    <row r="30" spans="1:9" ht="20.05" customHeight="1">
      <c r="A30" s="656">
        <v>14</v>
      </c>
      <c r="B30" s="88" t="s">
        <v>234</v>
      </c>
      <c r="C30" s="88" t="str">
        <f>C29</f>
        <v>Year 2019</v>
      </c>
      <c r="D30" s="105">
        <f t="shared" si="3"/>
        <v>-178279.94418589739</v>
      </c>
      <c r="E30" s="106">
        <f t="shared" si="3"/>
        <v>4.3050000000000007E-3</v>
      </c>
      <c r="F30" s="108">
        <f t="shared" si="2"/>
        <v>1</v>
      </c>
      <c r="G30" s="109">
        <f t="shared" si="0"/>
        <v>767.49515972028837</v>
      </c>
      <c r="H30" s="105"/>
      <c r="I30" s="105">
        <f t="shared" si="1"/>
        <v>179047.43934561766</v>
      </c>
    </row>
    <row r="31" spans="1:9" ht="20.05" customHeight="1">
      <c r="A31" s="656"/>
      <c r="B31" s="88"/>
      <c r="C31" s="88"/>
      <c r="D31" s="105"/>
      <c r="E31" s="106"/>
      <c r="F31" s="108"/>
      <c r="G31" s="105">
        <f>SUM(G19:G30)</f>
        <v>59864.622458182494</v>
      </c>
      <c r="H31" s="105"/>
      <c r="I31" s="110">
        <f>SUM(I19:I30)</f>
        <v>2199223.952688951</v>
      </c>
    </row>
    <row r="32" spans="1:9" ht="20.05" customHeight="1">
      <c r="A32" s="656"/>
      <c r="B32" s="88"/>
      <c r="C32" s="88"/>
      <c r="D32" s="105"/>
      <c r="E32" s="106"/>
      <c r="F32" s="107"/>
      <c r="G32" s="105"/>
      <c r="H32" s="105" t="s">
        <v>3</v>
      </c>
      <c r="I32" s="111"/>
    </row>
    <row r="33" spans="1:9" ht="20.05" customHeight="1">
      <c r="A33" s="656"/>
      <c r="B33" s="88"/>
      <c r="C33" s="88"/>
      <c r="D33" s="93"/>
      <c r="E33" s="106"/>
      <c r="F33" s="107"/>
      <c r="G33" s="112" t="s">
        <v>334</v>
      </c>
      <c r="H33" s="105"/>
      <c r="I33" s="105"/>
    </row>
    <row r="34" spans="1:9" ht="20.05" customHeight="1">
      <c r="A34" s="656">
        <f>A30+1</f>
        <v>15</v>
      </c>
      <c r="B34" s="88" t="s">
        <v>335</v>
      </c>
      <c r="C34" s="841" t="s">
        <v>1387</v>
      </c>
      <c r="D34" s="93">
        <f>I31</f>
        <v>2199223.952688951</v>
      </c>
      <c r="E34" s="106">
        <f>+E30</f>
        <v>4.3050000000000007E-3</v>
      </c>
      <c r="F34" s="107">
        <v>12</v>
      </c>
      <c r="G34" s="105">
        <f>+F34*E34*D34</f>
        <v>113611.90939591124</v>
      </c>
      <c r="H34" s="105"/>
      <c r="I34" s="110">
        <f>+D34+G34</f>
        <v>2312835.8620848623</v>
      </c>
    </row>
    <row r="35" spans="1:9" ht="20.05" customHeight="1">
      <c r="A35" s="656"/>
      <c r="B35" s="88"/>
      <c r="C35" s="88"/>
      <c r="D35" s="93"/>
      <c r="E35" s="106"/>
      <c r="F35" s="88"/>
      <c r="G35" s="105"/>
      <c r="H35" s="105"/>
      <c r="I35" s="105"/>
    </row>
    <row r="36" spans="1:9" ht="20.05" customHeight="1">
      <c r="A36" s="656"/>
      <c r="B36" s="113" t="s">
        <v>336</v>
      </c>
      <c r="C36" s="88"/>
      <c r="D36" s="105"/>
      <c r="E36" s="106"/>
      <c r="F36" s="88"/>
      <c r="G36" s="112" t="s">
        <v>333</v>
      </c>
      <c r="H36" s="105"/>
      <c r="I36" s="105"/>
    </row>
    <row r="37" spans="1:9" ht="20.05" customHeight="1">
      <c r="A37" s="656">
        <f>A34+1</f>
        <v>16</v>
      </c>
      <c r="B37" s="88" t="s">
        <v>235</v>
      </c>
      <c r="C37" s="841" t="s">
        <v>1399</v>
      </c>
      <c r="D37" s="114">
        <f>-I34</f>
        <v>-2312835.8620848623</v>
      </c>
      <c r="E37" s="106">
        <f>+E30</f>
        <v>4.3050000000000007E-3</v>
      </c>
      <c r="F37" s="88"/>
      <c r="G37" s="105">
        <f t="shared" ref="G37:G48" si="5" xml:space="preserve"> -E37*D37</f>
        <v>9956.7583862753345</v>
      </c>
      <c r="H37" s="105">
        <f>PMT(E37,12,I$34)</f>
        <v>-198172.03888989013</v>
      </c>
      <c r="I37" s="105">
        <f t="shared" ref="I37:I48" si="6">(+D37+D37*E37-H37)*-1</f>
        <v>2124620.5815812475</v>
      </c>
    </row>
    <row r="38" spans="1:9" ht="20.05" customHeight="1">
      <c r="A38" s="656">
        <f>A37+1</f>
        <v>17</v>
      </c>
      <c r="B38" s="88" t="s">
        <v>236</v>
      </c>
      <c r="C38" s="88" t="str">
        <f>+C37</f>
        <v>Year 2021</v>
      </c>
      <c r="D38" s="93">
        <f>-I37</f>
        <v>-2124620.5815812475</v>
      </c>
      <c r="E38" s="106">
        <f>+E37</f>
        <v>4.3050000000000007E-3</v>
      </c>
      <c r="F38" s="88"/>
      <c r="G38" s="105">
        <f t="shared" si="5"/>
        <v>9146.4916037072726</v>
      </c>
      <c r="H38" s="105">
        <f>H37</f>
        <v>-198172.03888989013</v>
      </c>
      <c r="I38" s="105">
        <f t="shared" si="6"/>
        <v>1935595.0342950649</v>
      </c>
    </row>
    <row r="39" spans="1:9" ht="20.05" customHeight="1">
      <c r="A39" s="656">
        <f t="shared" ref="A39:A48" si="7">A38+1</f>
        <v>18</v>
      </c>
      <c r="B39" s="88" t="s">
        <v>237</v>
      </c>
      <c r="C39" s="88" t="str">
        <f>+C38</f>
        <v>Year 2021</v>
      </c>
      <c r="D39" s="93">
        <f t="shared" ref="D39:D48" si="8">-I38</f>
        <v>-1935595.0342950649</v>
      </c>
      <c r="E39" s="106">
        <f t="shared" ref="E39:E48" si="9">+E38</f>
        <v>4.3050000000000007E-3</v>
      </c>
      <c r="F39" s="88"/>
      <c r="G39" s="105">
        <f t="shared" si="5"/>
        <v>8332.7366226402555</v>
      </c>
      <c r="H39" s="105">
        <f t="shared" ref="H39:H48" si="10">H38</f>
        <v>-198172.03888989013</v>
      </c>
      <c r="I39" s="105">
        <f t="shared" si="6"/>
        <v>1745755.732027815</v>
      </c>
    </row>
    <row r="40" spans="1:9" ht="20.05" customHeight="1">
      <c r="A40" s="656">
        <f t="shared" si="7"/>
        <v>19</v>
      </c>
      <c r="B40" s="88" t="s">
        <v>238</v>
      </c>
      <c r="C40" s="88" t="str">
        <f>+C39</f>
        <v>Year 2021</v>
      </c>
      <c r="D40" s="93">
        <f t="shared" si="8"/>
        <v>-1745755.732027815</v>
      </c>
      <c r="E40" s="106">
        <f t="shared" si="9"/>
        <v>4.3050000000000007E-3</v>
      </c>
      <c r="F40" s="88"/>
      <c r="G40" s="105">
        <f t="shared" si="5"/>
        <v>7515.4784263797446</v>
      </c>
      <c r="H40" s="105">
        <f t="shared" si="10"/>
        <v>-198172.03888989013</v>
      </c>
      <c r="I40" s="105">
        <f t="shared" si="6"/>
        <v>1555099.1715643047</v>
      </c>
    </row>
    <row r="41" spans="1:9" ht="20.05" customHeight="1">
      <c r="A41" s="656">
        <f t="shared" si="7"/>
        <v>20</v>
      </c>
      <c r="B41" s="88" t="s">
        <v>239</v>
      </c>
      <c r="C41" s="88" t="str">
        <f>+C40</f>
        <v>Year 2021</v>
      </c>
      <c r="D41" s="93">
        <f t="shared" si="8"/>
        <v>-1555099.1715643047</v>
      </c>
      <c r="E41" s="106">
        <f t="shared" si="9"/>
        <v>4.3050000000000007E-3</v>
      </c>
      <c r="F41" s="88"/>
      <c r="G41" s="105">
        <f t="shared" si="5"/>
        <v>6694.7019335843333</v>
      </c>
      <c r="H41" s="105">
        <f t="shared" si="10"/>
        <v>-198172.03888989013</v>
      </c>
      <c r="I41" s="105">
        <f t="shared" si="6"/>
        <v>1363621.8346079991</v>
      </c>
    </row>
    <row r="42" spans="1:9" ht="20.05" customHeight="1">
      <c r="A42" s="656">
        <f t="shared" si="7"/>
        <v>21</v>
      </c>
      <c r="B42" s="88" t="s">
        <v>250</v>
      </c>
      <c r="C42" s="88" t="str">
        <f>C41</f>
        <v>Year 2021</v>
      </c>
      <c r="D42" s="93">
        <f t="shared" si="8"/>
        <v>-1363621.8346079991</v>
      </c>
      <c r="E42" s="106">
        <f t="shared" si="9"/>
        <v>4.3050000000000007E-3</v>
      </c>
      <c r="F42" s="88"/>
      <c r="G42" s="105">
        <f t="shared" si="5"/>
        <v>5870.3919979874372</v>
      </c>
      <c r="H42" s="105">
        <f t="shared" si="10"/>
        <v>-198172.03888989013</v>
      </c>
      <c r="I42" s="105">
        <f t="shared" si="6"/>
        <v>1171320.1877160964</v>
      </c>
    </row>
    <row r="43" spans="1:9" ht="20.05" customHeight="1">
      <c r="A43" s="656">
        <f t="shared" si="7"/>
        <v>22</v>
      </c>
      <c r="B43" s="88" t="s">
        <v>240</v>
      </c>
      <c r="C43" s="88" t="str">
        <f t="shared" ref="C43:C48" si="11">+C42</f>
        <v>Year 2021</v>
      </c>
      <c r="D43" s="93">
        <f t="shared" si="8"/>
        <v>-1171320.1877160964</v>
      </c>
      <c r="E43" s="106">
        <f t="shared" si="9"/>
        <v>4.3050000000000007E-3</v>
      </c>
      <c r="F43" s="88"/>
      <c r="G43" s="105">
        <f t="shared" si="5"/>
        <v>5042.5334081177962</v>
      </c>
      <c r="H43" s="105">
        <f t="shared" si="10"/>
        <v>-198172.03888989013</v>
      </c>
      <c r="I43" s="105">
        <f t="shared" si="6"/>
        <v>978190.68223432405</v>
      </c>
    </row>
    <row r="44" spans="1:9" ht="20.05" customHeight="1">
      <c r="A44" s="656">
        <f t="shared" si="7"/>
        <v>23</v>
      </c>
      <c r="B44" s="88" t="s">
        <v>241</v>
      </c>
      <c r="C44" s="88" t="str">
        <f t="shared" si="11"/>
        <v>Year 2021</v>
      </c>
      <c r="D44" s="93">
        <f t="shared" si="8"/>
        <v>-978190.68223432405</v>
      </c>
      <c r="E44" s="106">
        <f t="shared" si="9"/>
        <v>4.3050000000000007E-3</v>
      </c>
      <c r="F44" s="88"/>
      <c r="G44" s="105">
        <f t="shared" si="5"/>
        <v>4211.1108870187654</v>
      </c>
      <c r="H44" s="105">
        <f t="shared" si="10"/>
        <v>-198172.03888989013</v>
      </c>
      <c r="I44" s="105">
        <f t="shared" si="6"/>
        <v>784229.75423145271</v>
      </c>
    </row>
    <row r="45" spans="1:9" ht="20.05" customHeight="1">
      <c r="A45" s="656">
        <f t="shared" si="7"/>
        <v>24</v>
      </c>
      <c r="B45" s="88" t="s">
        <v>242</v>
      </c>
      <c r="C45" s="88" t="str">
        <f t="shared" si="11"/>
        <v>Year 2021</v>
      </c>
      <c r="D45" s="93">
        <f t="shared" si="8"/>
        <v>-784229.75423145271</v>
      </c>
      <c r="E45" s="106">
        <f t="shared" si="9"/>
        <v>4.3050000000000007E-3</v>
      </c>
      <c r="F45" s="88"/>
      <c r="G45" s="105">
        <f t="shared" si="5"/>
        <v>3376.1090919664043</v>
      </c>
      <c r="H45" s="105">
        <f t="shared" si="10"/>
        <v>-198172.03888989013</v>
      </c>
      <c r="I45" s="105">
        <f t="shared" si="6"/>
        <v>589433.82443352905</v>
      </c>
    </row>
    <row r="46" spans="1:9" ht="20.05" customHeight="1">
      <c r="A46" s="656">
        <f t="shared" si="7"/>
        <v>25</v>
      </c>
      <c r="B46" s="88" t="s">
        <v>244</v>
      </c>
      <c r="C46" s="88" t="str">
        <f t="shared" si="11"/>
        <v>Year 2021</v>
      </c>
      <c r="D46" s="93">
        <f t="shared" si="8"/>
        <v>-589433.82443352905</v>
      </c>
      <c r="E46" s="106">
        <f t="shared" si="9"/>
        <v>4.3050000000000007E-3</v>
      </c>
      <c r="F46" s="88"/>
      <c r="G46" s="105">
        <f t="shared" si="5"/>
        <v>2537.5126141863429</v>
      </c>
      <c r="H46" s="105">
        <f t="shared" si="10"/>
        <v>-198172.03888989013</v>
      </c>
      <c r="I46" s="105">
        <f t="shared" si="6"/>
        <v>393799.29815782531</v>
      </c>
    </row>
    <row r="47" spans="1:9" ht="20.05" customHeight="1">
      <c r="A47" s="656">
        <f t="shared" si="7"/>
        <v>26</v>
      </c>
      <c r="B47" s="88" t="s">
        <v>243</v>
      </c>
      <c r="C47" s="88" t="str">
        <f t="shared" si="11"/>
        <v>Year 2021</v>
      </c>
      <c r="D47" s="93">
        <f t="shared" si="8"/>
        <v>-393799.29815782531</v>
      </c>
      <c r="E47" s="106">
        <f t="shared" si="9"/>
        <v>4.3050000000000007E-3</v>
      </c>
      <c r="F47" s="88"/>
      <c r="G47" s="105">
        <f t="shared" si="5"/>
        <v>1695.3059785694381</v>
      </c>
      <c r="H47" s="105">
        <f t="shared" si="10"/>
        <v>-198172.03888989013</v>
      </c>
      <c r="I47" s="105">
        <f t="shared" si="6"/>
        <v>197322.56524650462</v>
      </c>
    </row>
    <row r="48" spans="1:9" ht="20.05" customHeight="1">
      <c r="A48" s="656">
        <f t="shared" si="7"/>
        <v>27</v>
      </c>
      <c r="B48" s="88" t="s">
        <v>234</v>
      </c>
      <c r="C48" s="88" t="str">
        <f t="shared" si="11"/>
        <v>Year 2021</v>
      </c>
      <c r="D48" s="93">
        <f t="shared" si="8"/>
        <v>-197322.56524650462</v>
      </c>
      <c r="E48" s="106">
        <f t="shared" si="9"/>
        <v>4.3050000000000007E-3</v>
      </c>
      <c r="F48" s="88"/>
      <c r="G48" s="109">
        <f t="shared" si="5"/>
        <v>849.47364338620253</v>
      </c>
      <c r="H48" s="105">
        <f t="shared" si="10"/>
        <v>-198172.03888989013</v>
      </c>
      <c r="I48" s="105">
        <f t="shared" si="6"/>
        <v>6.9849193096160889E-10</v>
      </c>
    </row>
    <row r="49" spans="1:10" ht="20.05" customHeight="1">
      <c r="A49" s="656"/>
      <c r="B49" s="88"/>
      <c r="C49" s="88"/>
      <c r="D49" s="93"/>
      <c r="E49" s="106"/>
      <c r="F49" s="88"/>
      <c r="G49" s="105">
        <f>SUM(G37:G48)</f>
        <v>65228.604593819327</v>
      </c>
      <c r="H49" s="105"/>
      <c r="I49" s="105"/>
    </row>
    <row r="50" spans="1:10" ht="20.05" customHeight="1">
      <c r="A50" s="656"/>
      <c r="B50" s="111"/>
      <c r="C50" s="111"/>
      <c r="D50" s="111"/>
      <c r="E50" s="111"/>
      <c r="F50" s="111"/>
      <c r="G50" s="111"/>
      <c r="H50" s="111"/>
      <c r="I50" s="111"/>
    </row>
    <row r="51" spans="1:10" ht="20.05" customHeight="1">
      <c r="A51" s="656">
        <v>28</v>
      </c>
      <c r="B51" s="88" t="s">
        <v>339</v>
      </c>
      <c r="C51" s="111"/>
      <c r="D51" s="111"/>
      <c r="E51" s="111"/>
      <c r="F51" s="111"/>
      <c r="G51" s="111"/>
      <c r="H51" s="115">
        <f>SUM(H37:H48)</f>
        <v>-2378064.4666786813</v>
      </c>
      <c r="I51" s="111"/>
    </row>
    <row r="52" spans="1:10" ht="20.05" customHeight="1">
      <c r="A52" s="656">
        <v>29</v>
      </c>
      <c r="B52" s="88" t="s">
        <v>337</v>
      </c>
      <c r="C52" s="111"/>
      <c r="D52" s="111"/>
      <c r="E52" s="111"/>
      <c r="F52" s="111"/>
      <c r="G52" s="111"/>
      <c r="H52" s="115">
        <f>+F10</f>
        <v>-2139359.3302307688</v>
      </c>
      <c r="I52" s="111"/>
    </row>
    <row r="53" spans="1:10" ht="20.05" customHeight="1">
      <c r="A53" s="656">
        <v>30</v>
      </c>
      <c r="B53" s="88" t="s">
        <v>338</v>
      </c>
      <c r="C53" s="111"/>
      <c r="D53" s="111"/>
      <c r="E53" s="111"/>
      <c r="F53" s="111"/>
      <c r="G53" s="111"/>
      <c r="H53" s="115">
        <f>(H51-H52)</f>
        <v>-238705.13644791255</v>
      </c>
      <c r="I53" s="111"/>
    </row>
    <row r="54" spans="1:10" ht="20.05" customHeight="1">
      <c r="A54" s="656"/>
      <c r="B54" s="88"/>
      <c r="C54" s="111"/>
      <c r="D54" s="111"/>
      <c r="E54" s="111"/>
      <c r="F54" s="111"/>
      <c r="G54" s="111"/>
      <c r="H54" s="115"/>
      <c r="I54" s="111"/>
    </row>
    <row r="55" spans="1:10" ht="35.25" customHeight="1">
      <c r="A55" s="901" t="s">
        <v>260</v>
      </c>
      <c r="B55" s="1370" t="s">
        <v>1016</v>
      </c>
      <c r="C55" s="1370"/>
      <c r="D55" s="1370"/>
      <c r="E55" s="1370"/>
      <c r="F55" s="1370"/>
      <c r="G55" s="1370"/>
      <c r="H55" s="1370"/>
      <c r="I55" s="1370"/>
      <c r="J55" s="1370"/>
    </row>
  </sheetData>
  <mergeCells count="4">
    <mergeCell ref="B5:I5"/>
    <mergeCell ref="B6:I6"/>
    <mergeCell ref="B13:C13"/>
    <mergeCell ref="B55:J55"/>
  </mergeCells>
  <printOptions horizontalCentered="1"/>
  <pageMargins left="0.7" right="0.7" top="0.75" bottom="0.75" header="0.3" footer="0.3"/>
  <pageSetup scale="45" fitToWidth="0" fitToHeight="0"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M72"/>
  <sheetViews>
    <sheetView view="pageBreakPreview" zoomScale="70" zoomScaleNormal="100" zoomScaleSheetLayoutView="70" workbookViewId="0">
      <selection activeCell="L80" sqref="L80"/>
    </sheetView>
  </sheetViews>
  <sheetFormatPr defaultColWidth="8.90625" defaultRowHeight="15.05"/>
  <cols>
    <col min="1" max="1" width="6.54296875" style="924" customWidth="1"/>
    <col min="2" max="2" width="82.54296875" style="924" customWidth="1"/>
    <col min="3" max="3" width="10.453125" style="924" customWidth="1"/>
    <col min="4" max="4" width="10.1796875" style="924" customWidth="1"/>
    <col min="5" max="5" width="9" style="924" customWidth="1"/>
    <col min="6" max="6" width="9.90625" style="924" customWidth="1"/>
    <col min="7" max="7" width="9.6328125" style="924" customWidth="1"/>
    <col min="8" max="8" width="21.08984375" style="924" customWidth="1"/>
    <col min="9" max="10" width="8.90625" style="924"/>
    <col min="11" max="11" width="6" style="924" customWidth="1"/>
    <col min="12" max="16384" width="8.90625" style="924"/>
  </cols>
  <sheetData>
    <row r="1" spans="1:13" ht="15.65">
      <c r="A1" s="952"/>
      <c r="B1" s="953"/>
      <c r="C1" s="953"/>
      <c r="D1" s="953"/>
      <c r="E1" s="952"/>
      <c r="F1" s="952"/>
      <c r="G1" s="952"/>
      <c r="H1" s="954" t="s">
        <v>815</v>
      </c>
      <c r="I1" s="953"/>
      <c r="J1" s="953"/>
      <c r="K1" s="954"/>
      <c r="L1" s="953"/>
      <c r="M1" s="953"/>
    </row>
    <row r="2" spans="1:13" ht="15.65">
      <c r="A2" s="952"/>
      <c r="B2" s="953"/>
      <c r="C2" s="953"/>
      <c r="D2" s="953"/>
      <c r="E2" s="952"/>
      <c r="F2" s="952"/>
      <c r="G2" s="952"/>
      <c r="H2" s="954" t="s">
        <v>221</v>
      </c>
      <c r="I2" s="953"/>
      <c r="J2" s="953"/>
      <c r="K2" s="954"/>
      <c r="L2" s="953"/>
      <c r="M2" s="953"/>
    </row>
    <row r="3" spans="1:13" ht="15.65">
      <c r="A3" s="952"/>
      <c r="B3" s="953"/>
      <c r="C3" s="953"/>
      <c r="D3" s="953"/>
      <c r="E3" s="952"/>
      <c r="F3" s="952"/>
      <c r="G3" s="955"/>
      <c r="H3" s="956" t="str">
        <f>'Attach 13a-TEC Rev Req True up'!J3</f>
        <v>For the 12 months ended 12/31/2019</v>
      </c>
      <c r="I3" s="953"/>
      <c r="J3" s="953"/>
      <c r="K3" s="956"/>
      <c r="L3" s="953"/>
      <c r="M3" s="953"/>
    </row>
    <row r="4" spans="1:13" ht="15.65">
      <c r="A4" s="957"/>
      <c r="B4" s="953"/>
      <c r="C4" s="955" t="s">
        <v>816</v>
      </c>
      <c r="D4" s="953"/>
      <c r="E4" s="955"/>
      <c r="F4" s="952"/>
      <c r="G4" s="952"/>
      <c r="H4" s="953"/>
      <c r="I4" s="953"/>
      <c r="J4" s="953"/>
      <c r="K4" s="953"/>
      <c r="L4" s="953"/>
      <c r="M4" s="953"/>
    </row>
    <row r="5" spans="1:13" ht="15.65">
      <c r="A5" s="952"/>
      <c r="B5" s="953"/>
      <c r="C5" s="958"/>
      <c r="D5" s="953"/>
      <c r="E5" s="952"/>
      <c r="F5" s="952"/>
      <c r="G5" s="952"/>
      <c r="H5" s="952"/>
      <c r="I5" s="952"/>
      <c r="J5" s="953"/>
      <c r="K5" s="952"/>
      <c r="L5" s="953"/>
      <c r="M5" s="953"/>
    </row>
    <row r="6" spans="1:13" ht="15.65">
      <c r="A6" s="952"/>
      <c r="B6" s="926" t="s">
        <v>1085</v>
      </c>
      <c r="C6" s="926" t="s">
        <v>1086</v>
      </c>
      <c r="D6" s="926" t="s">
        <v>1087</v>
      </c>
      <c r="E6" s="926" t="s">
        <v>1088</v>
      </c>
      <c r="F6" s="926" t="s">
        <v>1103</v>
      </c>
      <c r="G6" s="926" t="s">
        <v>1104</v>
      </c>
      <c r="H6" s="926" t="s">
        <v>1105</v>
      </c>
      <c r="I6" s="955"/>
      <c r="J6" s="953"/>
      <c r="K6" s="953"/>
      <c r="L6" s="953"/>
      <c r="M6" s="953"/>
    </row>
    <row r="7" spans="1:13" ht="15.65">
      <c r="A7" s="952"/>
      <c r="B7" s="926"/>
      <c r="C7" s="926"/>
      <c r="D7" s="926"/>
      <c r="E7" s="926"/>
      <c r="F7" s="926"/>
      <c r="G7" s="926"/>
      <c r="H7" s="926"/>
      <c r="I7" s="955"/>
      <c r="J7" s="953"/>
      <c r="K7" s="953"/>
      <c r="L7" s="953"/>
      <c r="M7" s="953"/>
    </row>
    <row r="8" spans="1:13" ht="15.65">
      <c r="A8" s="952"/>
      <c r="B8" s="953"/>
      <c r="C8" s="926" t="s">
        <v>1089</v>
      </c>
      <c r="D8" s="926" t="s">
        <v>1089</v>
      </c>
      <c r="E8" s="926" t="s">
        <v>1090</v>
      </c>
      <c r="F8" s="955"/>
      <c r="G8" s="955"/>
      <c r="H8" s="959"/>
      <c r="I8" s="953"/>
      <c r="J8" s="953"/>
      <c r="K8" s="953"/>
      <c r="L8" s="953"/>
      <c r="M8" s="953"/>
    </row>
    <row r="9" spans="1:13" ht="15.65">
      <c r="A9" s="960" t="s">
        <v>212</v>
      </c>
      <c r="B9" s="960" t="s">
        <v>1021</v>
      </c>
      <c r="C9" s="1294" t="s">
        <v>1360</v>
      </c>
      <c r="D9" s="1294" t="s">
        <v>1395</v>
      </c>
      <c r="E9" s="933" t="s">
        <v>1091</v>
      </c>
      <c r="F9" s="1373"/>
      <c r="G9" s="1373"/>
      <c r="H9" s="933"/>
      <c r="I9" s="953"/>
      <c r="J9" s="953"/>
      <c r="K9" s="953"/>
      <c r="L9" s="953"/>
      <c r="M9" s="953"/>
    </row>
    <row r="10" spans="1:13" ht="15.65">
      <c r="A10" s="961">
        <v>1</v>
      </c>
      <c r="B10" s="962" t="s">
        <v>1109</v>
      </c>
      <c r="C10" s="963">
        <v>0</v>
      </c>
      <c r="D10" s="964">
        <v>0</v>
      </c>
      <c r="E10" s="965">
        <f>AVERAGE(C10:D10)</f>
        <v>0</v>
      </c>
      <c r="F10" s="966"/>
      <c r="G10" s="966"/>
      <c r="H10" s="967"/>
      <c r="I10" s="968"/>
      <c r="J10" s="953"/>
      <c r="K10" s="953"/>
      <c r="L10" s="953"/>
      <c r="M10" s="953"/>
    </row>
    <row r="11" spans="1:13" ht="15.65">
      <c r="A11" s="961">
        <f>A10+1</f>
        <v>2</v>
      </c>
      <c r="B11" s="962" t="s">
        <v>1110</v>
      </c>
      <c r="C11" s="963">
        <v>0</v>
      </c>
      <c r="D11" s="964">
        <v>0</v>
      </c>
      <c r="E11" s="965">
        <f t="shared" ref="E11:E12" si="0">AVERAGE(C11:D11)</f>
        <v>0</v>
      </c>
      <c r="F11" s="966"/>
      <c r="G11" s="966"/>
      <c r="H11" s="967"/>
      <c r="I11" s="968"/>
      <c r="J11" s="953"/>
      <c r="K11" s="953"/>
      <c r="L11" s="953"/>
      <c r="M11" s="953"/>
    </row>
    <row r="12" spans="1:13" ht="15.65">
      <c r="A12" s="961">
        <f>A11+1</f>
        <v>3</v>
      </c>
      <c r="B12" s="969" t="s">
        <v>1111</v>
      </c>
      <c r="C12" s="1250">
        <v>540092</v>
      </c>
      <c r="D12" s="1250">
        <v>419774</v>
      </c>
      <c r="E12" s="965">
        <f t="shared" si="0"/>
        <v>479933</v>
      </c>
      <c r="F12" s="966"/>
      <c r="G12" s="966"/>
      <c r="H12" s="967"/>
      <c r="I12" s="968"/>
      <c r="J12" s="953"/>
      <c r="K12" s="953"/>
      <c r="L12" s="953"/>
      <c r="M12" s="953"/>
    </row>
    <row r="13" spans="1:13" ht="15.65">
      <c r="A13" s="952"/>
      <c r="B13" s="953"/>
      <c r="C13" s="953"/>
      <c r="D13" s="953"/>
      <c r="E13" s="952"/>
      <c r="F13" s="952"/>
      <c r="G13" s="952"/>
      <c r="H13" s="953"/>
      <c r="I13" s="953"/>
      <c r="J13" s="953"/>
      <c r="K13" s="970"/>
      <c r="L13" s="953"/>
      <c r="M13" s="953"/>
    </row>
    <row r="14" spans="1:13" ht="15.65">
      <c r="A14" s="952"/>
      <c r="B14" s="955"/>
      <c r="C14" s="955" t="s">
        <v>1112</v>
      </c>
      <c r="D14" s="955"/>
      <c r="E14" s="952"/>
      <c r="I14" s="953"/>
      <c r="J14" s="953"/>
      <c r="K14" s="971"/>
      <c r="L14" s="953"/>
      <c r="M14" s="953"/>
    </row>
    <row r="15" spans="1:13">
      <c r="A15" s="926"/>
      <c r="B15" s="926"/>
      <c r="C15" s="926"/>
      <c r="D15" s="926"/>
      <c r="E15" s="926"/>
      <c r="F15" s="926"/>
      <c r="G15" s="926"/>
      <c r="H15" s="926"/>
    </row>
    <row r="16" spans="1:13">
      <c r="A16" s="926"/>
      <c r="B16" s="926"/>
      <c r="C16" s="926" t="s">
        <v>1089</v>
      </c>
      <c r="D16" s="926" t="s">
        <v>1089</v>
      </c>
      <c r="E16" s="926" t="s">
        <v>1090</v>
      </c>
      <c r="H16" s="959" t="s">
        <v>1106</v>
      </c>
    </row>
    <row r="17" spans="1:8">
      <c r="A17" s="960" t="s">
        <v>212</v>
      </c>
      <c r="B17" s="960" t="s">
        <v>1021</v>
      </c>
      <c r="C17" s="933" t="str">
        <f>C9</f>
        <v>OF 12-31-18</v>
      </c>
      <c r="D17" s="933" t="str">
        <f>D9</f>
        <v>OF 12-31-19</v>
      </c>
      <c r="E17" s="933" t="s">
        <v>1091</v>
      </c>
      <c r="F17" s="1373" t="s">
        <v>1107</v>
      </c>
      <c r="G17" s="1373"/>
      <c r="H17" s="933" t="s">
        <v>1108</v>
      </c>
    </row>
    <row r="18" spans="1:8">
      <c r="A18" s="972"/>
      <c r="B18" s="1374" t="s">
        <v>1113</v>
      </c>
      <c r="C18" s="1374"/>
      <c r="D18" s="1374"/>
      <c r="E18" s="1374"/>
      <c r="F18" s="1374"/>
      <c r="G18" s="1374"/>
      <c r="H18" s="1374"/>
    </row>
    <row r="19" spans="1:8">
      <c r="A19" s="926" t="s">
        <v>650</v>
      </c>
      <c r="B19" s="924" t="s">
        <v>1114</v>
      </c>
      <c r="C19" s="973">
        <v>0</v>
      </c>
      <c r="D19" s="973">
        <v>0</v>
      </c>
      <c r="E19" s="924">
        <f>AVERAGE(C19:D19)</f>
        <v>0</v>
      </c>
      <c r="F19" s="924" t="s">
        <v>60</v>
      </c>
      <c r="G19" s="974">
        <f>'Attachment H-28A MAIT '!$G$61</f>
        <v>1</v>
      </c>
      <c r="H19" s="924">
        <f>G19*E19</f>
        <v>0</v>
      </c>
    </row>
    <row r="20" spans="1:8">
      <c r="A20" s="926" t="s">
        <v>1115</v>
      </c>
      <c r="B20" s="973" t="s">
        <v>1116</v>
      </c>
      <c r="C20" s="973">
        <v>0</v>
      </c>
      <c r="D20" s="973">
        <v>0</v>
      </c>
      <c r="E20" s="924">
        <f>AVERAGE(C20:D20)</f>
        <v>0</v>
      </c>
      <c r="F20" s="924" t="s">
        <v>1095</v>
      </c>
      <c r="G20" s="924">
        <v>0</v>
      </c>
      <c r="H20" s="924">
        <f>G20*E20</f>
        <v>0</v>
      </c>
    </row>
    <row r="21" spans="1:8">
      <c r="A21" s="926" t="s">
        <v>1117</v>
      </c>
      <c r="B21" s="973" t="s">
        <v>1116</v>
      </c>
      <c r="C21" s="973">
        <v>0</v>
      </c>
      <c r="D21" s="973">
        <v>0</v>
      </c>
      <c r="E21" s="924">
        <f>AVERAGE(C21:D21)</f>
        <v>0</v>
      </c>
      <c r="F21" s="924" t="s">
        <v>1095</v>
      </c>
      <c r="G21" s="924">
        <v>0</v>
      </c>
      <c r="H21" s="960">
        <f>G21*E21</f>
        <v>0</v>
      </c>
    </row>
    <row r="22" spans="1:8">
      <c r="A22" s="926" t="s">
        <v>748</v>
      </c>
      <c r="B22" s="924" t="s">
        <v>1118</v>
      </c>
      <c r="C22" s="923">
        <f>SUM(C19:C21)</f>
        <v>0</v>
      </c>
      <c r="D22" s="923">
        <f>SUM(D19:D21)</f>
        <v>0</v>
      </c>
      <c r="H22" s="924">
        <f>SUM(H19:H21)</f>
        <v>0</v>
      </c>
    </row>
    <row r="23" spans="1:8">
      <c r="A23" s="926" t="str">
        <f>IF(H23&lt;&gt;"",COUNTA($H$19:H23),"")</f>
        <v/>
      </c>
    </row>
    <row r="24" spans="1:8">
      <c r="A24" s="926" t="str">
        <f>IF(H24&lt;&gt;"",COUNTA($H$19:H24),"")</f>
        <v/>
      </c>
      <c r="B24" s="1372" t="s">
        <v>1119</v>
      </c>
      <c r="C24" s="1372"/>
      <c r="D24" s="1372"/>
      <c r="E24" s="1372"/>
      <c r="F24" s="1372"/>
      <c r="G24" s="1372"/>
      <c r="H24" s="1372"/>
    </row>
    <row r="25" spans="1:8">
      <c r="A25" s="926" t="s">
        <v>742</v>
      </c>
      <c r="B25" s="924" t="s">
        <v>1120</v>
      </c>
      <c r="C25" s="973">
        <v>0</v>
      </c>
      <c r="D25" s="973">
        <v>0</v>
      </c>
      <c r="E25" s="924">
        <f>AVERAGE(C25:D25)</f>
        <v>0</v>
      </c>
      <c r="F25" s="924" t="s">
        <v>39</v>
      </c>
      <c r="G25" s="974">
        <f>'Attachment H-28A MAIT '!$I$233</f>
        <v>1</v>
      </c>
      <c r="H25" s="924">
        <f>G25*E25</f>
        <v>0</v>
      </c>
    </row>
    <row r="26" spans="1:8">
      <c r="A26" s="926" t="s">
        <v>743</v>
      </c>
      <c r="B26" s="924" t="s">
        <v>1121</v>
      </c>
      <c r="C26" s="973">
        <v>0</v>
      </c>
      <c r="D26" s="973">
        <v>0</v>
      </c>
      <c r="E26" s="924">
        <f t="shared" ref="E26:E27" si="1">AVERAGE(C26:D26)</f>
        <v>0</v>
      </c>
      <c r="F26" s="924" t="s">
        <v>39</v>
      </c>
      <c r="G26" s="974">
        <f>'Attachment H-28A MAIT '!$I$233</f>
        <v>1</v>
      </c>
      <c r="H26" s="924">
        <f t="shared" ref="H26:H27" si="2">G26*E26</f>
        <v>0</v>
      </c>
    </row>
    <row r="27" spans="1:8">
      <c r="A27" s="926" t="s">
        <v>744</v>
      </c>
      <c r="B27" s="924" t="s">
        <v>1122</v>
      </c>
      <c r="C27" s="973">
        <v>0</v>
      </c>
      <c r="D27" s="973">
        <v>0</v>
      </c>
      <c r="E27" s="924">
        <f t="shared" si="1"/>
        <v>0</v>
      </c>
      <c r="F27" s="924" t="s">
        <v>60</v>
      </c>
      <c r="G27" s="974">
        <f>'Attachment H-28A MAIT '!$G$61</f>
        <v>1</v>
      </c>
      <c r="H27" s="924">
        <f t="shared" si="2"/>
        <v>0</v>
      </c>
    </row>
    <row r="28" spans="1:8">
      <c r="A28" s="926" t="s">
        <v>1123</v>
      </c>
      <c r="B28" s="973" t="s">
        <v>1124</v>
      </c>
      <c r="C28" s="973">
        <v>0</v>
      </c>
      <c r="D28" s="973">
        <v>0</v>
      </c>
      <c r="E28" s="924">
        <f>AVERAGE(C28:D28)</f>
        <v>0</v>
      </c>
      <c r="F28" s="924" t="s">
        <v>1095</v>
      </c>
      <c r="G28" s="924">
        <v>0</v>
      </c>
      <c r="H28" s="924">
        <f>G28*E28</f>
        <v>0</v>
      </c>
    </row>
    <row r="29" spans="1:8">
      <c r="A29" s="926" t="s">
        <v>1125</v>
      </c>
      <c r="B29" s="973" t="s">
        <v>1124</v>
      </c>
      <c r="C29" s="973">
        <v>0</v>
      </c>
      <c r="D29" s="973">
        <v>0</v>
      </c>
      <c r="E29" s="924">
        <f>AVERAGE(C29:D29)</f>
        <v>0</v>
      </c>
      <c r="F29" s="924" t="s">
        <v>1095</v>
      </c>
      <c r="G29" s="924">
        <v>0</v>
      </c>
      <c r="H29" s="960">
        <f>G29*E29</f>
        <v>0</v>
      </c>
    </row>
    <row r="30" spans="1:8">
      <c r="A30" s="926" t="s">
        <v>749</v>
      </c>
      <c r="B30" s="924" t="s">
        <v>1126</v>
      </c>
      <c r="C30" s="923">
        <f>SUM(C25:C29)</f>
        <v>0</v>
      </c>
      <c r="D30" s="923">
        <f>SUM(D25:D29)</f>
        <v>0</v>
      </c>
      <c r="H30" s="924">
        <f>SUM(H25:H29)</f>
        <v>0</v>
      </c>
    </row>
    <row r="31" spans="1:8">
      <c r="A31" s="926" t="str">
        <f>IF(H31&lt;&gt;"",COUNTA($H$19:H31),"")</f>
        <v/>
      </c>
    </row>
    <row r="32" spans="1:8">
      <c r="A32" s="926" t="str">
        <f>IF(H32&lt;&gt;"",COUNTA($H$19:H32),"")</f>
        <v/>
      </c>
      <c r="B32" s="1372" t="s">
        <v>1127</v>
      </c>
      <c r="C32" s="1372"/>
      <c r="D32" s="1372"/>
      <c r="E32" s="1372"/>
      <c r="F32" s="1372"/>
      <c r="G32" s="1372"/>
      <c r="H32" s="1372"/>
    </row>
    <row r="33" spans="1:8">
      <c r="A33" s="926" t="s">
        <v>1128</v>
      </c>
      <c r="B33" s="924" t="s">
        <v>1129</v>
      </c>
      <c r="C33" s="973">
        <v>0</v>
      </c>
      <c r="D33" s="973">
        <v>0</v>
      </c>
      <c r="E33" s="924">
        <f t="shared" ref="E33:E38" si="3">AVERAGE(C33:D33)</f>
        <v>0</v>
      </c>
      <c r="F33" s="924" t="s">
        <v>39</v>
      </c>
      <c r="G33" s="974">
        <f>'Attachment H-28A MAIT '!$I$233</f>
        <v>1</v>
      </c>
      <c r="H33" s="924">
        <f t="shared" ref="H33:H38" si="4">G33*E33</f>
        <v>0</v>
      </c>
    </row>
    <row r="34" spans="1:8">
      <c r="A34" s="926" t="s">
        <v>1130</v>
      </c>
      <c r="B34" s="924" t="s">
        <v>1131</v>
      </c>
      <c r="C34" s="973">
        <v>0</v>
      </c>
      <c r="D34" s="973">
        <v>0</v>
      </c>
      <c r="E34" s="924">
        <f t="shared" si="3"/>
        <v>0</v>
      </c>
      <c r="F34" s="924" t="s">
        <v>39</v>
      </c>
      <c r="G34" s="974">
        <f>'Attachment H-28A MAIT '!$I$233</f>
        <v>1</v>
      </c>
      <c r="H34" s="924">
        <f t="shared" si="4"/>
        <v>0</v>
      </c>
    </row>
    <row r="35" spans="1:8">
      <c r="A35" s="926" t="s">
        <v>1132</v>
      </c>
      <c r="B35" s="924" t="s">
        <v>1133</v>
      </c>
      <c r="C35" s="973">
        <v>0</v>
      </c>
      <c r="D35" s="973">
        <v>0</v>
      </c>
      <c r="E35" s="924">
        <f t="shared" si="3"/>
        <v>0</v>
      </c>
      <c r="F35" s="924" t="s">
        <v>39</v>
      </c>
      <c r="G35" s="974">
        <f>'Attachment H-28A MAIT '!$I$233</f>
        <v>1</v>
      </c>
      <c r="H35" s="924">
        <f t="shared" si="4"/>
        <v>0</v>
      </c>
    </row>
    <row r="36" spans="1:8">
      <c r="A36" s="926" t="s">
        <v>1134</v>
      </c>
      <c r="B36" s="924" t="s">
        <v>1135</v>
      </c>
      <c r="C36" s="973">
        <v>0</v>
      </c>
      <c r="D36" s="973">
        <v>0</v>
      </c>
      <c r="E36" s="924">
        <f t="shared" si="3"/>
        <v>0</v>
      </c>
      <c r="F36" s="924" t="s">
        <v>39</v>
      </c>
      <c r="G36" s="974">
        <f>'Attachment H-28A MAIT '!$I$233</f>
        <v>1</v>
      </c>
      <c r="H36" s="924">
        <f t="shared" si="4"/>
        <v>0</v>
      </c>
    </row>
    <row r="37" spans="1:8">
      <c r="A37" s="926" t="s">
        <v>1136</v>
      </c>
      <c r="B37" s="924" t="s">
        <v>1137</v>
      </c>
      <c r="C37" s="973">
        <v>0</v>
      </c>
      <c r="D37" s="973">
        <v>0</v>
      </c>
      <c r="E37" s="924">
        <f t="shared" si="3"/>
        <v>0</v>
      </c>
      <c r="F37" s="924" t="s">
        <v>39</v>
      </c>
      <c r="G37" s="974">
        <f>'Attachment H-28A MAIT '!$I$233</f>
        <v>1</v>
      </c>
      <c r="H37" s="924">
        <f t="shared" si="4"/>
        <v>0</v>
      </c>
    </row>
    <row r="38" spans="1:8">
      <c r="A38" s="926" t="s">
        <v>1138</v>
      </c>
      <c r="B38" s="924" t="s">
        <v>1139</v>
      </c>
      <c r="C38" s="973">
        <v>0</v>
      </c>
      <c r="D38" s="973">
        <v>0</v>
      </c>
      <c r="E38" s="924">
        <f t="shared" si="3"/>
        <v>0</v>
      </c>
      <c r="F38" s="924" t="s">
        <v>39</v>
      </c>
      <c r="G38" s="974">
        <f>'Attachment H-28A MAIT '!$I$233</f>
        <v>1</v>
      </c>
      <c r="H38" s="924">
        <f t="shared" si="4"/>
        <v>0</v>
      </c>
    </row>
    <row r="39" spans="1:8">
      <c r="A39" s="926" t="s">
        <v>1140</v>
      </c>
      <c r="B39" s="973" t="s">
        <v>1141</v>
      </c>
      <c r="C39" s="973">
        <v>0</v>
      </c>
      <c r="D39" s="973">
        <v>0</v>
      </c>
      <c r="E39" s="924">
        <f>AVERAGE(C39:D39)</f>
        <v>0</v>
      </c>
      <c r="F39" s="924" t="s">
        <v>1095</v>
      </c>
      <c r="G39" s="924">
        <v>0</v>
      </c>
      <c r="H39" s="924">
        <f>G39*E39</f>
        <v>0</v>
      </c>
    </row>
    <row r="40" spans="1:8">
      <c r="A40" s="926" t="s">
        <v>1142</v>
      </c>
      <c r="B40" s="973" t="s">
        <v>1141</v>
      </c>
      <c r="C40" s="973">
        <v>0</v>
      </c>
      <c r="D40" s="973">
        <v>0</v>
      </c>
      <c r="E40" s="924">
        <f>AVERAGE(C40:D40)</f>
        <v>0</v>
      </c>
      <c r="F40" s="924" t="s">
        <v>1095</v>
      </c>
      <c r="G40" s="924">
        <v>0</v>
      </c>
      <c r="H40" s="960">
        <f>G40*E40</f>
        <v>0</v>
      </c>
    </row>
    <row r="41" spans="1:8">
      <c r="A41" s="926" t="s">
        <v>750</v>
      </c>
      <c r="B41" s="924" t="s">
        <v>1143</v>
      </c>
      <c r="C41" s="923">
        <f>SUM(C33:C40)</f>
        <v>0</v>
      </c>
      <c r="D41" s="923">
        <f>SUM(D33:D40)</f>
        <v>0</v>
      </c>
      <c r="H41" s="924">
        <f>SUM(H33:H40)</f>
        <v>0</v>
      </c>
    </row>
    <row r="42" spans="1:8">
      <c r="A42" s="926" t="str">
        <f>IF(H42&lt;&gt;"",COUNTA($H$19:H42),"")</f>
        <v/>
      </c>
    </row>
    <row r="43" spans="1:8">
      <c r="A43" s="926" t="str">
        <f>IF(H43&lt;&gt;"",COUNTA($H$19:H43),"")</f>
        <v/>
      </c>
      <c r="B43" s="1372" t="s">
        <v>1144</v>
      </c>
      <c r="C43" s="1372"/>
      <c r="D43" s="1372"/>
      <c r="E43" s="1372"/>
      <c r="F43" s="1372"/>
      <c r="G43" s="1372"/>
      <c r="H43" s="1372"/>
    </row>
    <row r="44" spans="1:8">
      <c r="A44" s="926" t="s">
        <v>1145</v>
      </c>
      <c r="B44" s="924" t="s">
        <v>1129</v>
      </c>
      <c r="C44" s="973">
        <v>0</v>
      </c>
      <c r="D44" s="973">
        <v>0</v>
      </c>
      <c r="E44" s="924">
        <f t="shared" ref="E44:E49" si="5">AVERAGE(C44:D44)</f>
        <v>0</v>
      </c>
      <c r="F44" s="924" t="s">
        <v>39</v>
      </c>
      <c r="G44" s="974">
        <f>'Attachment H-28A MAIT '!$I$233</f>
        <v>1</v>
      </c>
      <c r="H44" s="924">
        <f t="shared" ref="H44:H49" si="6">G44*E44</f>
        <v>0</v>
      </c>
    </row>
    <row r="45" spans="1:8">
      <c r="A45" s="926" t="s">
        <v>1146</v>
      </c>
      <c r="B45" s="924" t="s">
        <v>1131</v>
      </c>
      <c r="C45" s="973">
        <v>0</v>
      </c>
      <c r="D45" s="973">
        <v>0</v>
      </c>
      <c r="E45" s="924">
        <f t="shared" si="5"/>
        <v>0</v>
      </c>
      <c r="F45" s="924" t="s">
        <v>39</v>
      </c>
      <c r="G45" s="974">
        <f>'Attachment H-28A MAIT '!$I$233</f>
        <v>1</v>
      </c>
      <c r="H45" s="924">
        <f t="shared" si="6"/>
        <v>0</v>
      </c>
    </row>
    <row r="46" spans="1:8">
      <c r="A46" s="926" t="s">
        <v>1147</v>
      </c>
      <c r="B46" s="924" t="s">
        <v>1133</v>
      </c>
      <c r="C46" s="973">
        <v>0</v>
      </c>
      <c r="D46" s="973">
        <v>0</v>
      </c>
      <c r="E46" s="924">
        <f t="shared" si="5"/>
        <v>0</v>
      </c>
      <c r="F46" s="924" t="s">
        <v>39</v>
      </c>
      <c r="G46" s="974">
        <f>'Attachment H-28A MAIT '!$I$233</f>
        <v>1</v>
      </c>
      <c r="H46" s="924">
        <f t="shared" si="6"/>
        <v>0</v>
      </c>
    </row>
    <row r="47" spans="1:8">
      <c r="A47" s="926" t="s">
        <v>1148</v>
      </c>
      <c r="B47" s="924" t="s">
        <v>1135</v>
      </c>
      <c r="C47" s="973">
        <v>0</v>
      </c>
      <c r="D47" s="973">
        <v>0</v>
      </c>
      <c r="E47" s="924">
        <f t="shared" si="5"/>
        <v>0</v>
      </c>
      <c r="F47" s="924" t="s">
        <v>39</v>
      </c>
      <c r="G47" s="974">
        <f>'Attachment H-28A MAIT '!$I$233</f>
        <v>1</v>
      </c>
      <c r="H47" s="924">
        <f t="shared" si="6"/>
        <v>0</v>
      </c>
    </row>
    <row r="48" spans="1:8">
      <c r="A48" s="926" t="s">
        <v>1149</v>
      </c>
      <c r="B48" s="924" t="s">
        <v>1137</v>
      </c>
      <c r="C48" s="973">
        <v>0</v>
      </c>
      <c r="D48" s="973">
        <v>0</v>
      </c>
      <c r="E48" s="924">
        <f t="shared" si="5"/>
        <v>0</v>
      </c>
      <c r="F48" s="924" t="s">
        <v>39</v>
      </c>
      <c r="G48" s="974">
        <f>'Attachment H-28A MAIT '!$I$233</f>
        <v>1</v>
      </c>
      <c r="H48" s="924">
        <f t="shared" si="6"/>
        <v>0</v>
      </c>
    </row>
    <row r="49" spans="1:8">
      <c r="A49" s="926" t="s">
        <v>1150</v>
      </c>
      <c r="B49" s="924" t="s">
        <v>1139</v>
      </c>
      <c r="C49" s="973">
        <v>0</v>
      </c>
      <c r="D49" s="973">
        <v>0</v>
      </c>
      <c r="E49" s="924">
        <f t="shared" si="5"/>
        <v>0</v>
      </c>
      <c r="F49" s="924" t="s">
        <v>39</v>
      </c>
      <c r="G49" s="974">
        <f>'Attachment H-28A MAIT '!$I$233</f>
        <v>1</v>
      </c>
      <c r="H49" s="924">
        <f t="shared" si="6"/>
        <v>0</v>
      </c>
    </row>
    <row r="50" spans="1:8">
      <c r="A50" s="926" t="s">
        <v>1151</v>
      </c>
      <c r="B50" s="973" t="s">
        <v>1152</v>
      </c>
      <c r="C50" s="973">
        <v>0</v>
      </c>
      <c r="D50" s="973">
        <v>0</v>
      </c>
      <c r="E50" s="924">
        <f>AVERAGE(C50:D50)</f>
        <v>0</v>
      </c>
      <c r="F50" s="924" t="s">
        <v>1095</v>
      </c>
      <c r="G50" s="924">
        <v>0</v>
      </c>
      <c r="H50" s="924">
        <f>G50*E50</f>
        <v>0</v>
      </c>
    </row>
    <row r="51" spans="1:8">
      <c r="A51" s="926" t="s">
        <v>1153</v>
      </c>
      <c r="B51" s="973" t="s">
        <v>1152</v>
      </c>
      <c r="C51" s="973">
        <v>0</v>
      </c>
      <c r="D51" s="973">
        <v>0</v>
      </c>
      <c r="E51" s="924">
        <f>AVERAGE(C51:D51)</f>
        <v>0</v>
      </c>
      <c r="F51" s="924" t="s">
        <v>1095</v>
      </c>
      <c r="G51" s="924">
        <v>0</v>
      </c>
      <c r="H51" s="960">
        <f>G51*E51</f>
        <v>0</v>
      </c>
    </row>
    <row r="52" spans="1:8">
      <c r="A52" s="926" t="s">
        <v>1154</v>
      </c>
      <c r="B52" s="924" t="s">
        <v>1155</v>
      </c>
      <c r="C52" s="923">
        <f>SUM(C44:C51)</f>
        <v>0</v>
      </c>
      <c r="D52" s="923">
        <f>SUM(D44:D51)</f>
        <v>0</v>
      </c>
      <c r="H52" s="924">
        <f>SUM(H44:H51)</f>
        <v>0</v>
      </c>
    </row>
    <row r="53" spans="1:8">
      <c r="A53" s="926" t="str">
        <f>IF(H53&lt;&gt;"",COUNTA($H$19:H53),"")</f>
        <v/>
      </c>
    </row>
    <row r="54" spans="1:8">
      <c r="A54" s="926" t="str">
        <f>IF(H54&lt;&gt;"",COUNTA($H$19:H54),"")</f>
        <v/>
      </c>
      <c r="B54" s="1372" t="s">
        <v>1156</v>
      </c>
      <c r="C54" s="1372"/>
      <c r="D54" s="1372"/>
      <c r="E54" s="1372"/>
      <c r="F54" s="1372"/>
      <c r="G54" s="1372"/>
      <c r="H54" s="1372"/>
    </row>
    <row r="55" spans="1:8">
      <c r="A55" s="926" t="s">
        <v>1157</v>
      </c>
      <c r="B55" s="924" t="s">
        <v>1129</v>
      </c>
      <c r="C55" s="973">
        <v>0</v>
      </c>
      <c r="D55" s="973">
        <v>0</v>
      </c>
      <c r="E55" s="1237">
        <f t="shared" ref="E55:E60" si="7">AVERAGE(C55:D55)</f>
        <v>0</v>
      </c>
      <c r="F55" s="924" t="s">
        <v>39</v>
      </c>
      <c r="G55" s="974">
        <f>'Attachment H-28A MAIT '!$I$233</f>
        <v>1</v>
      </c>
      <c r="H55" s="1237">
        <f t="shared" ref="H55:H60" si="8">G55*E55</f>
        <v>0</v>
      </c>
    </row>
    <row r="56" spans="1:8">
      <c r="A56" s="926" t="s">
        <v>1158</v>
      </c>
      <c r="B56" s="924" t="s">
        <v>1131</v>
      </c>
      <c r="C56" s="973">
        <v>0</v>
      </c>
      <c r="D56" s="973">
        <v>0</v>
      </c>
      <c r="E56" s="924">
        <f t="shared" si="7"/>
        <v>0</v>
      </c>
      <c r="F56" s="924" t="s">
        <v>39</v>
      </c>
      <c r="G56" s="974">
        <f>'Attachment H-28A MAIT '!$I$233</f>
        <v>1</v>
      </c>
      <c r="H56" s="1237">
        <f t="shared" si="8"/>
        <v>0</v>
      </c>
    </row>
    <row r="57" spans="1:8">
      <c r="A57" s="926" t="s">
        <v>1159</v>
      </c>
      <c r="B57" s="924" t="s">
        <v>1133</v>
      </c>
      <c r="C57" s="973">
        <v>0</v>
      </c>
      <c r="D57" s="973">
        <v>0</v>
      </c>
      <c r="E57" s="924">
        <f t="shared" si="7"/>
        <v>0</v>
      </c>
      <c r="F57" s="924" t="s">
        <v>39</v>
      </c>
      <c r="G57" s="974">
        <f>'Attachment H-28A MAIT '!$I$233</f>
        <v>1</v>
      </c>
      <c r="H57" s="1237">
        <f t="shared" si="8"/>
        <v>0</v>
      </c>
    </row>
    <row r="58" spans="1:8">
      <c r="A58" s="926" t="s">
        <v>1160</v>
      </c>
      <c r="B58" s="924" t="s">
        <v>1135</v>
      </c>
      <c r="C58" s="973">
        <v>0</v>
      </c>
      <c r="D58" s="973">
        <v>0</v>
      </c>
      <c r="E58" s="924">
        <f t="shared" si="7"/>
        <v>0</v>
      </c>
      <c r="F58" s="924" t="s">
        <v>39</v>
      </c>
      <c r="G58" s="974">
        <f>'Attachment H-28A MAIT '!$I$233</f>
        <v>1</v>
      </c>
      <c r="H58" s="1237">
        <f t="shared" si="8"/>
        <v>0</v>
      </c>
    </row>
    <row r="59" spans="1:8">
      <c r="A59" s="926" t="s">
        <v>1161</v>
      </c>
      <c r="B59" s="924" t="s">
        <v>1137</v>
      </c>
      <c r="C59" s="973">
        <v>0</v>
      </c>
      <c r="D59" s="973">
        <v>0</v>
      </c>
      <c r="E59" s="924">
        <f t="shared" si="7"/>
        <v>0</v>
      </c>
      <c r="F59" s="924" t="s">
        <v>39</v>
      </c>
      <c r="G59" s="974">
        <f>'Attachment H-28A MAIT '!$I$233</f>
        <v>1</v>
      </c>
      <c r="H59" s="1237">
        <f t="shared" si="8"/>
        <v>0</v>
      </c>
    </row>
    <row r="60" spans="1:8">
      <c r="A60" s="926" t="s">
        <v>1162</v>
      </c>
      <c r="B60" s="924" t="s">
        <v>1139</v>
      </c>
      <c r="C60" s="973">
        <v>0</v>
      </c>
      <c r="D60" s="973">
        <v>0</v>
      </c>
      <c r="E60" s="924">
        <f t="shared" si="7"/>
        <v>0</v>
      </c>
      <c r="F60" s="924" t="s">
        <v>39</v>
      </c>
      <c r="G60" s="974">
        <f>'Attachment H-28A MAIT '!$I$233</f>
        <v>1</v>
      </c>
      <c r="H60" s="1237">
        <f t="shared" si="8"/>
        <v>0</v>
      </c>
    </row>
    <row r="61" spans="1:8">
      <c r="A61" s="926" t="s">
        <v>1163</v>
      </c>
      <c r="B61" s="1304" t="s">
        <v>1330</v>
      </c>
      <c r="C61" s="1264">
        <v>172454</v>
      </c>
      <c r="D61" s="1264">
        <v>168188</v>
      </c>
      <c r="E61" s="1237">
        <f>AVERAGE(C61:D61)</f>
        <v>170321</v>
      </c>
      <c r="F61" s="924" t="s">
        <v>1095</v>
      </c>
      <c r="G61" s="924">
        <v>0</v>
      </c>
      <c r="H61" s="1237">
        <f>G61*E61</f>
        <v>0</v>
      </c>
    </row>
    <row r="62" spans="1:8">
      <c r="A62" s="926" t="s">
        <v>1165</v>
      </c>
      <c r="B62" s="973" t="s">
        <v>1164</v>
      </c>
      <c r="C62" s="973">
        <v>0</v>
      </c>
      <c r="D62" s="973">
        <v>0</v>
      </c>
      <c r="E62" s="924">
        <f>AVERAGE(C62:D62)</f>
        <v>0</v>
      </c>
      <c r="F62" s="924" t="s">
        <v>1095</v>
      </c>
      <c r="G62" s="924">
        <v>0</v>
      </c>
      <c r="H62" s="1239">
        <f>G62*E62</f>
        <v>0</v>
      </c>
    </row>
    <row r="63" spans="1:8">
      <c r="A63" s="926" t="s">
        <v>1166</v>
      </c>
      <c r="B63" s="924" t="s">
        <v>1167</v>
      </c>
      <c r="C63" s="1238">
        <f>SUM(C55:C62)</f>
        <v>172454</v>
      </c>
      <c r="D63" s="1238">
        <f>SUM(D55:D62)</f>
        <v>168188</v>
      </c>
      <c r="H63" s="1237">
        <f>SUM(H55:H62)</f>
        <v>0</v>
      </c>
    </row>
    <row r="64" spans="1:8">
      <c r="H64" s="1237"/>
    </row>
    <row r="65" spans="1:12">
      <c r="A65" s="924">
        <v>9</v>
      </c>
      <c r="B65" s="924" t="s">
        <v>1168</v>
      </c>
      <c r="C65" s="924">
        <f>C19+C27</f>
        <v>0</v>
      </c>
      <c r="D65" s="924">
        <f>D19+D27</f>
        <v>0</v>
      </c>
      <c r="E65" s="924">
        <f>AVERAGE(C65:D65)</f>
        <v>0</v>
      </c>
      <c r="F65" s="924" t="s">
        <v>60</v>
      </c>
      <c r="G65" s="974">
        <f>'Attachment H-28A MAIT '!$G$61</f>
        <v>1</v>
      </c>
      <c r="H65" s="1237">
        <f>E65*G65</f>
        <v>0</v>
      </c>
    </row>
    <row r="66" spans="1:12">
      <c r="A66" s="924">
        <v>10</v>
      </c>
      <c r="B66" s="924" t="s">
        <v>1169</v>
      </c>
      <c r="C66" s="924">
        <f>C25+C26+SUM(C33:C38)+SUM(C44:C49)+SUM(C55:C60)</f>
        <v>0</v>
      </c>
      <c r="D66" s="1237">
        <f>D25+D26+SUM(D33:D38)+SUM(D44:D49)+SUM(D55:D60)</f>
        <v>0</v>
      </c>
      <c r="E66" s="1237">
        <f>AVERAGE(C66:D66)</f>
        <v>0</v>
      </c>
      <c r="F66" s="924" t="s">
        <v>39</v>
      </c>
      <c r="G66" s="974">
        <f>'Attachment H-28A MAIT '!$I$233</f>
        <v>1</v>
      </c>
      <c r="H66" s="1237">
        <f>E66*G66</f>
        <v>0</v>
      </c>
    </row>
    <row r="68" spans="1:12">
      <c r="A68" s="924" t="s">
        <v>261</v>
      </c>
    </row>
    <row r="69" spans="1:12">
      <c r="A69" s="975" t="s">
        <v>260</v>
      </c>
      <c r="B69" s="969" t="s">
        <v>891</v>
      </c>
    </row>
    <row r="70" spans="1:12">
      <c r="A70" s="975" t="s">
        <v>274</v>
      </c>
      <c r="B70" s="924" t="s">
        <v>1170</v>
      </c>
      <c r="C70" s="923"/>
      <c r="D70" s="923"/>
      <c r="E70" s="923"/>
      <c r="F70" s="923"/>
      <c r="G70" s="923"/>
    </row>
    <row r="71" spans="1:12">
      <c r="A71" s="975" t="s">
        <v>345</v>
      </c>
      <c r="B71" s="924" t="s">
        <v>1171</v>
      </c>
      <c r="C71" s="923"/>
      <c r="D71" s="923"/>
      <c r="E71" s="923"/>
      <c r="F71" s="923"/>
      <c r="G71" s="923"/>
    </row>
    <row r="72" spans="1:12" ht="33.049999999999997" customHeight="1">
      <c r="A72" s="1262"/>
      <c r="B72" s="1371"/>
      <c r="C72" s="1371"/>
      <c r="D72" s="1371"/>
      <c r="E72" s="1371"/>
      <c r="F72" s="1371"/>
      <c r="G72" s="1371"/>
      <c r="H72" s="1371"/>
      <c r="I72" s="1261"/>
      <c r="J72" s="1261"/>
      <c r="K72" s="1261"/>
      <c r="L72" s="1261"/>
    </row>
  </sheetData>
  <mergeCells count="8">
    <mergeCell ref="B72:H72"/>
    <mergeCell ref="B54:H54"/>
    <mergeCell ref="F9:G9"/>
    <mergeCell ref="F17:G17"/>
    <mergeCell ref="B18:H18"/>
    <mergeCell ref="B24:H24"/>
    <mergeCell ref="B32:H32"/>
    <mergeCell ref="B43:H43"/>
  </mergeCells>
  <pageMargins left="0.7" right="0.7" top="0.75" bottom="0.75" header="0.3" footer="0.3"/>
  <pageSetup scale="45"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7"/>
  <dimension ref="A1:M18"/>
  <sheetViews>
    <sheetView view="pageBreakPreview" zoomScale="90" zoomScaleNormal="100" zoomScaleSheetLayoutView="90" workbookViewId="0">
      <selection activeCell="L80" sqref="L80"/>
    </sheetView>
  </sheetViews>
  <sheetFormatPr defaultRowHeight="15.65"/>
  <cols>
    <col min="1" max="1" width="2.453125" style="296" customWidth="1"/>
    <col min="2" max="2" width="45.36328125" style="296" customWidth="1"/>
    <col min="3" max="3" width="13.453125" style="296" bestFit="1" customWidth="1"/>
    <col min="4" max="4" width="16.08984375" style="296" customWidth="1"/>
    <col min="5" max="5" width="11.1796875" style="296" customWidth="1"/>
    <col min="6" max="6" width="12.36328125" style="296" customWidth="1"/>
    <col min="7" max="7" width="17.6328125" style="296" customWidth="1"/>
    <col min="8" max="13" width="8.90625" style="296"/>
  </cols>
  <sheetData>
    <row r="1" spans="1:13">
      <c r="F1" s="814"/>
      <c r="G1" s="814" t="s">
        <v>819</v>
      </c>
    </row>
    <row r="2" spans="1:13">
      <c r="F2" s="814"/>
      <c r="G2" s="814" t="s">
        <v>221</v>
      </c>
    </row>
    <row r="3" spans="1:13">
      <c r="F3" s="815"/>
      <c r="G3" s="815" t="str">
        <f>'Attachment 1 - Sched 1A'!$J$3</f>
        <v>For the 12 months ended 12/31/2019</v>
      </c>
    </row>
    <row r="4" spans="1:13">
      <c r="C4" s="813" t="s">
        <v>820</v>
      </c>
      <c r="F4" s="815"/>
    </row>
    <row r="5" spans="1:13">
      <c r="B5" s="605" t="s">
        <v>718</v>
      </c>
      <c r="C5" s="605" t="s">
        <v>719</v>
      </c>
      <c r="D5" s="605" t="s">
        <v>720</v>
      </c>
      <c r="E5" s="605" t="s">
        <v>721</v>
      </c>
      <c r="F5" s="822" t="s">
        <v>722</v>
      </c>
      <c r="G5" s="605" t="s">
        <v>723</v>
      </c>
    </row>
    <row r="6" spans="1:13">
      <c r="A6" s="55"/>
      <c r="B6"/>
      <c r="C6"/>
      <c r="E6" s="605" t="s">
        <v>1355</v>
      </c>
      <c r="F6" s="605" t="s">
        <v>606</v>
      </c>
      <c r="G6"/>
      <c r="H6"/>
      <c r="I6"/>
      <c r="J6"/>
      <c r="K6"/>
      <c r="L6"/>
      <c r="M6"/>
    </row>
    <row r="7" spans="1:13">
      <c r="A7"/>
      <c r="B7"/>
      <c r="C7"/>
      <c r="D7" s="978" t="s">
        <v>714</v>
      </c>
      <c r="E7" s="979">
        <v>2019</v>
      </c>
      <c r="F7" s="979">
        <v>2019</v>
      </c>
      <c r="G7" s="980" t="s">
        <v>223</v>
      </c>
      <c r="H7"/>
      <c r="I7"/>
      <c r="J7"/>
      <c r="K7"/>
      <c r="L7"/>
      <c r="M7"/>
    </row>
    <row r="8" spans="1:13">
      <c r="A8" s="56">
        <v>1</v>
      </c>
      <c r="B8" s="296" t="s">
        <v>715</v>
      </c>
      <c r="C8" s="53" t="s">
        <v>260</v>
      </c>
      <c r="D8" s="1240">
        <f>(E8+F8)/2</f>
        <v>598660</v>
      </c>
      <c r="E8" s="859">
        <v>598660</v>
      </c>
      <c r="F8" s="859">
        <v>598660</v>
      </c>
      <c r="G8" s="296" t="s">
        <v>1205</v>
      </c>
      <c r="H8"/>
      <c r="I8"/>
      <c r="J8"/>
      <c r="K8"/>
      <c r="L8"/>
      <c r="M8"/>
    </row>
    <row r="9" spans="1:13">
      <c r="A9" s="56">
        <v>2</v>
      </c>
      <c r="B9" s="296" t="s">
        <v>414</v>
      </c>
      <c r="C9" s="53" t="s">
        <v>274</v>
      </c>
      <c r="D9" s="1278">
        <f>(E9+F9)/2</f>
        <v>-10870</v>
      </c>
      <c r="E9" s="858">
        <v>-10870</v>
      </c>
      <c r="F9" s="858">
        <v>-10870</v>
      </c>
      <c r="G9" s="296" t="s">
        <v>1205</v>
      </c>
    </row>
    <row r="10" spans="1:13">
      <c r="A10" s="56">
        <v>3</v>
      </c>
      <c r="B10" s="296" t="s">
        <v>413</v>
      </c>
      <c r="C10" s="53" t="s">
        <v>274</v>
      </c>
      <c r="D10" s="981">
        <f>(E10+F10)/2</f>
        <v>0</v>
      </c>
      <c r="E10" s="858"/>
      <c r="F10" s="859"/>
      <c r="G10" s="296" t="s">
        <v>1205</v>
      </c>
    </row>
    <row r="14" spans="1:13">
      <c r="A14" s="296" t="s">
        <v>261</v>
      </c>
    </row>
    <row r="15" spans="1:13" ht="33.85" customHeight="1">
      <c r="A15" s="297" t="s">
        <v>260</v>
      </c>
      <c r="B15" s="1375" t="s">
        <v>415</v>
      </c>
      <c r="C15" s="1375"/>
      <c r="D15" s="1375"/>
      <c r="E15" s="1375"/>
      <c r="F15" s="1375"/>
    </row>
    <row r="16" spans="1:13" ht="63.7" customHeight="1">
      <c r="A16" s="297" t="s">
        <v>274</v>
      </c>
      <c r="B16" s="1375" t="s">
        <v>443</v>
      </c>
      <c r="C16" s="1375"/>
      <c r="D16" s="1375"/>
      <c r="E16" s="1375"/>
      <c r="F16" s="1375"/>
    </row>
    <row r="17" spans="1:8" ht="34.450000000000003" customHeight="1">
      <c r="A17" s="806" t="s">
        <v>345</v>
      </c>
      <c r="B17" s="1375" t="s">
        <v>1178</v>
      </c>
      <c r="C17" s="1375"/>
      <c r="D17" s="1375"/>
      <c r="E17" s="1375"/>
      <c r="F17" s="1375"/>
    </row>
    <row r="18" spans="1:8" ht="15.85" customHeight="1">
      <c r="A18" s="1262"/>
      <c r="B18" s="1376"/>
      <c r="C18" s="1376"/>
      <c r="D18" s="1376"/>
      <c r="E18" s="1376"/>
      <c r="F18" s="1376"/>
      <c r="G18" s="1376"/>
      <c r="H18" s="1263"/>
    </row>
  </sheetData>
  <mergeCells count="4">
    <mergeCell ref="B16:F16"/>
    <mergeCell ref="B15:F15"/>
    <mergeCell ref="B17:F17"/>
    <mergeCell ref="B18:G18"/>
  </mergeCells>
  <pageMargins left="0.7" right="0.7" top="0.75" bottom="0.75" header="0.3" footer="0.3"/>
  <pageSetup scale="63"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3"/>
  <dimension ref="A1:I24"/>
  <sheetViews>
    <sheetView showGridLines="0" view="pageBreakPreview" zoomScale="85" zoomScaleNormal="100" zoomScaleSheetLayoutView="85" workbookViewId="0">
      <selection activeCell="L80" sqref="L80"/>
    </sheetView>
  </sheetViews>
  <sheetFormatPr defaultRowHeight="15.05"/>
  <cols>
    <col min="2" max="3" width="26.90625" customWidth="1"/>
    <col min="4" max="4" width="10.1796875" customWidth="1"/>
    <col min="5" max="5" width="12.90625" bestFit="1" customWidth="1"/>
    <col min="6" max="6" width="23.81640625" bestFit="1" customWidth="1"/>
    <col min="7" max="7" width="10.08984375" customWidth="1"/>
    <col min="8" max="8" width="23.36328125" bestFit="1" customWidth="1"/>
  </cols>
  <sheetData>
    <row r="1" spans="1:9" ht="15.65">
      <c r="I1" s="814" t="s">
        <v>882</v>
      </c>
    </row>
    <row r="2" spans="1:9" ht="15.65">
      <c r="I2" s="814" t="s">
        <v>221</v>
      </c>
    </row>
    <row r="3" spans="1:9" ht="15.65">
      <c r="I3" s="815" t="str">
        <f>'Attachment 1 - Sched 1A'!$J$3</f>
        <v>For the 12 months ended 12/31/2019</v>
      </c>
    </row>
    <row r="4" spans="1:9">
      <c r="E4" t="s">
        <v>930</v>
      </c>
    </row>
    <row r="5" spans="1:9" ht="15.65">
      <c r="A5" s="55"/>
      <c r="B5" s="605" t="s">
        <v>718</v>
      </c>
      <c r="C5" s="605" t="s">
        <v>719</v>
      </c>
      <c r="D5" s="605" t="s">
        <v>720</v>
      </c>
      <c r="E5" s="605" t="s">
        <v>721</v>
      </c>
      <c r="F5" s="822" t="s">
        <v>722</v>
      </c>
      <c r="G5" s="822" t="s">
        <v>723</v>
      </c>
      <c r="H5" s="822" t="s">
        <v>724</v>
      </c>
    </row>
    <row r="6" spans="1:9" ht="50.75">
      <c r="A6" s="314">
        <v>1</v>
      </c>
      <c r="B6" s="315" t="s">
        <v>418</v>
      </c>
      <c r="C6" s="310" t="s">
        <v>375</v>
      </c>
      <c r="D6" s="316" t="s">
        <v>419</v>
      </c>
      <c r="E6" s="317" t="s">
        <v>420</v>
      </c>
      <c r="F6" s="318" t="s">
        <v>518</v>
      </c>
      <c r="G6" s="318" t="s">
        <v>422</v>
      </c>
      <c r="H6" s="319" t="s">
        <v>423</v>
      </c>
    </row>
    <row r="7" spans="1:9">
      <c r="A7" s="314">
        <f t="shared" ref="A7:A20" si="0">A6+1</f>
        <v>2</v>
      </c>
      <c r="B7" s="879" t="s">
        <v>1359</v>
      </c>
      <c r="C7" s="305" t="s">
        <v>516</v>
      </c>
      <c r="D7" s="663">
        <v>25</v>
      </c>
      <c r="E7" s="664"/>
      <c r="F7" s="665"/>
      <c r="G7" s="665"/>
      <c r="H7" s="1241">
        <v>526317</v>
      </c>
    </row>
    <row r="8" spans="1:9">
      <c r="A8" s="314">
        <f t="shared" si="0"/>
        <v>3</v>
      </c>
      <c r="B8" s="309" t="s">
        <v>425</v>
      </c>
      <c r="C8" s="310" t="s">
        <v>1013</v>
      </c>
      <c r="D8" s="306">
        <f>D7-1</f>
        <v>24</v>
      </c>
      <c r="E8" s="307">
        <f>H7</f>
        <v>526317</v>
      </c>
      <c r="F8" s="1242">
        <f>E8/D8</f>
        <v>21929.875</v>
      </c>
      <c r="G8" s="308">
        <v>0</v>
      </c>
      <c r="H8" s="1242">
        <f>E8-F8+G8</f>
        <v>504387.125</v>
      </c>
    </row>
    <row r="9" spans="1:9">
      <c r="A9" s="314">
        <f t="shared" si="0"/>
        <v>4</v>
      </c>
      <c r="B9" s="309" t="s">
        <v>236</v>
      </c>
      <c r="C9" s="310" t="s">
        <v>1013</v>
      </c>
      <c r="D9" s="306">
        <f t="shared" ref="D9:D19" si="1">D8-1</f>
        <v>23</v>
      </c>
      <c r="E9" s="307">
        <f>H8</f>
        <v>504387.125</v>
      </c>
      <c r="F9" s="1242">
        <f>E9/D9</f>
        <v>21929.875</v>
      </c>
      <c r="G9" s="308">
        <v>0</v>
      </c>
      <c r="H9" s="1242">
        <f>E9-F9+G9</f>
        <v>482457.25</v>
      </c>
    </row>
    <row r="10" spans="1:9">
      <c r="A10" s="314">
        <f t="shared" si="0"/>
        <v>5</v>
      </c>
      <c r="B10" s="309" t="s">
        <v>237</v>
      </c>
      <c r="C10" s="310" t="s">
        <v>1013</v>
      </c>
      <c r="D10" s="306">
        <f t="shared" si="1"/>
        <v>22</v>
      </c>
      <c r="E10" s="307">
        <f t="shared" ref="E10:E19" si="2">H9</f>
        <v>482457.25</v>
      </c>
      <c r="F10" s="1242">
        <f t="shared" ref="F10:F19" si="3">E10/D10</f>
        <v>21929.875</v>
      </c>
      <c r="G10" s="308">
        <v>0</v>
      </c>
      <c r="H10" s="1242">
        <f t="shared" ref="H10:H19" si="4">E10-F10+G10</f>
        <v>460527.375</v>
      </c>
    </row>
    <row r="11" spans="1:9">
      <c r="A11" s="314">
        <f t="shared" si="0"/>
        <v>6</v>
      </c>
      <c r="B11" s="309" t="s">
        <v>238</v>
      </c>
      <c r="C11" s="310" t="s">
        <v>1013</v>
      </c>
      <c r="D11" s="306">
        <f t="shared" si="1"/>
        <v>21</v>
      </c>
      <c r="E11" s="307">
        <f t="shared" si="2"/>
        <v>460527.375</v>
      </c>
      <c r="F11" s="1242">
        <f t="shared" si="3"/>
        <v>21929.875</v>
      </c>
      <c r="G11" s="308">
        <v>0</v>
      </c>
      <c r="H11" s="1242">
        <f t="shared" si="4"/>
        <v>438597.5</v>
      </c>
    </row>
    <row r="12" spans="1:9">
      <c r="A12" s="314">
        <f t="shared" si="0"/>
        <v>7</v>
      </c>
      <c r="B12" s="309" t="s">
        <v>239</v>
      </c>
      <c r="C12" s="310" t="s">
        <v>1013</v>
      </c>
      <c r="D12" s="306">
        <f t="shared" si="1"/>
        <v>20</v>
      </c>
      <c r="E12" s="307">
        <f t="shared" si="2"/>
        <v>438597.5</v>
      </c>
      <c r="F12" s="1242">
        <f t="shared" si="3"/>
        <v>21929.875</v>
      </c>
      <c r="G12" s="308">
        <v>0</v>
      </c>
      <c r="H12" s="1242">
        <f t="shared" si="4"/>
        <v>416667.625</v>
      </c>
    </row>
    <row r="13" spans="1:9">
      <c r="A13" s="314">
        <f t="shared" si="0"/>
        <v>8</v>
      </c>
      <c r="B13" s="309" t="s">
        <v>427</v>
      </c>
      <c r="C13" s="310" t="s">
        <v>1013</v>
      </c>
      <c r="D13" s="306">
        <f t="shared" si="1"/>
        <v>19</v>
      </c>
      <c r="E13" s="307">
        <f t="shared" si="2"/>
        <v>416667.625</v>
      </c>
      <c r="F13" s="1242">
        <f t="shared" si="3"/>
        <v>21929.875</v>
      </c>
      <c r="G13" s="308">
        <v>0</v>
      </c>
      <c r="H13" s="1242">
        <f t="shared" si="4"/>
        <v>394737.75</v>
      </c>
    </row>
    <row r="14" spans="1:9">
      <c r="A14" s="314">
        <f t="shared" si="0"/>
        <v>9</v>
      </c>
      <c r="B14" s="309" t="s">
        <v>240</v>
      </c>
      <c r="C14" s="310" t="s">
        <v>1013</v>
      </c>
      <c r="D14" s="306">
        <f t="shared" si="1"/>
        <v>18</v>
      </c>
      <c r="E14" s="307">
        <f t="shared" si="2"/>
        <v>394737.75</v>
      </c>
      <c r="F14" s="1242">
        <f>E14/D14</f>
        <v>21929.875</v>
      </c>
      <c r="G14" s="308">
        <v>0</v>
      </c>
      <c r="H14" s="1242">
        <f t="shared" si="4"/>
        <v>372807.875</v>
      </c>
    </row>
    <row r="15" spans="1:9">
      <c r="A15" s="314">
        <f t="shared" si="0"/>
        <v>10</v>
      </c>
      <c r="B15" s="309" t="s">
        <v>241</v>
      </c>
      <c r="C15" s="310" t="s">
        <v>1013</v>
      </c>
      <c r="D15" s="306">
        <f t="shared" si="1"/>
        <v>17</v>
      </c>
      <c r="E15" s="307">
        <f t="shared" si="2"/>
        <v>372807.875</v>
      </c>
      <c r="F15" s="1242">
        <f t="shared" si="3"/>
        <v>21929.875</v>
      </c>
      <c r="G15" s="308">
        <v>0</v>
      </c>
      <c r="H15" s="1242">
        <f>E15-F15+G15</f>
        <v>350878</v>
      </c>
    </row>
    <row r="16" spans="1:9">
      <c r="A16" s="314">
        <f t="shared" si="0"/>
        <v>11</v>
      </c>
      <c r="B16" s="309" t="s">
        <v>242</v>
      </c>
      <c r="C16" s="310" t="s">
        <v>1013</v>
      </c>
      <c r="D16" s="306">
        <f t="shared" si="1"/>
        <v>16</v>
      </c>
      <c r="E16" s="307">
        <f t="shared" si="2"/>
        <v>350878</v>
      </c>
      <c r="F16" s="1242">
        <f t="shared" si="3"/>
        <v>21929.875</v>
      </c>
      <c r="G16" s="308">
        <v>0</v>
      </c>
      <c r="H16" s="1242">
        <f t="shared" si="4"/>
        <v>328948.125</v>
      </c>
    </row>
    <row r="17" spans="1:9">
      <c r="A17" s="314">
        <f t="shared" si="0"/>
        <v>12</v>
      </c>
      <c r="B17" s="309" t="s">
        <v>428</v>
      </c>
      <c r="C17" s="310" t="s">
        <v>1013</v>
      </c>
      <c r="D17" s="306">
        <f t="shared" si="1"/>
        <v>15</v>
      </c>
      <c r="E17" s="307">
        <f t="shared" si="2"/>
        <v>328948.125</v>
      </c>
      <c r="F17" s="1242">
        <f t="shared" si="3"/>
        <v>21929.875</v>
      </c>
      <c r="G17" s="308">
        <v>0</v>
      </c>
      <c r="H17" s="1242">
        <f t="shared" si="4"/>
        <v>307018.25</v>
      </c>
    </row>
    <row r="18" spans="1:9">
      <c r="A18" s="314">
        <f t="shared" si="0"/>
        <v>13</v>
      </c>
      <c r="B18" s="309" t="s">
        <v>243</v>
      </c>
      <c r="C18" s="310" t="s">
        <v>1013</v>
      </c>
      <c r="D18" s="306">
        <f t="shared" si="1"/>
        <v>14</v>
      </c>
      <c r="E18" s="307">
        <f t="shared" si="2"/>
        <v>307018.25</v>
      </c>
      <c r="F18" s="1242">
        <f t="shared" si="3"/>
        <v>21929.875</v>
      </c>
      <c r="G18" s="308">
        <v>0</v>
      </c>
      <c r="H18" s="1242">
        <f t="shared" si="4"/>
        <v>285088.375</v>
      </c>
    </row>
    <row r="19" spans="1:9" ht="16.899999999999999">
      <c r="A19" s="314">
        <f t="shared" si="0"/>
        <v>14</v>
      </c>
      <c r="B19" s="879" t="s">
        <v>1402</v>
      </c>
      <c r="C19" s="311" t="s">
        <v>517</v>
      </c>
      <c r="D19" s="306">
        <f t="shared" si="1"/>
        <v>13</v>
      </c>
      <c r="E19" s="307">
        <f t="shared" si="2"/>
        <v>285088.375</v>
      </c>
      <c r="F19" s="1269">
        <f t="shared" si="3"/>
        <v>21929.875</v>
      </c>
      <c r="G19" s="308">
        <v>0</v>
      </c>
      <c r="H19" s="1243">
        <f t="shared" si="4"/>
        <v>263158.5</v>
      </c>
    </row>
    <row r="20" spans="1:9" ht="15.65" thickBot="1">
      <c r="A20" s="314">
        <f t="shared" si="0"/>
        <v>15</v>
      </c>
      <c r="B20" s="312" t="s">
        <v>1368</v>
      </c>
      <c r="C20" s="310" t="str">
        <f>"(sum lines "&amp;A7&amp;"-"&amp;A19&amp;") /13"</f>
        <v>(sum lines 2-14) /13</v>
      </c>
      <c r="D20" s="313"/>
      <c r="E20" s="313"/>
      <c r="F20" s="1244">
        <f>SUM(F7:F19)</f>
        <v>263158.5</v>
      </c>
      <c r="G20" s="308"/>
      <c r="H20" s="1244">
        <f>SUM(H7:H19)/13</f>
        <v>394737.75</v>
      </c>
    </row>
    <row r="21" spans="1:9" ht="15.65" thickTop="1">
      <c r="A21" s="314"/>
      <c r="B21" s="667"/>
      <c r="C21" s="668"/>
      <c r="D21" s="669"/>
      <c r="E21" s="669"/>
      <c r="F21" s="670" t="s">
        <v>1177</v>
      </c>
      <c r="G21" s="308"/>
      <c r="H21" s="321" t="s">
        <v>817</v>
      </c>
    </row>
    <row r="23" spans="1:9" ht="34.450000000000003" customHeight="1">
      <c r="A23" s="1262"/>
      <c r="B23" s="1371"/>
      <c r="C23" s="1371"/>
      <c r="D23" s="1371"/>
      <c r="E23" s="1371"/>
      <c r="F23" s="1371"/>
      <c r="G23" s="1371"/>
      <c r="H23" s="1371"/>
      <c r="I23" s="1371"/>
    </row>
    <row r="24" spans="1:9">
      <c r="A24" s="671"/>
      <c r="B24" s="1377"/>
      <c r="C24" s="1377"/>
      <c r="D24" s="1377"/>
      <c r="E24" s="1377"/>
      <c r="F24" s="1377"/>
      <c r="G24" s="1377"/>
      <c r="H24" s="1377"/>
      <c r="I24" s="1377"/>
    </row>
  </sheetData>
  <mergeCells count="2">
    <mergeCell ref="B24:I24"/>
    <mergeCell ref="B23:I23"/>
  </mergeCells>
  <pageMargins left="0.7" right="0.7" top="0.75" bottom="0.75" header="0.3" footer="0.3"/>
  <pageSetup scale="57"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4"/>
  <dimension ref="A1:I24"/>
  <sheetViews>
    <sheetView showGridLines="0" view="pageBreakPreview" zoomScale="85" zoomScaleNormal="100" zoomScaleSheetLayoutView="85" workbookViewId="0">
      <selection activeCell="L80" sqref="L80"/>
    </sheetView>
  </sheetViews>
  <sheetFormatPr defaultRowHeight="15.05"/>
  <cols>
    <col min="2" max="2" width="27.6328125" customWidth="1"/>
    <col min="3" max="3" width="26.54296875" customWidth="1"/>
    <col min="4" max="4" width="11.08984375" customWidth="1"/>
    <col min="5" max="5" width="12.90625" bestFit="1" customWidth="1"/>
    <col min="6" max="6" width="23.81640625" bestFit="1" customWidth="1"/>
    <col min="7" max="7" width="9.54296875" customWidth="1"/>
    <col min="8" max="8" width="23.36328125" bestFit="1" customWidth="1"/>
    <col min="10" max="10" width="12.36328125" bestFit="1" customWidth="1"/>
  </cols>
  <sheetData>
    <row r="1" spans="1:9" ht="15.65">
      <c r="I1" s="814" t="s">
        <v>883</v>
      </c>
    </row>
    <row r="2" spans="1:9" ht="15.65">
      <c r="I2" s="814" t="s">
        <v>221</v>
      </c>
    </row>
    <row r="3" spans="1:9" ht="15.65">
      <c r="I3" s="815" t="str">
        <f>'Attachment 1 - Sched 1A'!$J$3</f>
        <v>For the 12 months ended 12/31/2019</v>
      </c>
    </row>
    <row r="4" spans="1:9">
      <c r="E4" t="s">
        <v>884</v>
      </c>
    </row>
    <row r="5" spans="1:9" ht="15.65">
      <c r="A5" s="55"/>
      <c r="B5" s="605" t="s">
        <v>718</v>
      </c>
      <c r="C5" s="605" t="s">
        <v>719</v>
      </c>
      <c r="D5" s="605" t="s">
        <v>720</v>
      </c>
      <c r="E5" s="605" t="s">
        <v>721</v>
      </c>
      <c r="F5" s="822" t="s">
        <v>722</v>
      </c>
      <c r="G5" s="822" t="s">
        <v>723</v>
      </c>
      <c r="H5" s="822" t="s">
        <v>724</v>
      </c>
    </row>
    <row r="6" spans="1:9" ht="50.75">
      <c r="A6" s="314">
        <v>1</v>
      </c>
      <c r="B6" s="315" t="s">
        <v>418</v>
      </c>
      <c r="C6" s="310" t="s">
        <v>375</v>
      </c>
      <c r="D6" s="316" t="s">
        <v>419</v>
      </c>
      <c r="E6" s="317" t="s">
        <v>420</v>
      </c>
      <c r="F6" s="318" t="s">
        <v>518</v>
      </c>
      <c r="G6" s="318" t="s">
        <v>422</v>
      </c>
      <c r="H6" s="319" t="s">
        <v>423</v>
      </c>
    </row>
    <row r="7" spans="1:9">
      <c r="A7" s="314">
        <f t="shared" ref="A7:A20" si="0">A6+1</f>
        <v>2</v>
      </c>
      <c r="B7" s="879" t="s">
        <v>1359</v>
      </c>
      <c r="C7" s="305" t="s">
        <v>516</v>
      </c>
      <c r="D7" s="663">
        <v>73</v>
      </c>
      <c r="E7" s="664"/>
      <c r="F7" s="665"/>
      <c r="G7" s="665"/>
      <c r="H7" s="1241">
        <v>3583482</v>
      </c>
    </row>
    <row r="8" spans="1:9">
      <c r="A8" s="314">
        <f t="shared" si="0"/>
        <v>3</v>
      </c>
      <c r="B8" s="309" t="s">
        <v>425</v>
      </c>
      <c r="C8" s="310" t="s">
        <v>1013</v>
      </c>
      <c r="D8" s="306">
        <f>D7-1</f>
        <v>72</v>
      </c>
      <c r="E8" s="307">
        <f>H7</f>
        <v>3583482</v>
      </c>
      <c r="F8" s="1242">
        <f>E8/D8</f>
        <v>49770.583333333336</v>
      </c>
      <c r="G8" s="308">
        <v>0</v>
      </c>
      <c r="H8" s="1242">
        <f t="shared" ref="H8:H19" si="1">E8-F8+G8</f>
        <v>3533711.4166666665</v>
      </c>
    </row>
    <row r="9" spans="1:9">
      <c r="A9" s="314">
        <f t="shared" si="0"/>
        <v>4</v>
      </c>
      <c r="B9" s="309" t="s">
        <v>236</v>
      </c>
      <c r="C9" s="310" t="s">
        <v>1013</v>
      </c>
      <c r="D9" s="306">
        <f t="shared" ref="D9:D19" si="2">D8-1</f>
        <v>71</v>
      </c>
      <c r="E9" s="307">
        <f t="shared" ref="E9:E19" si="3">H8</f>
        <v>3533711.4166666665</v>
      </c>
      <c r="F9" s="1242">
        <f t="shared" ref="F9:F19" si="4">E9/D9</f>
        <v>49770.583333333328</v>
      </c>
      <c r="G9" s="308">
        <v>0</v>
      </c>
      <c r="H9" s="1242">
        <f t="shared" si="1"/>
        <v>3483940.833333333</v>
      </c>
    </row>
    <row r="10" spans="1:9">
      <c r="A10" s="314">
        <f t="shared" si="0"/>
        <v>5</v>
      </c>
      <c r="B10" s="309" t="s">
        <v>237</v>
      </c>
      <c r="C10" s="310" t="s">
        <v>1013</v>
      </c>
      <c r="D10" s="306">
        <f t="shared" si="2"/>
        <v>70</v>
      </c>
      <c r="E10" s="307">
        <f t="shared" si="3"/>
        <v>3483940.833333333</v>
      </c>
      <c r="F10" s="1242">
        <f t="shared" si="4"/>
        <v>49770.583333333328</v>
      </c>
      <c r="G10" s="308">
        <v>0</v>
      </c>
      <c r="H10" s="1242">
        <f t="shared" si="1"/>
        <v>3434170.2499999995</v>
      </c>
    </row>
    <row r="11" spans="1:9">
      <c r="A11" s="314">
        <f t="shared" si="0"/>
        <v>6</v>
      </c>
      <c r="B11" s="309" t="s">
        <v>238</v>
      </c>
      <c r="C11" s="310" t="s">
        <v>1013</v>
      </c>
      <c r="D11" s="306">
        <f t="shared" si="2"/>
        <v>69</v>
      </c>
      <c r="E11" s="307">
        <f t="shared" si="3"/>
        <v>3434170.2499999995</v>
      </c>
      <c r="F11" s="1242">
        <f t="shared" si="4"/>
        <v>49770.583333333328</v>
      </c>
      <c r="G11" s="308">
        <v>0</v>
      </c>
      <c r="H11" s="1242">
        <f t="shared" si="1"/>
        <v>3384399.666666666</v>
      </c>
    </row>
    <row r="12" spans="1:9">
      <c r="A12" s="314">
        <f t="shared" si="0"/>
        <v>7</v>
      </c>
      <c r="B12" s="309" t="s">
        <v>239</v>
      </c>
      <c r="C12" s="310" t="s">
        <v>1013</v>
      </c>
      <c r="D12" s="306">
        <f t="shared" si="2"/>
        <v>68</v>
      </c>
      <c r="E12" s="307">
        <f t="shared" si="3"/>
        <v>3384399.666666666</v>
      </c>
      <c r="F12" s="1242">
        <f t="shared" si="4"/>
        <v>49770.583333333321</v>
      </c>
      <c r="G12" s="308">
        <v>0</v>
      </c>
      <c r="H12" s="1242">
        <f t="shared" si="1"/>
        <v>3334629.0833333326</v>
      </c>
    </row>
    <row r="13" spans="1:9">
      <c r="A13" s="314">
        <f t="shared" si="0"/>
        <v>8</v>
      </c>
      <c r="B13" s="309" t="s">
        <v>427</v>
      </c>
      <c r="C13" s="310" t="s">
        <v>1013</v>
      </c>
      <c r="D13" s="306">
        <f t="shared" si="2"/>
        <v>67</v>
      </c>
      <c r="E13" s="307">
        <f t="shared" si="3"/>
        <v>3334629.0833333326</v>
      </c>
      <c r="F13" s="1242">
        <f t="shared" si="4"/>
        <v>49770.583333333321</v>
      </c>
      <c r="G13" s="308">
        <v>0</v>
      </c>
      <c r="H13" s="1242">
        <f t="shared" si="1"/>
        <v>3284858.4999999991</v>
      </c>
    </row>
    <row r="14" spans="1:9">
      <c r="A14" s="314">
        <f t="shared" si="0"/>
        <v>9</v>
      </c>
      <c r="B14" s="309" t="s">
        <v>240</v>
      </c>
      <c r="C14" s="310" t="s">
        <v>1013</v>
      </c>
      <c r="D14" s="306">
        <f t="shared" si="2"/>
        <v>66</v>
      </c>
      <c r="E14" s="307">
        <f t="shared" si="3"/>
        <v>3284858.4999999991</v>
      </c>
      <c r="F14" s="1242">
        <f t="shared" si="4"/>
        <v>49770.583333333321</v>
      </c>
      <c r="G14" s="308">
        <v>0</v>
      </c>
      <c r="H14" s="1242">
        <f t="shared" si="1"/>
        <v>3235087.9166666656</v>
      </c>
    </row>
    <row r="15" spans="1:9">
      <c r="A15" s="314">
        <f t="shared" si="0"/>
        <v>10</v>
      </c>
      <c r="B15" s="309" t="s">
        <v>241</v>
      </c>
      <c r="C15" s="310" t="s">
        <v>1013</v>
      </c>
      <c r="D15" s="306">
        <f t="shared" si="2"/>
        <v>65</v>
      </c>
      <c r="E15" s="307">
        <f t="shared" si="3"/>
        <v>3235087.9166666656</v>
      </c>
      <c r="F15" s="1242">
        <f t="shared" si="4"/>
        <v>49770.583333333314</v>
      </c>
      <c r="G15" s="308">
        <v>0</v>
      </c>
      <c r="H15" s="1242">
        <f t="shared" si="1"/>
        <v>3185317.3333333321</v>
      </c>
    </row>
    <row r="16" spans="1:9">
      <c r="A16" s="314">
        <f t="shared" si="0"/>
        <v>11</v>
      </c>
      <c r="B16" s="309" t="s">
        <v>242</v>
      </c>
      <c r="C16" s="310" t="s">
        <v>1013</v>
      </c>
      <c r="D16" s="306">
        <f t="shared" si="2"/>
        <v>64</v>
      </c>
      <c r="E16" s="307">
        <f t="shared" si="3"/>
        <v>3185317.3333333321</v>
      </c>
      <c r="F16" s="1242">
        <f t="shared" si="4"/>
        <v>49770.583333333314</v>
      </c>
      <c r="G16" s="308">
        <v>0</v>
      </c>
      <c r="H16" s="1242">
        <f t="shared" si="1"/>
        <v>3135546.7499999986</v>
      </c>
    </row>
    <row r="17" spans="1:9">
      <c r="A17" s="314">
        <f t="shared" si="0"/>
        <v>12</v>
      </c>
      <c r="B17" s="309" t="s">
        <v>428</v>
      </c>
      <c r="C17" s="310" t="s">
        <v>1013</v>
      </c>
      <c r="D17" s="306">
        <f t="shared" si="2"/>
        <v>63</v>
      </c>
      <c r="E17" s="307">
        <f t="shared" si="3"/>
        <v>3135546.7499999986</v>
      </c>
      <c r="F17" s="1242">
        <f t="shared" si="4"/>
        <v>49770.583333333314</v>
      </c>
      <c r="G17" s="308">
        <v>0</v>
      </c>
      <c r="H17" s="1242">
        <f t="shared" si="1"/>
        <v>3085776.1666666651</v>
      </c>
    </row>
    <row r="18" spans="1:9">
      <c r="A18" s="314">
        <f t="shared" si="0"/>
        <v>13</v>
      </c>
      <c r="B18" s="309" t="s">
        <v>243</v>
      </c>
      <c r="C18" s="310" t="s">
        <v>1013</v>
      </c>
      <c r="D18" s="306">
        <f t="shared" si="2"/>
        <v>62</v>
      </c>
      <c r="E18" s="307">
        <f t="shared" si="3"/>
        <v>3085776.1666666651</v>
      </c>
      <c r="F18" s="1242">
        <f t="shared" si="4"/>
        <v>49770.583333333307</v>
      </c>
      <c r="G18" s="308">
        <v>0</v>
      </c>
      <c r="H18" s="1242">
        <f t="shared" si="1"/>
        <v>3036005.5833333316</v>
      </c>
    </row>
    <row r="19" spans="1:9" ht="16.899999999999999">
      <c r="A19" s="314">
        <f t="shared" si="0"/>
        <v>14</v>
      </c>
      <c r="B19" s="879" t="s">
        <v>1402</v>
      </c>
      <c r="C19" s="311" t="s">
        <v>517</v>
      </c>
      <c r="D19" s="306">
        <f t="shared" si="2"/>
        <v>61</v>
      </c>
      <c r="E19" s="307">
        <f t="shared" si="3"/>
        <v>3036005.5833333316</v>
      </c>
      <c r="F19" s="1269">
        <f t="shared" si="4"/>
        <v>49770.583333333307</v>
      </c>
      <c r="G19" s="308">
        <v>0</v>
      </c>
      <c r="H19" s="1243">
        <f t="shared" si="1"/>
        <v>2986234.9999999981</v>
      </c>
    </row>
    <row r="20" spans="1:9" ht="15.65" thickBot="1">
      <c r="A20" s="314">
        <f t="shared" si="0"/>
        <v>15</v>
      </c>
      <c r="B20" s="312" t="s">
        <v>1368</v>
      </c>
      <c r="C20" s="310" t="str">
        <f>"(sum lines "&amp;A7&amp;"-"&amp;A19&amp;") /13"</f>
        <v>(sum lines 2-14) /13</v>
      </c>
      <c r="D20" s="313"/>
      <c r="E20" s="313"/>
      <c r="F20" s="1270">
        <f>SUM(F7:F19)</f>
        <v>597246.99999999977</v>
      </c>
      <c r="G20" s="308"/>
      <c r="H20" s="1244">
        <f>SUM(H7:H19)/13</f>
        <v>3284858.4999999991</v>
      </c>
    </row>
    <row r="21" spans="1:9" ht="15.65" thickTop="1">
      <c r="A21" s="314"/>
      <c r="B21" s="667"/>
      <c r="C21" s="668"/>
      <c r="D21" s="669"/>
      <c r="E21" s="669"/>
      <c r="F21" s="670" t="s">
        <v>1177</v>
      </c>
      <c r="G21" s="308"/>
      <c r="H21" s="321" t="s">
        <v>817</v>
      </c>
    </row>
    <row r="23" spans="1:9" ht="30.05" customHeight="1">
      <c r="A23" s="1262"/>
      <c r="B23" s="1371"/>
      <c r="C23" s="1371"/>
      <c r="D23" s="1371"/>
      <c r="E23" s="1371"/>
      <c r="F23" s="1371"/>
      <c r="G23" s="1371"/>
      <c r="H23" s="1371"/>
      <c r="I23" s="1371"/>
    </row>
    <row r="24" spans="1:9" ht="15.65">
      <c r="A24" s="156"/>
      <c r="B24" s="1377"/>
      <c r="C24" s="1377"/>
      <c r="D24" s="1377"/>
      <c r="E24" s="1377"/>
      <c r="F24" s="1377"/>
      <c r="G24" s="1377"/>
      <c r="H24" s="1377"/>
      <c r="I24" s="1377"/>
    </row>
  </sheetData>
  <mergeCells count="2">
    <mergeCell ref="B24:I24"/>
    <mergeCell ref="B23:I23"/>
  </mergeCells>
  <pageMargins left="0.7" right="0.7" top="0.75" bottom="0.75" header="0.3" footer="0.3"/>
  <pageSetup scale="57"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25"/>
  <dimension ref="A1:I24"/>
  <sheetViews>
    <sheetView showGridLines="0" view="pageBreakPreview" zoomScale="85" zoomScaleNormal="100" zoomScaleSheetLayoutView="85" workbookViewId="0">
      <selection activeCell="L80" sqref="L80"/>
    </sheetView>
  </sheetViews>
  <sheetFormatPr defaultRowHeight="15.05"/>
  <cols>
    <col min="2" max="2" width="27.81640625" customWidth="1"/>
    <col min="3" max="3" width="26.08984375" customWidth="1"/>
    <col min="4" max="4" width="9.81640625" customWidth="1"/>
    <col min="5" max="5" width="12.90625" bestFit="1" customWidth="1"/>
    <col min="6" max="6" width="23.81640625" bestFit="1" customWidth="1"/>
    <col min="7" max="7" width="9.6328125" customWidth="1"/>
    <col min="8" max="8" width="23.36328125" bestFit="1" customWidth="1"/>
  </cols>
  <sheetData>
    <row r="1" spans="1:9" ht="15.65">
      <c r="I1" s="814" t="s">
        <v>885</v>
      </c>
    </row>
    <row r="2" spans="1:9" ht="15.65">
      <c r="I2" s="814" t="s">
        <v>221</v>
      </c>
    </row>
    <row r="3" spans="1:9" ht="15.65">
      <c r="I3" s="815" t="str">
        <f>'Attachment 1 - Sched 1A'!$J$3</f>
        <v>For the 12 months ended 12/31/2019</v>
      </c>
    </row>
    <row r="4" spans="1:9">
      <c r="E4" t="s">
        <v>977</v>
      </c>
    </row>
    <row r="5" spans="1:9" ht="15.65">
      <c r="A5" s="55"/>
      <c r="B5" s="605" t="s">
        <v>718</v>
      </c>
      <c r="C5" s="605" t="s">
        <v>719</v>
      </c>
      <c r="D5" s="605" t="s">
        <v>720</v>
      </c>
      <c r="E5" s="605" t="s">
        <v>721</v>
      </c>
      <c r="F5" s="822" t="s">
        <v>722</v>
      </c>
      <c r="G5" s="822" t="s">
        <v>723</v>
      </c>
      <c r="H5" s="822" t="s">
        <v>724</v>
      </c>
    </row>
    <row r="6" spans="1:9" ht="50.75">
      <c r="A6" s="314">
        <v>1</v>
      </c>
      <c r="B6" s="315" t="s">
        <v>418</v>
      </c>
      <c r="C6" s="310" t="s">
        <v>375</v>
      </c>
      <c r="D6" s="316" t="s">
        <v>419</v>
      </c>
      <c r="E6" s="317" t="s">
        <v>420</v>
      </c>
      <c r="F6" s="318" t="s">
        <v>518</v>
      </c>
      <c r="G6" s="318" t="s">
        <v>422</v>
      </c>
      <c r="H6" s="319" t="s">
        <v>423</v>
      </c>
    </row>
    <row r="7" spans="1:9">
      <c r="A7" s="314">
        <f t="shared" ref="A7:A20" si="0">A6+1</f>
        <v>2</v>
      </c>
      <c r="B7" s="879" t="s">
        <v>988</v>
      </c>
      <c r="C7" s="305" t="s">
        <v>516</v>
      </c>
      <c r="D7" s="663">
        <v>13</v>
      </c>
      <c r="E7" s="664"/>
      <c r="F7" s="665"/>
      <c r="G7" s="665"/>
      <c r="H7" s="1241">
        <v>0</v>
      </c>
    </row>
    <row r="8" spans="1:9">
      <c r="A8" s="314">
        <f t="shared" si="0"/>
        <v>3</v>
      </c>
      <c r="B8" s="309" t="s">
        <v>425</v>
      </c>
      <c r="C8" s="310" t="s">
        <v>1013</v>
      </c>
      <c r="D8" s="306">
        <f>D7-1</f>
        <v>12</v>
      </c>
      <c r="E8" s="307">
        <f>H7</f>
        <v>0</v>
      </c>
      <c r="F8" s="1242">
        <f>E8/D8</f>
        <v>0</v>
      </c>
      <c r="G8" s="308">
        <v>0</v>
      </c>
      <c r="H8" s="1242">
        <f>E8-F8+G8</f>
        <v>0</v>
      </c>
    </row>
    <row r="9" spans="1:9">
      <c r="A9" s="314">
        <f t="shared" si="0"/>
        <v>4</v>
      </c>
      <c r="B9" s="309" t="s">
        <v>236</v>
      </c>
      <c r="C9" s="310" t="s">
        <v>1013</v>
      </c>
      <c r="D9" s="306">
        <f t="shared" ref="D9:D19" si="1">D8-1</f>
        <v>11</v>
      </c>
      <c r="E9" s="307">
        <f t="shared" ref="E9:E19" si="2">H8</f>
        <v>0</v>
      </c>
      <c r="F9" s="1242">
        <f t="shared" ref="F9:F19" si="3">E9/D9</f>
        <v>0</v>
      </c>
      <c r="G9" s="308">
        <v>0</v>
      </c>
      <c r="H9" s="1242">
        <f t="shared" ref="H9:H18" si="4">E9-F9+G9</f>
        <v>0</v>
      </c>
    </row>
    <row r="10" spans="1:9">
      <c r="A10" s="314">
        <f t="shared" si="0"/>
        <v>5</v>
      </c>
      <c r="B10" s="309" t="s">
        <v>237</v>
      </c>
      <c r="C10" s="310" t="s">
        <v>1013</v>
      </c>
      <c r="D10" s="306">
        <f t="shared" si="1"/>
        <v>10</v>
      </c>
      <c r="E10" s="307">
        <f t="shared" si="2"/>
        <v>0</v>
      </c>
      <c r="F10" s="1242">
        <f t="shared" si="3"/>
        <v>0</v>
      </c>
      <c r="G10" s="308">
        <v>0</v>
      </c>
      <c r="H10" s="1242">
        <f t="shared" si="4"/>
        <v>0</v>
      </c>
    </row>
    <row r="11" spans="1:9">
      <c r="A11" s="314">
        <f t="shared" si="0"/>
        <v>6</v>
      </c>
      <c r="B11" s="309" t="s">
        <v>238</v>
      </c>
      <c r="C11" s="310" t="s">
        <v>1013</v>
      </c>
      <c r="D11" s="306">
        <f t="shared" si="1"/>
        <v>9</v>
      </c>
      <c r="E11" s="307">
        <f t="shared" si="2"/>
        <v>0</v>
      </c>
      <c r="F11" s="1242">
        <f t="shared" si="3"/>
        <v>0</v>
      </c>
      <c r="G11" s="308">
        <v>0</v>
      </c>
      <c r="H11" s="1242">
        <f t="shared" si="4"/>
        <v>0</v>
      </c>
    </row>
    <row r="12" spans="1:9">
      <c r="A12" s="314">
        <f t="shared" si="0"/>
        <v>7</v>
      </c>
      <c r="B12" s="309" t="s">
        <v>239</v>
      </c>
      <c r="C12" s="310" t="s">
        <v>1013</v>
      </c>
      <c r="D12" s="306">
        <f t="shared" si="1"/>
        <v>8</v>
      </c>
      <c r="E12" s="307">
        <f t="shared" si="2"/>
        <v>0</v>
      </c>
      <c r="F12" s="1242">
        <f t="shared" si="3"/>
        <v>0</v>
      </c>
      <c r="G12" s="308">
        <v>0</v>
      </c>
      <c r="H12" s="1242">
        <f t="shared" si="4"/>
        <v>0</v>
      </c>
    </row>
    <row r="13" spans="1:9">
      <c r="A13" s="314">
        <f t="shared" si="0"/>
        <v>8</v>
      </c>
      <c r="B13" s="309" t="s">
        <v>427</v>
      </c>
      <c r="C13" s="310" t="s">
        <v>1013</v>
      </c>
      <c r="D13" s="306">
        <f t="shared" si="1"/>
        <v>7</v>
      </c>
      <c r="E13" s="307">
        <f t="shared" si="2"/>
        <v>0</v>
      </c>
      <c r="F13" s="1242">
        <f t="shared" si="3"/>
        <v>0</v>
      </c>
      <c r="G13" s="308">
        <v>0</v>
      </c>
      <c r="H13" s="1242">
        <f t="shared" si="4"/>
        <v>0</v>
      </c>
    </row>
    <row r="14" spans="1:9">
      <c r="A14" s="314">
        <f t="shared" si="0"/>
        <v>9</v>
      </c>
      <c r="B14" s="309" t="s">
        <v>240</v>
      </c>
      <c r="C14" s="310" t="s">
        <v>1013</v>
      </c>
      <c r="D14" s="306">
        <f t="shared" si="1"/>
        <v>6</v>
      </c>
      <c r="E14" s="307">
        <f>H13</f>
        <v>0</v>
      </c>
      <c r="F14" s="1242">
        <f t="shared" si="3"/>
        <v>0</v>
      </c>
      <c r="G14" s="308">
        <v>0</v>
      </c>
      <c r="H14" s="1242">
        <f t="shared" si="4"/>
        <v>0</v>
      </c>
    </row>
    <row r="15" spans="1:9">
      <c r="A15" s="314">
        <f t="shared" si="0"/>
        <v>10</v>
      </c>
      <c r="B15" s="309" t="s">
        <v>241</v>
      </c>
      <c r="C15" s="310" t="s">
        <v>1013</v>
      </c>
      <c r="D15" s="306">
        <f t="shared" si="1"/>
        <v>5</v>
      </c>
      <c r="E15" s="307">
        <f t="shared" si="2"/>
        <v>0</v>
      </c>
      <c r="F15" s="1242">
        <f t="shared" si="3"/>
        <v>0</v>
      </c>
      <c r="G15" s="308">
        <v>0</v>
      </c>
      <c r="H15" s="1242">
        <f t="shared" si="4"/>
        <v>0</v>
      </c>
    </row>
    <row r="16" spans="1:9">
      <c r="A16" s="314">
        <f t="shared" si="0"/>
        <v>11</v>
      </c>
      <c r="B16" s="309" t="s">
        <v>242</v>
      </c>
      <c r="C16" s="310" t="s">
        <v>1013</v>
      </c>
      <c r="D16" s="306">
        <f t="shared" si="1"/>
        <v>4</v>
      </c>
      <c r="E16" s="307">
        <f t="shared" si="2"/>
        <v>0</v>
      </c>
      <c r="F16" s="1242">
        <f t="shared" si="3"/>
        <v>0</v>
      </c>
      <c r="G16" s="308">
        <v>0</v>
      </c>
      <c r="H16" s="1242">
        <f t="shared" si="4"/>
        <v>0</v>
      </c>
    </row>
    <row r="17" spans="1:9">
      <c r="A17" s="314">
        <f t="shared" si="0"/>
        <v>12</v>
      </c>
      <c r="B17" s="309" t="s">
        <v>428</v>
      </c>
      <c r="C17" s="310" t="s">
        <v>1013</v>
      </c>
      <c r="D17" s="306">
        <f t="shared" si="1"/>
        <v>3</v>
      </c>
      <c r="E17" s="307">
        <f t="shared" si="2"/>
        <v>0</v>
      </c>
      <c r="F17" s="1242">
        <f t="shared" si="3"/>
        <v>0</v>
      </c>
      <c r="G17" s="308">
        <v>0</v>
      </c>
      <c r="H17" s="1242">
        <f t="shared" si="4"/>
        <v>0</v>
      </c>
    </row>
    <row r="18" spans="1:9">
      <c r="A18" s="314">
        <f t="shared" si="0"/>
        <v>13</v>
      </c>
      <c r="B18" s="309" t="s">
        <v>243</v>
      </c>
      <c r="C18" s="310" t="s">
        <v>1013</v>
      </c>
      <c r="D18" s="306">
        <f t="shared" si="1"/>
        <v>2</v>
      </c>
      <c r="E18" s="307">
        <f t="shared" si="2"/>
        <v>0</v>
      </c>
      <c r="F18" s="1242">
        <f t="shared" si="3"/>
        <v>0</v>
      </c>
      <c r="G18" s="308">
        <v>0</v>
      </c>
      <c r="H18" s="1242">
        <f t="shared" si="4"/>
        <v>0</v>
      </c>
    </row>
    <row r="19" spans="1:9">
      <c r="A19" s="314">
        <f t="shared" si="0"/>
        <v>14</v>
      </c>
      <c r="B19" s="879" t="s">
        <v>1359</v>
      </c>
      <c r="C19" s="311" t="s">
        <v>517</v>
      </c>
      <c r="D19" s="306">
        <f t="shared" si="1"/>
        <v>1</v>
      </c>
      <c r="E19" s="307">
        <f t="shared" si="2"/>
        <v>0</v>
      </c>
      <c r="F19" s="1269">
        <f t="shared" si="3"/>
        <v>0</v>
      </c>
      <c r="G19" s="308">
        <v>0</v>
      </c>
      <c r="H19" s="1269">
        <f>E19-F19+G19</f>
        <v>0</v>
      </c>
    </row>
    <row r="20" spans="1:9" ht="15.65" thickBot="1">
      <c r="A20" s="314">
        <f t="shared" si="0"/>
        <v>15</v>
      </c>
      <c r="B20" s="312" t="s">
        <v>1368</v>
      </c>
      <c r="C20" s="310" t="str">
        <f>"(sum lines "&amp;A7&amp;"-"&amp;A19&amp;") /13"</f>
        <v>(sum lines 2-14) /13</v>
      </c>
      <c r="D20" s="313"/>
      <c r="E20" s="313"/>
      <c r="F20" s="1270">
        <f>SUM(F7:F19)</f>
        <v>0</v>
      </c>
      <c r="G20" s="308"/>
      <c r="H20" s="1244">
        <f>SUM(H7:H19)/13</f>
        <v>0</v>
      </c>
    </row>
    <row r="21" spans="1:9" ht="15.65" thickTop="1">
      <c r="A21" s="314"/>
      <c r="B21" s="667"/>
      <c r="C21" s="668"/>
      <c r="D21" s="669"/>
      <c r="E21" s="669"/>
      <c r="F21" s="670" t="s">
        <v>1177</v>
      </c>
      <c r="G21" s="308"/>
      <c r="H21" s="321" t="s">
        <v>817</v>
      </c>
    </row>
    <row r="23" spans="1:9" ht="31.5" customHeight="1">
      <c r="A23" s="1262"/>
      <c r="B23" s="1371"/>
      <c r="C23" s="1371"/>
      <c r="D23" s="1371"/>
      <c r="E23" s="1371"/>
      <c r="F23" s="1371"/>
      <c r="G23" s="1371"/>
      <c r="H23" s="1371"/>
      <c r="I23" s="1371"/>
    </row>
    <row r="24" spans="1:9" ht="15.65">
      <c r="A24" s="156"/>
      <c r="B24" s="1377"/>
      <c r="C24" s="1377"/>
      <c r="D24" s="1377"/>
      <c r="E24" s="1377"/>
      <c r="F24" s="1377"/>
      <c r="G24" s="1377"/>
      <c r="H24" s="1377"/>
      <c r="I24" s="1377"/>
    </row>
  </sheetData>
  <mergeCells count="2">
    <mergeCell ref="B24:I24"/>
    <mergeCell ref="B23:I23"/>
  </mergeCells>
  <pageMargins left="0.7" right="0.7" top="0.75" bottom="0.75" header="0.3" footer="0.3"/>
  <pageSetup scale="57"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26"/>
  <dimension ref="A1:I24"/>
  <sheetViews>
    <sheetView showGridLines="0" view="pageBreakPreview" zoomScale="85" zoomScaleNormal="100" zoomScaleSheetLayoutView="85" workbookViewId="0">
      <selection activeCell="L80" sqref="L80"/>
    </sheetView>
  </sheetViews>
  <sheetFormatPr defaultRowHeight="15.05"/>
  <cols>
    <col min="1" max="1" width="4.81640625" customWidth="1"/>
    <col min="2" max="2" width="26.453125" customWidth="1"/>
    <col min="3" max="3" width="28.08984375" customWidth="1"/>
    <col min="5" max="5" width="12.90625" bestFit="1" customWidth="1"/>
    <col min="6" max="6" width="16.81640625" bestFit="1" customWidth="1"/>
    <col min="8" max="8" width="16.36328125" bestFit="1" customWidth="1"/>
    <col min="9" max="9" width="13.6328125" customWidth="1"/>
  </cols>
  <sheetData>
    <row r="1" spans="1:9" ht="15.65">
      <c r="I1" s="814" t="s">
        <v>886</v>
      </c>
    </row>
    <row r="2" spans="1:9" ht="15.65">
      <c r="I2" s="814" t="s">
        <v>221</v>
      </c>
    </row>
    <row r="3" spans="1:9" ht="15.65">
      <c r="I3" s="815" t="str">
        <f>'Attachment 1 - Sched 1A'!$J$3</f>
        <v>For the 12 months ended 12/31/2019</v>
      </c>
    </row>
    <row r="4" spans="1:9">
      <c r="D4" t="s">
        <v>887</v>
      </c>
    </row>
    <row r="5" spans="1:9" ht="15.65">
      <c r="A5" s="55"/>
      <c r="B5" s="605" t="s">
        <v>718</v>
      </c>
      <c r="C5" s="605" t="s">
        <v>719</v>
      </c>
      <c r="D5" s="605" t="s">
        <v>720</v>
      </c>
      <c r="E5" s="605" t="s">
        <v>721</v>
      </c>
      <c r="F5" s="822" t="s">
        <v>722</v>
      </c>
      <c r="G5" s="822" t="s">
        <v>723</v>
      </c>
      <c r="H5" s="822" t="s">
        <v>724</v>
      </c>
    </row>
    <row r="6" spans="1:9" ht="63.25">
      <c r="A6" s="314">
        <v>1</v>
      </c>
      <c r="B6" s="315" t="s">
        <v>418</v>
      </c>
      <c r="C6" s="310" t="s">
        <v>375</v>
      </c>
      <c r="D6" s="316" t="s">
        <v>419</v>
      </c>
      <c r="E6" s="317" t="s">
        <v>420</v>
      </c>
      <c r="F6" s="318" t="s">
        <v>421</v>
      </c>
      <c r="G6" s="318" t="s">
        <v>422</v>
      </c>
      <c r="H6" s="319" t="s">
        <v>423</v>
      </c>
    </row>
    <row r="7" spans="1:9">
      <c r="A7" s="314">
        <f t="shared" ref="A7:A20" si="0">A6+1</f>
        <v>2</v>
      </c>
      <c r="B7" s="879" t="s">
        <v>1359</v>
      </c>
      <c r="C7" s="305" t="s">
        <v>424</v>
      </c>
      <c r="D7" s="663">
        <v>13</v>
      </c>
      <c r="E7" s="664"/>
      <c r="F7" s="665"/>
      <c r="G7" s="665"/>
      <c r="H7" s="665">
        <v>0</v>
      </c>
    </row>
    <row r="8" spans="1:9">
      <c r="A8" s="314">
        <f t="shared" si="0"/>
        <v>3</v>
      </c>
      <c r="B8" s="309" t="s">
        <v>425</v>
      </c>
      <c r="C8" s="310" t="s">
        <v>1014</v>
      </c>
      <c r="D8" s="306">
        <f>D7-1</f>
        <v>12</v>
      </c>
      <c r="E8" s="307">
        <f>H7</f>
        <v>0</v>
      </c>
      <c r="F8" s="308">
        <f>E8/D8</f>
        <v>0</v>
      </c>
      <c r="G8" s="308">
        <v>0</v>
      </c>
      <c r="H8" s="308">
        <f t="shared" ref="H8:H19" si="1">E8-F8+G8</f>
        <v>0</v>
      </c>
    </row>
    <row r="9" spans="1:9">
      <c r="A9" s="314">
        <f t="shared" si="0"/>
        <v>4</v>
      </c>
      <c r="B9" s="309" t="s">
        <v>236</v>
      </c>
      <c r="C9" s="310" t="s">
        <v>1014</v>
      </c>
      <c r="D9" s="306">
        <f t="shared" ref="D9:D19" si="2">D8-1</f>
        <v>11</v>
      </c>
      <c r="E9" s="307">
        <f t="shared" ref="E9:E19" si="3">H8</f>
        <v>0</v>
      </c>
      <c r="F9" s="308">
        <f t="shared" ref="F9:F19" si="4">E9/D9</f>
        <v>0</v>
      </c>
      <c r="G9" s="308">
        <v>0</v>
      </c>
      <c r="H9" s="308">
        <f t="shared" si="1"/>
        <v>0</v>
      </c>
    </row>
    <row r="10" spans="1:9">
      <c r="A10" s="314">
        <f t="shared" si="0"/>
        <v>5</v>
      </c>
      <c r="B10" s="309" t="s">
        <v>237</v>
      </c>
      <c r="C10" s="310" t="s">
        <v>1014</v>
      </c>
      <c r="D10" s="306">
        <f t="shared" si="2"/>
        <v>10</v>
      </c>
      <c r="E10" s="307">
        <f t="shared" si="3"/>
        <v>0</v>
      </c>
      <c r="F10" s="308">
        <f t="shared" si="4"/>
        <v>0</v>
      </c>
      <c r="G10" s="308">
        <v>0</v>
      </c>
      <c r="H10" s="308">
        <f t="shared" si="1"/>
        <v>0</v>
      </c>
    </row>
    <row r="11" spans="1:9">
      <c r="A11" s="314">
        <f t="shared" si="0"/>
        <v>6</v>
      </c>
      <c r="B11" s="309" t="s">
        <v>238</v>
      </c>
      <c r="C11" s="310" t="s">
        <v>1014</v>
      </c>
      <c r="D11" s="306">
        <f t="shared" si="2"/>
        <v>9</v>
      </c>
      <c r="E11" s="307">
        <f t="shared" si="3"/>
        <v>0</v>
      </c>
      <c r="F11" s="308">
        <f t="shared" si="4"/>
        <v>0</v>
      </c>
      <c r="G11" s="308">
        <v>0</v>
      </c>
      <c r="H11" s="308">
        <f t="shared" si="1"/>
        <v>0</v>
      </c>
    </row>
    <row r="12" spans="1:9">
      <c r="A12" s="314">
        <f t="shared" si="0"/>
        <v>7</v>
      </c>
      <c r="B12" s="309" t="s">
        <v>239</v>
      </c>
      <c r="C12" s="310" t="s">
        <v>1014</v>
      </c>
      <c r="D12" s="306">
        <f t="shared" si="2"/>
        <v>8</v>
      </c>
      <c r="E12" s="307">
        <f t="shared" si="3"/>
        <v>0</v>
      </c>
      <c r="F12" s="308">
        <f t="shared" si="4"/>
        <v>0</v>
      </c>
      <c r="G12" s="308">
        <v>0</v>
      </c>
      <c r="H12" s="308">
        <f t="shared" si="1"/>
        <v>0</v>
      </c>
    </row>
    <row r="13" spans="1:9">
      <c r="A13" s="314">
        <f t="shared" si="0"/>
        <v>8</v>
      </c>
      <c r="B13" s="309" t="s">
        <v>427</v>
      </c>
      <c r="C13" s="310" t="s">
        <v>1014</v>
      </c>
      <c r="D13" s="306">
        <f t="shared" si="2"/>
        <v>7</v>
      </c>
      <c r="E13" s="307">
        <f t="shared" si="3"/>
        <v>0</v>
      </c>
      <c r="F13" s="308">
        <f t="shared" si="4"/>
        <v>0</v>
      </c>
      <c r="G13" s="308">
        <v>0</v>
      </c>
      <c r="H13" s="308">
        <f t="shared" si="1"/>
        <v>0</v>
      </c>
    </row>
    <row r="14" spans="1:9">
      <c r="A14" s="314">
        <f t="shared" si="0"/>
        <v>9</v>
      </c>
      <c r="B14" s="309" t="s">
        <v>240</v>
      </c>
      <c r="C14" s="310" t="s">
        <v>1014</v>
      </c>
      <c r="D14" s="306">
        <f t="shared" si="2"/>
        <v>6</v>
      </c>
      <c r="E14" s="307">
        <f t="shared" si="3"/>
        <v>0</v>
      </c>
      <c r="F14" s="308">
        <f t="shared" si="4"/>
        <v>0</v>
      </c>
      <c r="G14" s="308">
        <v>0</v>
      </c>
      <c r="H14" s="308">
        <f t="shared" si="1"/>
        <v>0</v>
      </c>
    </row>
    <row r="15" spans="1:9">
      <c r="A15" s="314">
        <f t="shared" si="0"/>
        <v>10</v>
      </c>
      <c r="B15" s="309" t="s">
        <v>241</v>
      </c>
      <c r="C15" s="310" t="s">
        <v>1014</v>
      </c>
      <c r="D15" s="306">
        <f t="shared" si="2"/>
        <v>5</v>
      </c>
      <c r="E15" s="307">
        <f t="shared" si="3"/>
        <v>0</v>
      </c>
      <c r="F15" s="308">
        <f t="shared" si="4"/>
        <v>0</v>
      </c>
      <c r="G15" s="308">
        <v>0</v>
      </c>
      <c r="H15" s="308">
        <f t="shared" si="1"/>
        <v>0</v>
      </c>
    </row>
    <row r="16" spans="1:9">
      <c r="A16" s="314">
        <f t="shared" si="0"/>
        <v>11</v>
      </c>
      <c r="B16" s="309" t="s">
        <v>242</v>
      </c>
      <c r="C16" s="310" t="s">
        <v>1014</v>
      </c>
      <c r="D16" s="306">
        <f t="shared" si="2"/>
        <v>4</v>
      </c>
      <c r="E16" s="307">
        <f t="shared" si="3"/>
        <v>0</v>
      </c>
      <c r="F16" s="308">
        <f t="shared" si="4"/>
        <v>0</v>
      </c>
      <c r="G16" s="308">
        <v>0</v>
      </c>
      <c r="H16" s="308">
        <f t="shared" si="1"/>
        <v>0</v>
      </c>
    </row>
    <row r="17" spans="1:9">
      <c r="A17" s="314">
        <f t="shared" si="0"/>
        <v>12</v>
      </c>
      <c r="B17" s="309" t="s">
        <v>428</v>
      </c>
      <c r="C17" s="310" t="s">
        <v>1014</v>
      </c>
      <c r="D17" s="306">
        <f t="shared" si="2"/>
        <v>3</v>
      </c>
      <c r="E17" s="307">
        <f t="shared" si="3"/>
        <v>0</v>
      </c>
      <c r="F17" s="308">
        <f t="shared" si="4"/>
        <v>0</v>
      </c>
      <c r="G17" s="308">
        <v>0</v>
      </c>
      <c r="H17" s="308">
        <f t="shared" si="1"/>
        <v>0</v>
      </c>
    </row>
    <row r="18" spans="1:9">
      <c r="A18" s="314">
        <f t="shared" si="0"/>
        <v>13</v>
      </c>
      <c r="B18" s="309" t="s">
        <v>243</v>
      </c>
      <c r="C18" s="310" t="s">
        <v>1014</v>
      </c>
      <c r="D18" s="306">
        <f t="shared" si="2"/>
        <v>2</v>
      </c>
      <c r="E18" s="307">
        <f t="shared" si="3"/>
        <v>0</v>
      </c>
      <c r="F18" s="308">
        <f t="shared" si="4"/>
        <v>0</v>
      </c>
      <c r="G18" s="308">
        <v>0</v>
      </c>
      <c r="H18" s="308">
        <f t="shared" si="1"/>
        <v>0</v>
      </c>
    </row>
    <row r="19" spans="1:9" ht="16.899999999999999">
      <c r="A19" s="314">
        <f t="shared" si="0"/>
        <v>14</v>
      </c>
      <c r="B19" s="879" t="s">
        <v>1402</v>
      </c>
      <c r="C19" s="311" t="s">
        <v>429</v>
      </c>
      <c r="D19" s="306">
        <f t="shared" si="2"/>
        <v>1</v>
      </c>
      <c r="E19" s="307">
        <f t="shared" si="3"/>
        <v>0</v>
      </c>
      <c r="F19" s="860">
        <f t="shared" si="4"/>
        <v>0</v>
      </c>
      <c r="G19" s="308">
        <v>0</v>
      </c>
      <c r="H19" s="860">
        <f t="shared" si="1"/>
        <v>0</v>
      </c>
    </row>
    <row r="20" spans="1:9" ht="15.65" thickBot="1">
      <c r="A20" s="314">
        <f t="shared" si="0"/>
        <v>15</v>
      </c>
      <c r="B20" s="312" t="s">
        <v>868</v>
      </c>
      <c r="C20" s="310" t="str">
        <f>"(sum lines "&amp;A7&amp;"-"&amp;A19&amp;") /13"</f>
        <v>(sum lines 2-14) /13</v>
      </c>
      <c r="D20" s="313"/>
      <c r="E20" s="313"/>
      <c r="F20" s="861">
        <f>SUM(F7:F19)</f>
        <v>0</v>
      </c>
      <c r="G20" s="308"/>
      <c r="H20" s="861">
        <f>SUM(H7:H19)/13</f>
        <v>0</v>
      </c>
    </row>
    <row r="21" spans="1:9" ht="15.65" thickTop="1">
      <c r="A21" s="314"/>
      <c r="B21" s="312"/>
      <c r="C21" s="310"/>
      <c r="D21" s="313"/>
      <c r="E21" s="313"/>
      <c r="F21" s="320" t="s">
        <v>865</v>
      </c>
      <c r="G21" s="308"/>
      <c r="H21" s="321" t="s">
        <v>818</v>
      </c>
    </row>
    <row r="23" spans="1:9">
      <c r="A23" s="666" t="s">
        <v>190</v>
      </c>
    </row>
    <row r="24" spans="1:9" ht="29.3" customHeight="1">
      <c r="A24" s="156"/>
      <c r="B24" s="1378" t="s">
        <v>403</v>
      </c>
      <c r="C24" s="1378"/>
      <c r="D24" s="1378"/>
      <c r="E24" s="1378"/>
      <c r="F24" s="1378"/>
      <c r="G24" s="1378"/>
      <c r="H24" s="1378"/>
      <c r="I24" s="1378"/>
    </row>
  </sheetData>
  <mergeCells count="1">
    <mergeCell ref="B24:I24"/>
  </mergeCells>
  <pageMargins left="0.7" right="0.7" top="0.75" bottom="0.75" header="0.3" footer="0.3"/>
  <pageSetup scale="62"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19"/>
  <dimension ref="A1:I28"/>
  <sheetViews>
    <sheetView showGridLines="0" view="pageBreakPreview" zoomScale="85" zoomScaleNormal="100" zoomScaleSheetLayoutView="85" workbookViewId="0">
      <selection activeCell="L80" sqref="L80"/>
    </sheetView>
  </sheetViews>
  <sheetFormatPr defaultRowHeight="15.05"/>
  <cols>
    <col min="5" max="7" width="20.81640625" customWidth="1"/>
  </cols>
  <sheetData>
    <row r="1" spans="1:9" ht="15.65">
      <c r="I1" s="814" t="s">
        <v>888</v>
      </c>
    </row>
    <row r="2" spans="1:9" ht="15.65">
      <c r="I2" s="814" t="s">
        <v>221</v>
      </c>
    </row>
    <row r="3" spans="1:9" ht="15.65">
      <c r="I3" s="815" t="str">
        <f>'Attachment 1 - Sched 1A'!$J$3</f>
        <v>For the 12 months ended 12/31/2019</v>
      </c>
    </row>
    <row r="4" spans="1:9" ht="15.65">
      <c r="A4" s="55"/>
      <c r="B4" s="46"/>
      <c r="C4" s="46"/>
      <c r="D4" s="46"/>
      <c r="E4" s="52"/>
      <c r="F4" s="52"/>
      <c r="G4" s="52"/>
    </row>
    <row r="5" spans="1:9" ht="16.45" customHeight="1">
      <c r="A5" s="52"/>
      <c r="B5" s="46"/>
      <c r="C5" s="46"/>
      <c r="D5" s="46"/>
      <c r="E5" s="261" t="s">
        <v>400</v>
      </c>
      <c r="F5" s="322"/>
      <c r="G5" s="322"/>
    </row>
    <row r="6" spans="1:9" ht="15.65">
      <c r="A6" s="52"/>
      <c r="B6" s="46"/>
      <c r="C6" s="46"/>
      <c r="D6" s="46"/>
      <c r="E6" s="53" t="s">
        <v>260</v>
      </c>
      <c r="F6" s="323"/>
      <c r="G6" s="323"/>
    </row>
    <row r="7" spans="1:9" ht="15.65">
      <c r="A7" s="52"/>
      <c r="B7" s="46"/>
      <c r="C7" s="46"/>
      <c r="D7" s="50"/>
      <c r="E7" s="53" t="s">
        <v>402</v>
      </c>
      <c r="F7" s="323"/>
      <c r="G7" s="323"/>
    </row>
    <row r="8" spans="1:9" ht="15.65">
      <c r="A8" s="56">
        <v>1</v>
      </c>
      <c r="B8" s="46" t="s">
        <v>234</v>
      </c>
      <c r="C8" s="49">
        <v>2018</v>
      </c>
      <c r="D8" s="46"/>
      <c r="E8" s="123"/>
      <c r="F8" s="129"/>
      <c r="G8" s="129"/>
    </row>
    <row r="9" spans="1:9" ht="15.65">
      <c r="A9" s="56">
        <v>2</v>
      </c>
      <c r="B9" s="46" t="s">
        <v>235</v>
      </c>
      <c r="C9" s="48">
        <f>C8+1</f>
        <v>2019</v>
      </c>
      <c r="D9" s="46"/>
      <c r="E9" s="123"/>
      <c r="F9" s="129"/>
      <c r="G9" s="129"/>
    </row>
    <row r="10" spans="1:9" ht="15.65">
      <c r="A10" s="56">
        <v>3</v>
      </c>
      <c r="B10" s="46" t="s">
        <v>236</v>
      </c>
      <c r="C10" s="48">
        <f>C9</f>
        <v>2019</v>
      </c>
      <c r="D10" s="46"/>
      <c r="E10" s="123"/>
      <c r="F10" s="129"/>
      <c r="G10" s="129"/>
    </row>
    <row r="11" spans="1:9" ht="15.65">
      <c r="A11" s="56">
        <v>4</v>
      </c>
      <c r="B11" s="46" t="s">
        <v>237</v>
      </c>
      <c r="C11" s="48">
        <f t="shared" ref="C11:C20" si="0">C10</f>
        <v>2019</v>
      </c>
      <c r="D11" s="46"/>
      <c r="E11" s="123"/>
      <c r="F11" s="129"/>
      <c r="G11" s="129"/>
    </row>
    <row r="12" spans="1:9" ht="15.65">
      <c r="A12" s="56">
        <v>5</v>
      </c>
      <c r="B12" s="46" t="s">
        <v>238</v>
      </c>
      <c r="C12" s="48">
        <f t="shared" si="0"/>
        <v>2019</v>
      </c>
      <c r="D12" s="46"/>
      <c r="E12" s="123"/>
      <c r="F12" s="129"/>
      <c r="G12" s="129"/>
    </row>
    <row r="13" spans="1:9" ht="15.65">
      <c r="A13" s="56">
        <v>6</v>
      </c>
      <c r="B13" s="46" t="s">
        <v>239</v>
      </c>
      <c r="C13" s="48">
        <f t="shared" si="0"/>
        <v>2019</v>
      </c>
      <c r="D13" s="46"/>
      <c r="E13" s="123"/>
      <c r="F13" s="129"/>
      <c r="G13" s="129"/>
    </row>
    <row r="14" spans="1:9" ht="15.65">
      <c r="A14" s="56">
        <v>7</v>
      </c>
      <c r="B14" s="46" t="s">
        <v>250</v>
      </c>
      <c r="C14" s="48">
        <f t="shared" si="0"/>
        <v>2019</v>
      </c>
      <c r="D14" s="46"/>
      <c r="E14" s="123"/>
      <c r="F14" s="129"/>
      <c r="G14" s="129"/>
    </row>
    <row r="15" spans="1:9" ht="15.65">
      <c r="A15" s="56">
        <v>8</v>
      </c>
      <c r="B15" s="46" t="s">
        <v>240</v>
      </c>
      <c r="C15" s="48">
        <f t="shared" si="0"/>
        <v>2019</v>
      </c>
      <c r="D15" s="46"/>
      <c r="E15" s="123"/>
      <c r="F15" s="129"/>
      <c r="G15" s="129"/>
    </row>
    <row r="16" spans="1:9" ht="15.65">
      <c r="A16" s="56">
        <v>9</v>
      </c>
      <c r="B16" s="46" t="s">
        <v>241</v>
      </c>
      <c r="C16" s="48">
        <f t="shared" si="0"/>
        <v>2019</v>
      </c>
      <c r="D16" s="46"/>
      <c r="E16" s="123"/>
      <c r="F16" s="129"/>
      <c r="G16" s="129"/>
    </row>
    <row r="17" spans="1:9" ht="15.65">
      <c r="A17" s="56">
        <v>10</v>
      </c>
      <c r="B17" s="46" t="s">
        <v>242</v>
      </c>
      <c r="C17" s="48">
        <f t="shared" si="0"/>
        <v>2019</v>
      </c>
      <c r="D17" s="46"/>
      <c r="E17" s="123"/>
      <c r="F17" s="129"/>
      <c r="G17" s="129"/>
    </row>
    <row r="18" spans="1:9" ht="15.65">
      <c r="A18" s="56">
        <v>11</v>
      </c>
      <c r="B18" s="46" t="s">
        <v>244</v>
      </c>
      <c r="C18" s="48">
        <f t="shared" si="0"/>
        <v>2019</v>
      </c>
      <c r="D18" s="46"/>
      <c r="E18" s="123"/>
      <c r="F18" s="129"/>
      <c r="G18" s="129"/>
    </row>
    <row r="19" spans="1:9" ht="15.65">
      <c r="A19" s="56">
        <v>12</v>
      </c>
      <c r="B19" s="46" t="s">
        <v>243</v>
      </c>
      <c r="C19" s="48">
        <f t="shared" si="0"/>
        <v>2019</v>
      </c>
      <c r="D19" s="46"/>
      <c r="E19" s="123"/>
      <c r="F19" s="129"/>
      <c r="G19" s="129"/>
    </row>
    <row r="20" spans="1:9" ht="15.65">
      <c r="A20" s="56">
        <v>13</v>
      </c>
      <c r="B20" s="46" t="s">
        <v>234</v>
      </c>
      <c r="C20" s="48">
        <f t="shared" si="0"/>
        <v>2019</v>
      </c>
      <c r="D20" s="46"/>
      <c r="E20" s="123"/>
      <c r="F20" s="129"/>
      <c r="G20" s="129"/>
    </row>
    <row r="21" spans="1:9" ht="15.65">
      <c r="A21" s="52"/>
      <c r="B21" s="46"/>
      <c r="C21" s="46"/>
      <c r="D21" s="46"/>
      <c r="E21" s="125"/>
      <c r="F21" s="129"/>
      <c r="G21" s="129"/>
    </row>
    <row r="22" spans="1:9" ht="15.65">
      <c r="A22" s="56">
        <v>14</v>
      </c>
      <c r="B22" s="46" t="s">
        <v>259</v>
      </c>
      <c r="C22" s="46"/>
      <c r="D22" s="46"/>
      <c r="E22" s="125">
        <f>SUM(E8:E20)/13</f>
        <v>0</v>
      </c>
      <c r="F22" s="129"/>
      <c r="G22" s="129"/>
    </row>
    <row r="25" spans="1:9" ht="15.65">
      <c r="A25" s="46" t="s">
        <v>261</v>
      </c>
    </row>
    <row r="26" spans="1:9" ht="15.65">
      <c r="A26" s="52" t="s">
        <v>260</v>
      </c>
      <c r="B26" s="46" t="s">
        <v>401</v>
      </c>
    </row>
    <row r="27" spans="1:9" ht="15.65">
      <c r="A27" s="52"/>
      <c r="B27" s="46"/>
      <c r="C27" s="46"/>
      <c r="D27" s="46"/>
      <c r="E27" s="46"/>
      <c r="F27" s="46"/>
      <c r="G27" s="46"/>
      <c r="H27" s="46"/>
      <c r="I27" s="46"/>
    </row>
    <row r="28" spans="1:9" ht="33.049999999999997" customHeight="1">
      <c r="A28" s="52"/>
      <c r="B28" s="1352"/>
      <c r="C28" s="1352"/>
      <c r="D28" s="1352"/>
      <c r="E28" s="1352"/>
      <c r="F28" s="1352"/>
      <c r="G28" s="1352"/>
      <c r="H28" s="1352"/>
      <c r="I28" s="1352"/>
    </row>
  </sheetData>
  <mergeCells count="1">
    <mergeCell ref="B28:I28"/>
  </mergeCells>
  <pageMargins left="0.7" right="0.7" top="0.75" bottom="0.75" header="0.3" footer="0.3"/>
  <pageSetup scale="64"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18"/>
  <dimension ref="A1:I18"/>
  <sheetViews>
    <sheetView view="pageBreakPreview" zoomScale="85" zoomScaleNormal="100" zoomScaleSheetLayoutView="85" workbookViewId="0">
      <selection activeCell="L80" sqref="L80"/>
    </sheetView>
  </sheetViews>
  <sheetFormatPr defaultColWidth="8.90625" defaultRowHeight="12.55"/>
  <cols>
    <col min="1" max="1" width="8.90625" style="131"/>
    <col min="2" max="2" width="2.81640625" style="131" customWidth="1"/>
    <col min="3" max="3" width="22.54296875" style="131" bestFit="1" customWidth="1"/>
    <col min="4" max="4" width="18.81640625" style="131" customWidth="1"/>
    <col min="5" max="5" width="22.90625" style="131" customWidth="1"/>
    <col min="6" max="7" width="15.81640625" style="131" customWidth="1"/>
    <col min="8" max="16384" width="8.90625" style="131"/>
  </cols>
  <sheetData>
    <row r="1" spans="1:9" ht="15.65">
      <c r="I1" s="814" t="s">
        <v>889</v>
      </c>
    </row>
    <row r="2" spans="1:9" ht="15.65">
      <c r="I2" s="814" t="s">
        <v>221</v>
      </c>
    </row>
    <row r="3" spans="1:9" ht="15.65">
      <c r="I3" s="815" t="str">
        <f>'Attachment 1 - Sched 1A'!$J$3</f>
        <v>For the 12 months ended 12/31/2019</v>
      </c>
    </row>
    <row r="4" spans="1:9" ht="15.65">
      <c r="A4" s="55"/>
      <c r="B4" s="55"/>
    </row>
    <row r="5" spans="1:9" ht="13.8" thickBot="1">
      <c r="B5" s="151" t="s">
        <v>370</v>
      </c>
      <c r="C5" s="151"/>
      <c r="D5" s="151"/>
      <c r="E5" s="151"/>
      <c r="F5" s="151"/>
      <c r="G5" s="151"/>
    </row>
    <row r="7" spans="1:9">
      <c r="C7" s="131" t="s">
        <v>364</v>
      </c>
      <c r="D7" s="152">
        <v>0.21</v>
      </c>
    </row>
    <row r="8" spans="1:9" ht="25.05">
      <c r="C8" s="153" t="s">
        <v>978</v>
      </c>
    </row>
    <row r="9" spans="1:9">
      <c r="C9" s="153"/>
    </row>
    <row r="10" spans="1:9">
      <c r="C10" s="153"/>
    </row>
    <row r="11" spans="1:9" ht="13.8" thickBot="1">
      <c r="B11" s="151" t="s">
        <v>369</v>
      </c>
      <c r="C11" s="151"/>
      <c r="D11" s="151"/>
      <c r="E11" s="151"/>
      <c r="F11" s="151"/>
      <c r="G11" s="151"/>
    </row>
    <row r="12" spans="1:9" ht="13.15">
      <c r="B12" s="155"/>
      <c r="C12" s="155"/>
      <c r="D12" s="155"/>
      <c r="E12" s="155"/>
      <c r="F12" s="155"/>
      <c r="G12" s="155"/>
    </row>
    <row r="13" spans="1:9">
      <c r="D13" s="149" t="s">
        <v>368</v>
      </c>
      <c r="E13" s="149" t="s">
        <v>371</v>
      </c>
    </row>
    <row r="14" spans="1:9" ht="29.3" customHeight="1">
      <c r="D14" s="149"/>
      <c r="E14" s="150" t="s">
        <v>978</v>
      </c>
    </row>
    <row r="15" spans="1:9">
      <c r="C15" s="131" t="s">
        <v>365</v>
      </c>
      <c r="D15" s="152">
        <v>9.9900000000000003E-2</v>
      </c>
    </row>
    <row r="16" spans="1:9">
      <c r="C16" s="131" t="s">
        <v>366</v>
      </c>
      <c r="D16" s="152">
        <v>1</v>
      </c>
    </row>
    <row r="17" spans="3:5" ht="13.15" thickBot="1">
      <c r="C17" s="131" t="s">
        <v>367</v>
      </c>
      <c r="D17" s="154">
        <f>D15*D16</f>
        <v>9.9900000000000003E-2</v>
      </c>
      <c r="E17" s="154">
        <f>SUM(D17:D17)</f>
        <v>9.9900000000000003E-2</v>
      </c>
    </row>
    <row r="18" spans="3:5" ht="13.15" thickTop="1"/>
  </sheetData>
  <pageMargins left="0.7" right="0.7" top="0.75" bottom="0.75" header="0.3" footer="0.3"/>
  <pageSetup scale="6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A1:L2253"/>
  <sheetViews>
    <sheetView view="pageBreakPreview" zoomScale="70" zoomScaleNormal="75" zoomScaleSheetLayoutView="70" workbookViewId="0">
      <selection activeCell="L80" sqref="L80"/>
    </sheetView>
  </sheetViews>
  <sheetFormatPr defaultRowHeight="12.55"/>
  <cols>
    <col min="1" max="1" width="7.1796875" style="159" customWidth="1"/>
    <col min="2" max="2" width="2.36328125" style="159" customWidth="1"/>
    <col min="3" max="3" width="6.36328125" style="159" customWidth="1"/>
    <col min="4" max="4" width="33.453125" style="159" customWidth="1"/>
    <col min="5" max="5" width="18" style="159" customWidth="1"/>
    <col min="6" max="6" width="27.6328125" style="159" customWidth="1"/>
    <col min="7" max="7" width="31.81640625" style="159" customWidth="1"/>
    <col min="8" max="8" width="3" style="159" customWidth="1"/>
    <col min="9" max="9" width="23.453125" style="159" customWidth="1"/>
    <col min="10" max="10" width="13.54296875" style="159" bestFit="1" customWidth="1"/>
    <col min="11" max="11" width="17.90625" style="159" bestFit="1" customWidth="1"/>
    <col min="12" max="256" width="8.90625" style="159"/>
    <col min="257" max="257" width="7.1796875" style="159" customWidth="1"/>
    <col min="258" max="258" width="2.36328125" style="159" customWidth="1"/>
    <col min="259" max="259" width="6.36328125" style="159" customWidth="1"/>
    <col min="260" max="260" width="33.453125" style="159" customWidth="1"/>
    <col min="261" max="261" width="18" style="159" customWidth="1"/>
    <col min="262" max="262" width="27.6328125" style="159" customWidth="1"/>
    <col min="263" max="263" width="28.90625" style="159" bestFit="1" customWidth="1"/>
    <col min="264" max="264" width="3" style="159" customWidth="1"/>
    <col min="265" max="265" width="23.453125" style="159" customWidth="1"/>
    <col min="266" max="266" width="8.90625" style="159"/>
    <col min="267" max="267" width="17.90625" style="159" bestFit="1" customWidth="1"/>
    <col min="268" max="512" width="8.90625" style="159"/>
    <col min="513" max="513" width="7.1796875" style="159" customWidth="1"/>
    <col min="514" max="514" width="2.36328125" style="159" customWidth="1"/>
    <col min="515" max="515" width="6.36328125" style="159" customWidth="1"/>
    <col min="516" max="516" width="33.453125" style="159" customWidth="1"/>
    <col min="517" max="517" width="18" style="159" customWidth="1"/>
    <col min="518" max="518" width="27.6328125" style="159" customWidth="1"/>
    <col min="519" max="519" width="28.90625" style="159" bestFit="1" customWidth="1"/>
    <col min="520" max="520" width="3" style="159" customWidth="1"/>
    <col min="521" max="521" width="23.453125" style="159" customWidth="1"/>
    <col min="522" max="522" width="8.90625" style="159"/>
    <col min="523" max="523" width="17.90625" style="159" bestFit="1" customWidth="1"/>
    <col min="524" max="768" width="8.90625" style="159"/>
    <col min="769" max="769" width="7.1796875" style="159" customWidth="1"/>
    <col min="770" max="770" width="2.36328125" style="159" customWidth="1"/>
    <col min="771" max="771" width="6.36328125" style="159" customWidth="1"/>
    <col min="772" max="772" width="33.453125" style="159" customWidth="1"/>
    <col min="773" max="773" width="18" style="159" customWidth="1"/>
    <col min="774" max="774" width="27.6328125" style="159" customWidth="1"/>
    <col min="775" max="775" width="28.90625" style="159" bestFit="1" customWidth="1"/>
    <col min="776" max="776" width="3" style="159" customWidth="1"/>
    <col min="777" max="777" width="23.453125" style="159" customWidth="1"/>
    <col min="778" max="778" width="8.90625" style="159"/>
    <col min="779" max="779" width="17.90625" style="159" bestFit="1" customWidth="1"/>
    <col min="780" max="1024" width="8.90625" style="159"/>
    <col min="1025" max="1025" width="7.1796875" style="159" customWidth="1"/>
    <col min="1026" max="1026" width="2.36328125" style="159" customWidth="1"/>
    <col min="1027" max="1027" width="6.36328125" style="159" customWidth="1"/>
    <col min="1028" max="1028" width="33.453125" style="159" customWidth="1"/>
    <col min="1029" max="1029" width="18" style="159" customWidth="1"/>
    <col min="1030" max="1030" width="27.6328125" style="159" customWidth="1"/>
    <col min="1031" max="1031" width="28.90625" style="159" bestFit="1" customWidth="1"/>
    <col min="1032" max="1032" width="3" style="159" customWidth="1"/>
    <col min="1033" max="1033" width="23.453125" style="159" customWidth="1"/>
    <col min="1034" max="1034" width="8.90625" style="159"/>
    <col min="1035" max="1035" width="17.90625" style="159" bestFit="1" customWidth="1"/>
    <col min="1036" max="1280" width="8.90625" style="159"/>
    <col min="1281" max="1281" width="7.1796875" style="159" customWidth="1"/>
    <col min="1282" max="1282" width="2.36328125" style="159" customWidth="1"/>
    <col min="1283" max="1283" width="6.36328125" style="159" customWidth="1"/>
    <col min="1284" max="1284" width="33.453125" style="159" customWidth="1"/>
    <col min="1285" max="1285" width="18" style="159" customWidth="1"/>
    <col min="1286" max="1286" width="27.6328125" style="159" customWidth="1"/>
    <col min="1287" max="1287" width="28.90625" style="159" bestFit="1" customWidth="1"/>
    <col min="1288" max="1288" width="3" style="159" customWidth="1"/>
    <col min="1289" max="1289" width="23.453125" style="159" customWidth="1"/>
    <col min="1290" max="1290" width="8.90625" style="159"/>
    <col min="1291" max="1291" width="17.90625" style="159" bestFit="1" customWidth="1"/>
    <col min="1292" max="1536" width="8.90625" style="159"/>
    <col min="1537" max="1537" width="7.1796875" style="159" customWidth="1"/>
    <col min="1538" max="1538" width="2.36328125" style="159" customWidth="1"/>
    <col min="1539" max="1539" width="6.36328125" style="159" customWidth="1"/>
    <col min="1540" max="1540" width="33.453125" style="159" customWidth="1"/>
    <col min="1541" max="1541" width="18" style="159" customWidth="1"/>
    <col min="1542" max="1542" width="27.6328125" style="159" customWidth="1"/>
    <col min="1543" max="1543" width="28.90625" style="159" bestFit="1" customWidth="1"/>
    <col min="1544" max="1544" width="3" style="159" customWidth="1"/>
    <col min="1545" max="1545" width="23.453125" style="159" customWidth="1"/>
    <col min="1546" max="1546" width="8.90625" style="159"/>
    <col min="1547" max="1547" width="17.90625" style="159" bestFit="1" customWidth="1"/>
    <col min="1548" max="1792" width="8.90625" style="159"/>
    <col min="1793" max="1793" width="7.1796875" style="159" customWidth="1"/>
    <col min="1794" max="1794" width="2.36328125" style="159" customWidth="1"/>
    <col min="1795" max="1795" width="6.36328125" style="159" customWidth="1"/>
    <col min="1796" max="1796" width="33.453125" style="159" customWidth="1"/>
    <col min="1797" max="1797" width="18" style="159" customWidth="1"/>
    <col min="1798" max="1798" width="27.6328125" style="159" customWidth="1"/>
    <col min="1799" max="1799" width="28.90625" style="159" bestFit="1" customWidth="1"/>
    <col min="1800" max="1800" width="3" style="159" customWidth="1"/>
    <col min="1801" max="1801" width="23.453125" style="159" customWidth="1"/>
    <col min="1802" max="1802" width="8.90625" style="159"/>
    <col min="1803" max="1803" width="17.90625" style="159" bestFit="1" customWidth="1"/>
    <col min="1804" max="2048" width="8.90625" style="159"/>
    <col min="2049" max="2049" width="7.1796875" style="159" customWidth="1"/>
    <col min="2050" max="2050" width="2.36328125" style="159" customWidth="1"/>
    <col min="2051" max="2051" width="6.36328125" style="159" customWidth="1"/>
    <col min="2052" max="2052" width="33.453125" style="159" customWidth="1"/>
    <col min="2053" max="2053" width="18" style="159" customWidth="1"/>
    <col min="2054" max="2054" width="27.6328125" style="159" customWidth="1"/>
    <col min="2055" max="2055" width="28.90625" style="159" bestFit="1" customWidth="1"/>
    <col min="2056" max="2056" width="3" style="159" customWidth="1"/>
    <col min="2057" max="2057" width="23.453125" style="159" customWidth="1"/>
    <col min="2058" max="2058" width="8.90625" style="159"/>
    <col min="2059" max="2059" width="17.90625" style="159" bestFit="1" customWidth="1"/>
    <col min="2060" max="2304" width="8.90625" style="159"/>
    <col min="2305" max="2305" width="7.1796875" style="159" customWidth="1"/>
    <col min="2306" max="2306" width="2.36328125" style="159" customWidth="1"/>
    <col min="2307" max="2307" width="6.36328125" style="159" customWidth="1"/>
    <col min="2308" max="2308" width="33.453125" style="159" customWidth="1"/>
    <col min="2309" max="2309" width="18" style="159" customWidth="1"/>
    <col min="2310" max="2310" width="27.6328125" style="159" customWidth="1"/>
    <col min="2311" max="2311" width="28.90625" style="159" bestFit="1" customWidth="1"/>
    <col min="2312" max="2312" width="3" style="159" customWidth="1"/>
    <col min="2313" max="2313" width="23.453125" style="159" customWidth="1"/>
    <col min="2314" max="2314" width="8.90625" style="159"/>
    <col min="2315" max="2315" width="17.90625" style="159" bestFit="1" customWidth="1"/>
    <col min="2316" max="2560" width="8.90625" style="159"/>
    <col min="2561" max="2561" width="7.1796875" style="159" customWidth="1"/>
    <col min="2562" max="2562" width="2.36328125" style="159" customWidth="1"/>
    <col min="2563" max="2563" width="6.36328125" style="159" customWidth="1"/>
    <col min="2564" max="2564" width="33.453125" style="159" customWidth="1"/>
    <col min="2565" max="2565" width="18" style="159" customWidth="1"/>
    <col min="2566" max="2566" width="27.6328125" style="159" customWidth="1"/>
    <col min="2567" max="2567" width="28.90625" style="159" bestFit="1" customWidth="1"/>
    <col min="2568" max="2568" width="3" style="159" customWidth="1"/>
    <col min="2569" max="2569" width="23.453125" style="159" customWidth="1"/>
    <col min="2570" max="2570" width="8.90625" style="159"/>
    <col min="2571" max="2571" width="17.90625" style="159" bestFit="1" customWidth="1"/>
    <col min="2572" max="2816" width="8.90625" style="159"/>
    <col min="2817" max="2817" width="7.1796875" style="159" customWidth="1"/>
    <col min="2818" max="2818" width="2.36328125" style="159" customWidth="1"/>
    <col min="2819" max="2819" width="6.36328125" style="159" customWidth="1"/>
    <col min="2820" max="2820" width="33.453125" style="159" customWidth="1"/>
    <col min="2821" max="2821" width="18" style="159" customWidth="1"/>
    <col min="2822" max="2822" width="27.6328125" style="159" customWidth="1"/>
    <col min="2823" max="2823" width="28.90625" style="159" bestFit="1" customWidth="1"/>
    <col min="2824" max="2824" width="3" style="159" customWidth="1"/>
    <col min="2825" max="2825" width="23.453125" style="159" customWidth="1"/>
    <col min="2826" max="2826" width="8.90625" style="159"/>
    <col min="2827" max="2827" width="17.90625" style="159" bestFit="1" customWidth="1"/>
    <col min="2828" max="3072" width="8.90625" style="159"/>
    <col min="3073" max="3073" width="7.1796875" style="159" customWidth="1"/>
    <col min="3074" max="3074" width="2.36328125" style="159" customWidth="1"/>
    <col min="3075" max="3075" width="6.36328125" style="159" customWidth="1"/>
    <col min="3076" max="3076" width="33.453125" style="159" customWidth="1"/>
    <col min="3077" max="3077" width="18" style="159" customWidth="1"/>
    <col min="3078" max="3078" width="27.6328125" style="159" customWidth="1"/>
    <col min="3079" max="3079" width="28.90625" style="159" bestFit="1" customWidth="1"/>
    <col min="3080" max="3080" width="3" style="159" customWidth="1"/>
    <col min="3081" max="3081" width="23.453125" style="159" customWidth="1"/>
    <col min="3082" max="3082" width="8.90625" style="159"/>
    <col min="3083" max="3083" width="17.90625" style="159" bestFit="1" customWidth="1"/>
    <col min="3084" max="3328" width="8.90625" style="159"/>
    <col min="3329" max="3329" width="7.1796875" style="159" customWidth="1"/>
    <col min="3330" max="3330" width="2.36328125" style="159" customWidth="1"/>
    <col min="3331" max="3331" width="6.36328125" style="159" customWidth="1"/>
    <col min="3332" max="3332" width="33.453125" style="159" customWidth="1"/>
    <col min="3333" max="3333" width="18" style="159" customWidth="1"/>
    <col min="3334" max="3334" width="27.6328125" style="159" customWidth="1"/>
    <col min="3335" max="3335" width="28.90625" style="159" bestFit="1" customWidth="1"/>
    <col min="3336" max="3336" width="3" style="159" customWidth="1"/>
    <col min="3337" max="3337" width="23.453125" style="159" customWidth="1"/>
    <col min="3338" max="3338" width="8.90625" style="159"/>
    <col min="3339" max="3339" width="17.90625" style="159" bestFit="1" customWidth="1"/>
    <col min="3340" max="3584" width="8.90625" style="159"/>
    <col min="3585" max="3585" width="7.1796875" style="159" customWidth="1"/>
    <col min="3586" max="3586" width="2.36328125" style="159" customWidth="1"/>
    <col min="3587" max="3587" width="6.36328125" style="159" customWidth="1"/>
    <col min="3588" max="3588" width="33.453125" style="159" customWidth="1"/>
    <col min="3589" max="3589" width="18" style="159" customWidth="1"/>
    <col min="3590" max="3590" width="27.6328125" style="159" customWidth="1"/>
    <col min="3591" max="3591" width="28.90625" style="159" bestFit="1" customWidth="1"/>
    <col min="3592" max="3592" width="3" style="159" customWidth="1"/>
    <col min="3593" max="3593" width="23.453125" style="159" customWidth="1"/>
    <col min="3594" max="3594" width="8.90625" style="159"/>
    <col min="3595" max="3595" width="17.90625" style="159" bestFit="1" customWidth="1"/>
    <col min="3596" max="3840" width="8.90625" style="159"/>
    <col min="3841" max="3841" width="7.1796875" style="159" customWidth="1"/>
    <col min="3842" max="3842" width="2.36328125" style="159" customWidth="1"/>
    <col min="3843" max="3843" width="6.36328125" style="159" customWidth="1"/>
    <col min="3844" max="3844" width="33.453125" style="159" customWidth="1"/>
    <col min="3845" max="3845" width="18" style="159" customWidth="1"/>
    <col min="3846" max="3846" width="27.6328125" style="159" customWidth="1"/>
    <col min="3847" max="3847" width="28.90625" style="159" bestFit="1" customWidth="1"/>
    <col min="3848" max="3848" width="3" style="159" customWidth="1"/>
    <col min="3849" max="3849" width="23.453125" style="159" customWidth="1"/>
    <col min="3850" max="3850" width="8.90625" style="159"/>
    <col min="3851" max="3851" width="17.90625" style="159" bestFit="1" customWidth="1"/>
    <col min="3852" max="4096" width="8.90625" style="159"/>
    <col min="4097" max="4097" width="7.1796875" style="159" customWidth="1"/>
    <col min="4098" max="4098" width="2.36328125" style="159" customWidth="1"/>
    <col min="4099" max="4099" width="6.36328125" style="159" customWidth="1"/>
    <col min="4100" max="4100" width="33.453125" style="159" customWidth="1"/>
    <col min="4101" max="4101" width="18" style="159" customWidth="1"/>
    <col min="4102" max="4102" width="27.6328125" style="159" customWidth="1"/>
    <col min="4103" max="4103" width="28.90625" style="159" bestFit="1" customWidth="1"/>
    <col min="4104" max="4104" width="3" style="159" customWidth="1"/>
    <col min="4105" max="4105" width="23.453125" style="159" customWidth="1"/>
    <col min="4106" max="4106" width="8.90625" style="159"/>
    <col min="4107" max="4107" width="17.90625" style="159" bestFit="1" customWidth="1"/>
    <col min="4108" max="4352" width="8.90625" style="159"/>
    <col min="4353" max="4353" width="7.1796875" style="159" customWidth="1"/>
    <col min="4354" max="4354" width="2.36328125" style="159" customWidth="1"/>
    <col min="4355" max="4355" width="6.36328125" style="159" customWidth="1"/>
    <col min="4356" max="4356" width="33.453125" style="159" customWidth="1"/>
    <col min="4357" max="4357" width="18" style="159" customWidth="1"/>
    <col min="4358" max="4358" width="27.6328125" style="159" customWidth="1"/>
    <col min="4359" max="4359" width="28.90625" style="159" bestFit="1" customWidth="1"/>
    <col min="4360" max="4360" width="3" style="159" customWidth="1"/>
    <col min="4361" max="4361" width="23.453125" style="159" customWidth="1"/>
    <col min="4362" max="4362" width="8.90625" style="159"/>
    <col min="4363" max="4363" width="17.90625" style="159" bestFit="1" customWidth="1"/>
    <col min="4364" max="4608" width="8.90625" style="159"/>
    <col min="4609" max="4609" width="7.1796875" style="159" customWidth="1"/>
    <col min="4610" max="4610" width="2.36328125" style="159" customWidth="1"/>
    <col min="4611" max="4611" width="6.36328125" style="159" customWidth="1"/>
    <col min="4612" max="4612" width="33.453125" style="159" customWidth="1"/>
    <col min="4613" max="4613" width="18" style="159" customWidth="1"/>
    <col min="4614" max="4614" width="27.6328125" style="159" customWidth="1"/>
    <col min="4615" max="4615" width="28.90625" style="159" bestFit="1" customWidth="1"/>
    <col min="4616" max="4616" width="3" style="159" customWidth="1"/>
    <col min="4617" max="4617" width="23.453125" style="159" customWidth="1"/>
    <col min="4618" max="4618" width="8.90625" style="159"/>
    <col min="4619" max="4619" width="17.90625" style="159" bestFit="1" customWidth="1"/>
    <col min="4620" max="4864" width="8.90625" style="159"/>
    <col min="4865" max="4865" width="7.1796875" style="159" customWidth="1"/>
    <col min="4866" max="4866" width="2.36328125" style="159" customWidth="1"/>
    <col min="4867" max="4867" width="6.36328125" style="159" customWidth="1"/>
    <col min="4868" max="4868" width="33.453125" style="159" customWidth="1"/>
    <col min="4869" max="4869" width="18" style="159" customWidth="1"/>
    <col min="4870" max="4870" width="27.6328125" style="159" customWidth="1"/>
    <col min="4871" max="4871" width="28.90625" style="159" bestFit="1" customWidth="1"/>
    <col min="4872" max="4872" width="3" style="159" customWidth="1"/>
    <col min="4873" max="4873" width="23.453125" style="159" customWidth="1"/>
    <col min="4874" max="4874" width="8.90625" style="159"/>
    <col min="4875" max="4875" width="17.90625" style="159" bestFit="1" customWidth="1"/>
    <col min="4876" max="5120" width="8.90625" style="159"/>
    <col min="5121" max="5121" width="7.1796875" style="159" customWidth="1"/>
    <col min="5122" max="5122" width="2.36328125" style="159" customWidth="1"/>
    <col min="5123" max="5123" width="6.36328125" style="159" customWidth="1"/>
    <col min="5124" max="5124" width="33.453125" style="159" customWidth="1"/>
    <col min="5125" max="5125" width="18" style="159" customWidth="1"/>
    <col min="5126" max="5126" width="27.6328125" style="159" customWidth="1"/>
    <col min="5127" max="5127" width="28.90625" style="159" bestFit="1" customWidth="1"/>
    <col min="5128" max="5128" width="3" style="159" customWidth="1"/>
    <col min="5129" max="5129" width="23.453125" style="159" customWidth="1"/>
    <col min="5130" max="5130" width="8.90625" style="159"/>
    <col min="5131" max="5131" width="17.90625" style="159" bestFit="1" customWidth="1"/>
    <col min="5132" max="5376" width="8.90625" style="159"/>
    <col min="5377" max="5377" width="7.1796875" style="159" customWidth="1"/>
    <col min="5378" max="5378" width="2.36328125" style="159" customWidth="1"/>
    <col min="5379" max="5379" width="6.36328125" style="159" customWidth="1"/>
    <col min="5380" max="5380" width="33.453125" style="159" customWidth="1"/>
    <col min="5381" max="5381" width="18" style="159" customWidth="1"/>
    <col min="5382" max="5382" width="27.6328125" style="159" customWidth="1"/>
    <col min="5383" max="5383" width="28.90625" style="159" bestFit="1" customWidth="1"/>
    <col min="5384" max="5384" width="3" style="159" customWidth="1"/>
    <col min="5385" max="5385" width="23.453125" style="159" customWidth="1"/>
    <col min="5386" max="5386" width="8.90625" style="159"/>
    <col min="5387" max="5387" width="17.90625" style="159" bestFit="1" customWidth="1"/>
    <col min="5388" max="5632" width="8.90625" style="159"/>
    <col min="5633" max="5633" width="7.1796875" style="159" customWidth="1"/>
    <col min="5634" max="5634" width="2.36328125" style="159" customWidth="1"/>
    <col min="5635" max="5635" width="6.36328125" style="159" customWidth="1"/>
    <col min="5636" max="5636" width="33.453125" style="159" customWidth="1"/>
    <col min="5637" max="5637" width="18" style="159" customWidth="1"/>
    <col min="5638" max="5638" width="27.6328125" style="159" customWidth="1"/>
    <col min="5639" max="5639" width="28.90625" style="159" bestFit="1" customWidth="1"/>
    <col min="5640" max="5640" width="3" style="159" customWidth="1"/>
    <col min="5641" max="5641" width="23.453125" style="159" customWidth="1"/>
    <col min="5642" max="5642" width="8.90625" style="159"/>
    <col min="5643" max="5643" width="17.90625" style="159" bestFit="1" customWidth="1"/>
    <col min="5644" max="5888" width="8.90625" style="159"/>
    <col min="5889" max="5889" width="7.1796875" style="159" customWidth="1"/>
    <col min="5890" max="5890" width="2.36328125" style="159" customWidth="1"/>
    <col min="5891" max="5891" width="6.36328125" style="159" customWidth="1"/>
    <col min="5892" max="5892" width="33.453125" style="159" customWidth="1"/>
    <col min="5893" max="5893" width="18" style="159" customWidth="1"/>
    <col min="5894" max="5894" width="27.6328125" style="159" customWidth="1"/>
    <col min="5895" max="5895" width="28.90625" style="159" bestFit="1" customWidth="1"/>
    <col min="5896" max="5896" width="3" style="159" customWidth="1"/>
    <col min="5897" max="5897" width="23.453125" style="159" customWidth="1"/>
    <col min="5898" max="5898" width="8.90625" style="159"/>
    <col min="5899" max="5899" width="17.90625" style="159" bestFit="1" customWidth="1"/>
    <col min="5900" max="6144" width="8.90625" style="159"/>
    <col min="6145" max="6145" width="7.1796875" style="159" customWidth="1"/>
    <col min="6146" max="6146" width="2.36328125" style="159" customWidth="1"/>
    <col min="6147" max="6147" width="6.36328125" style="159" customWidth="1"/>
    <col min="6148" max="6148" width="33.453125" style="159" customWidth="1"/>
    <col min="6149" max="6149" width="18" style="159" customWidth="1"/>
    <col min="6150" max="6150" width="27.6328125" style="159" customWidth="1"/>
    <col min="6151" max="6151" width="28.90625" style="159" bestFit="1" customWidth="1"/>
    <col min="6152" max="6152" width="3" style="159" customWidth="1"/>
    <col min="6153" max="6153" width="23.453125" style="159" customWidth="1"/>
    <col min="6154" max="6154" width="8.90625" style="159"/>
    <col min="6155" max="6155" width="17.90625" style="159" bestFit="1" customWidth="1"/>
    <col min="6156" max="6400" width="8.90625" style="159"/>
    <col min="6401" max="6401" width="7.1796875" style="159" customWidth="1"/>
    <col min="6402" max="6402" width="2.36328125" style="159" customWidth="1"/>
    <col min="6403" max="6403" width="6.36328125" style="159" customWidth="1"/>
    <col min="6404" max="6404" width="33.453125" style="159" customWidth="1"/>
    <col min="6405" max="6405" width="18" style="159" customWidth="1"/>
    <col min="6406" max="6406" width="27.6328125" style="159" customWidth="1"/>
    <col min="6407" max="6407" width="28.90625" style="159" bestFit="1" customWidth="1"/>
    <col min="6408" max="6408" width="3" style="159" customWidth="1"/>
    <col min="6409" max="6409" width="23.453125" style="159" customWidth="1"/>
    <col min="6410" max="6410" width="8.90625" style="159"/>
    <col min="6411" max="6411" width="17.90625" style="159" bestFit="1" customWidth="1"/>
    <col min="6412" max="6656" width="8.90625" style="159"/>
    <col min="6657" max="6657" width="7.1796875" style="159" customWidth="1"/>
    <col min="6658" max="6658" width="2.36328125" style="159" customWidth="1"/>
    <col min="6659" max="6659" width="6.36328125" style="159" customWidth="1"/>
    <col min="6660" max="6660" width="33.453125" style="159" customWidth="1"/>
    <col min="6661" max="6661" width="18" style="159" customWidth="1"/>
    <col min="6662" max="6662" width="27.6328125" style="159" customWidth="1"/>
    <col min="6663" max="6663" width="28.90625" style="159" bestFit="1" customWidth="1"/>
    <col min="6664" max="6664" width="3" style="159" customWidth="1"/>
    <col min="6665" max="6665" width="23.453125" style="159" customWidth="1"/>
    <col min="6666" max="6666" width="8.90625" style="159"/>
    <col min="6667" max="6667" width="17.90625" style="159" bestFit="1" customWidth="1"/>
    <col min="6668" max="6912" width="8.90625" style="159"/>
    <col min="6913" max="6913" width="7.1796875" style="159" customWidth="1"/>
    <col min="6914" max="6914" width="2.36328125" style="159" customWidth="1"/>
    <col min="6915" max="6915" width="6.36328125" style="159" customWidth="1"/>
    <col min="6916" max="6916" width="33.453125" style="159" customWidth="1"/>
    <col min="6917" max="6917" width="18" style="159" customWidth="1"/>
    <col min="6918" max="6918" width="27.6328125" style="159" customWidth="1"/>
    <col min="6919" max="6919" width="28.90625" style="159" bestFit="1" customWidth="1"/>
    <col min="6920" max="6920" width="3" style="159" customWidth="1"/>
    <col min="6921" max="6921" width="23.453125" style="159" customWidth="1"/>
    <col min="6922" max="6922" width="8.90625" style="159"/>
    <col min="6923" max="6923" width="17.90625" style="159" bestFit="1" customWidth="1"/>
    <col min="6924" max="7168" width="8.90625" style="159"/>
    <col min="7169" max="7169" width="7.1796875" style="159" customWidth="1"/>
    <col min="7170" max="7170" width="2.36328125" style="159" customWidth="1"/>
    <col min="7171" max="7171" width="6.36328125" style="159" customWidth="1"/>
    <col min="7172" max="7172" width="33.453125" style="159" customWidth="1"/>
    <col min="7173" max="7173" width="18" style="159" customWidth="1"/>
    <col min="7174" max="7174" width="27.6328125" style="159" customWidth="1"/>
    <col min="7175" max="7175" width="28.90625" style="159" bestFit="1" customWidth="1"/>
    <col min="7176" max="7176" width="3" style="159" customWidth="1"/>
    <col min="7177" max="7177" width="23.453125" style="159" customWidth="1"/>
    <col min="7178" max="7178" width="8.90625" style="159"/>
    <col min="7179" max="7179" width="17.90625" style="159" bestFit="1" customWidth="1"/>
    <col min="7180" max="7424" width="8.90625" style="159"/>
    <col min="7425" max="7425" width="7.1796875" style="159" customWidth="1"/>
    <col min="7426" max="7426" width="2.36328125" style="159" customWidth="1"/>
    <col min="7427" max="7427" width="6.36328125" style="159" customWidth="1"/>
    <col min="7428" max="7428" width="33.453125" style="159" customWidth="1"/>
    <col min="7429" max="7429" width="18" style="159" customWidth="1"/>
    <col min="7430" max="7430" width="27.6328125" style="159" customWidth="1"/>
    <col min="7431" max="7431" width="28.90625" style="159" bestFit="1" customWidth="1"/>
    <col min="7432" max="7432" width="3" style="159" customWidth="1"/>
    <col min="7433" max="7433" width="23.453125" style="159" customWidth="1"/>
    <col min="7434" max="7434" width="8.90625" style="159"/>
    <col min="7435" max="7435" width="17.90625" style="159" bestFit="1" customWidth="1"/>
    <col min="7436" max="7680" width="8.90625" style="159"/>
    <col min="7681" max="7681" width="7.1796875" style="159" customWidth="1"/>
    <col min="7682" max="7682" width="2.36328125" style="159" customWidth="1"/>
    <col min="7683" max="7683" width="6.36328125" style="159" customWidth="1"/>
    <col min="7684" max="7684" width="33.453125" style="159" customWidth="1"/>
    <col min="7685" max="7685" width="18" style="159" customWidth="1"/>
    <col min="7686" max="7686" width="27.6328125" style="159" customWidth="1"/>
    <col min="7687" max="7687" width="28.90625" style="159" bestFit="1" customWidth="1"/>
    <col min="7688" max="7688" width="3" style="159" customWidth="1"/>
    <col min="7689" max="7689" width="23.453125" style="159" customWidth="1"/>
    <col min="7690" max="7690" width="8.90625" style="159"/>
    <col min="7691" max="7691" width="17.90625" style="159" bestFit="1" customWidth="1"/>
    <col min="7692" max="7936" width="8.90625" style="159"/>
    <col min="7937" max="7937" width="7.1796875" style="159" customWidth="1"/>
    <col min="7938" max="7938" width="2.36328125" style="159" customWidth="1"/>
    <col min="7939" max="7939" width="6.36328125" style="159" customWidth="1"/>
    <col min="7940" max="7940" width="33.453125" style="159" customWidth="1"/>
    <col min="7941" max="7941" width="18" style="159" customWidth="1"/>
    <col min="7942" max="7942" width="27.6328125" style="159" customWidth="1"/>
    <col min="7943" max="7943" width="28.90625" style="159" bestFit="1" customWidth="1"/>
    <col min="7944" max="7944" width="3" style="159" customWidth="1"/>
    <col min="7945" max="7945" width="23.453125" style="159" customWidth="1"/>
    <col min="7946" max="7946" width="8.90625" style="159"/>
    <col min="7947" max="7947" width="17.90625" style="159" bestFit="1" customWidth="1"/>
    <col min="7948" max="8192" width="8.90625" style="159"/>
    <col min="8193" max="8193" width="7.1796875" style="159" customWidth="1"/>
    <col min="8194" max="8194" width="2.36328125" style="159" customWidth="1"/>
    <col min="8195" max="8195" width="6.36328125" style="159" customWidth="1"/>
    <col min="8196" max="8196" width="33.453125" style="159" customWidth="1"/>
    <col min="8197" max="8197" width="18" style="159" customWidth="1"/>
    <col min="8198" max="8198" width="27.6328125" style="159" customWidth="1"/>
    <col min="8199" max="8199" width="28.90625" style="159" bestFit="1" customWidth="1"/>
    <col min="8200" max="8200" width="3" style="159" customWidth="1"/>
    <col min="8201" max="8201" width="23.453125" style="159" customWidth="1"/>
    <col min="8202" max="8202" width="8.90625" style="159"/>
    <col min="8203" max="8203" width="17.90625" style="159" bestFit="1" customWidth="1"/>
    <col min="8204" max="8448" width="8.90625" style="159"/>
    <col min="8449" max="8449" width="7.1796875" style="159" customWidth="1"/>
    <col min="8450" max="8450" width="2.36328125" style="159" customWidth="1"/>
    <col min="8451" max="8451" width="6.36328125" style="159" customWidth="1"/>
    <col min="8452" max="8452" width="33.453125" style="159" customWidth="1"/>
    <col min="8453" max="8453" width="18" style="159" customWidth="1"/>
    <col min="8454" max="8454" width="27.6328125" style="159" customWidth="1"/>
    <col min="8455" max="8455" width="28.90625" style="159" bestFit="1" customWidth="1"/>
    <col min="8456" max="8456" width="3" style="159" customWidth="1"/>
    <col min="8457" max="8457" width="23.453125" style="159" customWidth="1"/>
    <col min="8458" max="8458" width="8.90625" style="159"/>
    <col min="8459" max="8459" width="17.90625" style="159" bestFit="1" customWidth="1"/>
    <col min="8460" max="8704" width="8.90625" style="159"/>
    <col min="8705" max="8705" width="7.1796875" style="159" customWidth="1"/>
    <col min="8706" max="8706" width="2.36328125" style="159" customWidth="1"/>
    <col min="8707" max="8707" width="6.36328125" style="159" customWidth="1"/>
    <col min="8708" max="8708" width="33.453125" style="159" customWidth="1"/>
    <col min="8709" max="8709" width="18" style="159" customWidth="1"/>
    <col min="8710" max="8710" width="27.6328125" style="159" customWidth="1"/>
    <col min="8711" max="8711" width="28.90625" style="159" bestFit="1" customWidth="1"/>
    <col min="8712" max="8712" width="3" style="159" customWidth="1"/>
    <col min="8713" max="8713" width="23.453125" style="159" customWidth="1"/>
    <col min="8714" max="8714" width="8.90625" style="159"/>
    <col min="8715" max="8715" width="17.90625" style="159" bestFit="1" customWidth="1"/>
    <col min="8716" max="8960" width="8.90625" style="159"/>
    <col min="8961" max="8961" width="7.1796875" style="159" customWidth="1"/>
    <col min="8962" max="8962" width="2.36328125" style="159" customWidth="1"/>
    <col min="8963" max="8963" width="6.36328125" style="159" customWidth="1"/>
    <col min="8964" max="8964" width="33.453125" style="159" customWidth="1"/>
    <col min="8965" max="8965" width="18" style="159" customWidth="1"/>
    <col min="8966" max="8966" width="27.6328125" style="159" customWidth="1"/>
    <col min="8967" max="8967" width="28.90625" style="159" bestFit="1" customWidth="1"/>
    <col min="8968" max="8968" width="3" style="159" customWidth="1"/>
    <col min="8969" max="8969" width="23.453125" style="159" customWidth="1"/>
    <col min="8970" max="8970" width="8.90625" style="159"/>
    <col min="8971" max="8971" width="17.90625" style="159" bestFit="1" customWidth="1"/>
    <col min="8972" max="9216" width="8.90625" style="159"/>
    <col min="9217" max="9217" width="7.1796875" style="159" customWidth="1"/>
    <col min="9218" max="9218" width="2.36328125" style="159" customWidth="1"/>
    <col min="9219" max="9219" width="6.36328125" style="159" customWidth="1"/>
    <col min="9220" max="9220" width="33.453125" style="159" customWidth="1"/>
    <col min="9221" max="9221" width="18" style="159" customWidth="1"/>
    <col min="9222" max="9222" width="27.6328125" style="159" customWidth="1"/>
    <col min="9223" max="9223" width="28.90625" style="159" bestFit="1" customWidth="1"/>
    <col min="9224" max="9224" width="3" style="159" customWidth="1"/>
    <col min="9225" max="9225" width="23.453125" style="159" customWidth="1"/>
    <col min="9226" max="9226" width="8.90625" style="159"/>
    <col min="9227" max="9227" width="17.90625" style="159" bestFit="1" customWidth="1"/>
    <col min="9228" max="9472" width="8.90625" style="159"/>
    <col min="9473" max="9473" width="7.1796875" style="159" customWidth="1"/>
    <col min="9474" max="9474" width="2.36328125" style="159" customWidth="1"/>
    <col min="9475" max="9475" width="6.36328125" style="159" customWidth="1"/>
    <col min="9476" max="9476" width="33.453125" style="159" customWidth="1"/>
    <col min="9477" max="9477" width="18" style="159" customWidth="1"/>
    <col min="9478" max="9478" width="27.6328125" style="159" customWidth="1"/>
    <col min="9479" max="9479" width="28.90625" style="159" bestFit="1" customWidth="1"/>
    <col min="9480" max="9480" width="3" style="159" customWidth="1"/>
    <col min="9481" max="9481" width="23.453125" style="159" customWidth="1"/>
    <col min="9482" max="9482" width="8.90625" style="159"/>
    <col min="9483" max="9483" width="17.90625" style="159" bestFit="1" customWidth="1"/>
    <col min="9484" max="9728" width="8.90625" style="159"/>
    <col min="9729" max="9729" width="7.1796875" style="159" customWidth="1"/>
    <col min="9730" max="9730" width="2.36328125" style="159" customWidth="1"/>
    <col min="9731" max="9731" width="6.36328125" style="159" customWidth="1"/>
    <col min="9732" max="9732" width="33.453125" style="159" customWidth="1"/>
    <col min="9733" max="9733" width="18" style="159" customWidth="1"/>
    <col min="9734" max="9734" width="27.6328125" style="159" customWidth="1"/>
    <col min="9735" max="9735" width="28.90625" style="159" bestFit="1" customWidth="1"/>
    <col min="9736" max="9736" width="3" style="159" customWidth="1"/>
    <col min="9737" max="9737" width="23.453125" style="159" customWidth="1"/>
    <col min="9738" max="9738" width="8.90625" style="159"/>
    <col min="9739" max="9739" width="17.90625" style="159" bestFit="1" customWidth="1"/>
    <col min="9740" max="9984" width="8.90625" style="159"/>
    <col min="9985" max="9985" width="7.1796875" style="159" customWidth="1"/>
    <col min="9986" max="9986" width="2.36328125" style="159" customWidth="1"/>
    <col min="9987" max="9987" width="6.36328125" style="159" customWidth="1"/>
    <col min="9988" max="9988" width="33.453125" style="159" customWidth="1"/>
    <col min="9989" max="9989" width="18" style="159" customWidth="1"/>
    <col min="9990" max="9990" width="27.6328125" style="159" customWidth="1"/>
    <col min="9991" max="9991" width="28.90625" style="159" bestFit="1" customWidth="1"/>
    <col min="9992" max="9992" width="3" style="159" customWidth="1"/>
    <col min="9993" max="9993" width="23.453125" style="159" customWidth="1"/>
    <col min="9994" max="9994" width="8.90625" style="159"/>
    <col min="9995" max="9995" width="17.90625" style="159" bestFit="1" customWidth="1"/>
    <col min="9996" max="10240" width="8.90625" style="159"/>
    <col min="10241" max="10241" width="7.1796875" style="159" customWidth="1"/>
    <col min="10242" max="10242" width="2.36328125" style="159" customWidth="1"/>
    <col min="10243" max="10243" width="6.36328125" style="159" customWidth="1"/>
    <col min="10244" max="10244" width="33.453125" style="159" customWidth="1"/>
    <col min="10245" max="10245" width="18" style="159" customWidth="1"/>
    <col min="10246" max="10246" width="27.6328125" style="159" customWidth="1"/>
    <col min="10247" max="10247" width="28.90625" style="159" bestFit="1" customWidth="1"/>
    <col min="10248" max="10248" width="3" style="159" customWidth="1"/>
    <col min="10249" max="10249" width="23.453125" style="159" customWidth="1"/>
    <col min="10250" max="10250" width="8.90625" style="159"/>
    <col min="10251" max="10251" width="17.90625" style="159" bestFit="1" customWidth="1"/>
    <col min="10252" max="10496" width="8.90625" style="159"/>
    <col min="10497" max="10497" width="7.1796875" style="159" customWidth="1"/>
    <col min="10498" max="10498" width="2.36328125" style="159" customWidth="1"/>
    <col min="10499" max="10499" width="6.36328125" style="159" customWidth="1"/>
    <col min="10500" max="10500" width="33.453125" style="159" customWidth="1"/>
    <col min="10501" max="10501" width="18" style="159" customWidth="1"/>
    <col min="10502" max="10502" width="27.6328125" style="159" customWidth="1"/>
    <col min="10503" max="10503" width="28.90625" style="159" bestFit="1" customWidth="1"/>
    <col min="10504" max="10504" width="3" style="159" customWidth="1"/>
    <col min="10505" max="10505" width="23.453125" style="159" customWidth="1"/>
    <col min="10506" max="10506" width="8.90625" style="159"/>
    <col min="10507" max="10507" width="17.90625" style="159" bestFit="1" customWidth="1"/>
    <col min="10508" max="10752" width="8.90625" style="159"/>
    <col min="10753" max="10753" width="7.1796875" style="159" customWidth="1"/>
    <col min="10754" max="10754" width="2.36328125" style="159" customWidth="1"/>
    <col min="10755" max="10755" width="6.36328125" style="159" customWidth="1"/>
    <col min="10756" max="10756" width="33.453125" style="159" customWidth="1"/>
    <col min="10757" max="10757" width="18" style="159" customWidth="1"/>
    <col min="10758" max="10758" width="27.6328125" style="159" customWidth="1"/>
    <col min="10759" max="10759" width="28.90625" style="159" bestFit="1" customWidth="1"/>
    <col min="10760" max="10760" width="3" style="159" customWidth="1"/>
    <col min="10761" max="10761" width="23.453125" style="159" customWidth="1"/>
    <col min="10762" max="10762" width="8.90625" style="159"/>
    <col min="10763" max="10763" width="17.90625" style="159" bestFit="1" customWidth="1"/>
    <col min="10764" max="11008" width="8.90625" style="159"/>
    <col min="11009" max="11009" width="7.1796875" style="159" customWidth="1"/>
    <col min="11010" max="11010" width="2.36328125" style="159" customWidth="1"/>
    <col min="11011" max="11011" width="6.36328125" style="159" customWidth="1"/>
    <col min="11012" max="11012" width="33.453125" style="159" customWidth="1"/>
    <col min="11013" max="11013" width="18" style="159" customWidth="1"/>
    <col min="11014" max="11014" width="27.6328125" style="159" customWidth="1"/>
    <col min="11015" max="11015" width="28.90625" style="159" bestFit="1" customWidth="1"/>
    <col min="11016" max="11016" width="3" style="159" customWidth="1"/>
    <col min="11017" max="11017" width="23.453125" style="159" customWidth="1"/>
    <col min="11018" max="11018" width="8.90625" style="159"/>
    <col min="11019" max="11019" width="17.90625" style="159" bestFit="1" customWidth="1"/>
    <col min="11020" max="11264" width="8.90625" style="159"/>
    <col min="11265" max="11265" width="7.1796875" style="159" customWidth="1"/>
    <col min="11266" max="11266" width="2.36328125" style="159" customWidth="1"/>
    <col min="11267" max="11267" width="6.36328125" style="159" customWidth="1"/>
    <col min="11268" max="11268" width="33.453125" style="159" customWidth="1"/>
    <col min="11269" max="11269" width="18" style="159" customWidth="1"/>
    <col min="11270" max="11270" width="27.6328125" style="159" customWidth="1"/>
    <col min="11271" max="11271" width="28.90625" style="159" bestFit="1" customWidth="1"/>
    <col min="11272" max="11272" width="3" style="159" customWidth="1"/>
    <col min="11273" max="11273" width="23.453125" style="159" customWidth="1"/>
    <col min="11274" max="11274" width="8.90625" style="159"/>
    <col min="11275" max="11275" width="17.90625" style="159" bestFit="1" customWidth="1"/>
    <col min="11276" max="11520" width="8.90625" style="159"/>
    <col min="11521" max="11521" width="7.1796875" style="159" customWidth="1"/>
    <col min="11522" max="11522" width="2.36328125" style="159" customWidth="1"/>
    <col min="11523" max="11523" width="6.36328125" style="159" customWidth="1"/>
    <col min="11524" max="11524" width="33.453125" style="159" customWidth="1"/>
    <col min="11525" max="11525" width="18" style="159" customWidth="1"/>
    <col min="11526" max="11526" width="27.6328125" style="159" customWidth="1"/>
    <col min="11527" max="11527" width="28.90625" style="159" bestFit="1" customWidth="1"/>
    <col min="11528" max="11528" width="3" style="159" customWidth="1"/>
    <col min="11529" max="11529" width="23.453125" style="159" customWidth="1"/>
    <col min="11530" max="11530" width="8.90625" style="159"/>
    <col min="11531" max="11531" width="17.90625" style="159" bestFit="1" customWidth="1"/>
    <col min="11532" max="11776" width="8.90625" style="159"/>
    <col min="11777" max="11777" width="7.1796875" style="159" customWidth="1"/>
    <col min="11778" max="11778" width="2.36328125" style="159" customWidth="1"/>
    <col min="11779" max="11779" width="6.36328125" style="159" customWidth="1"/>
    <col min="11780" max="11780" width="33.453125" style="159" customWidth="1"/>
    <col min="11781" max="11781" width="18" style="159" customWidth="1"/>
    <col min="11782" max="11782" width="27.6328125" style="159" customWidth="1"/>
    <col min="11783" max="11783" width="28.90625" style="159" bestFit="1" customWidth="1"/>
    <col min="11784" max="11784" width="3" style="159" customWidth="1"/>
    <col min="11785" max="11785" width="23.453125" style="159" customWidth="1"/>
    <col min="11786" max="11786" width="8.90625" style="159"/>
    <col min="11787" max="11787" width="17.90625" style="159" bestFit="1" customWidth="1"/>
    <col min="11788" max="12032" width="8.90625" style="159"/>
    <col min="12033" max="12033" width="7.1796875" style="159" customWidth="1"/>
    <col min="12034" max="12034" width="2.36328125" style="159" customWidth="1"/>
    <col min="12035" max="12035" width="6.36328125" style="159" customWidth="1"/>
    <col min="12036" max="12036" width="33.453125" style="159" customWidth="1"/>
    <col min="12037" max="12037" width="18" style="159" customWidth="1"/>
    <col min="12038" max="12038" width="27.6328125" style="159" customWidth="1"/>
    <col min="12039" max="12039" width="28.90625" style="159" bestFit="1" customWidth="1"/>
    <col min="12040" max="12040" width="3" style="159" customWidth="1"/>
    <col min="12041" max="12041" width="23.453125" style="159" customWidth="1"/>
    <col min="12042" max="12042" width="8.90625" style="159"/>
    <col min="12043" max="12043" width="17.90625" style="159" bestFit="1" customWidth="1"/>
    <col min="12044" max="12288" width="8.90625" style="159"/>
    <col min="12289" max="12289" width="7.1796875" style="159" customWidth="1"/>
    <col min="12290" max="12290" width="2.36328125" style="159" customWidth="1"/>
    <col min="12291" max="12291" width="6.36328125" style="159" customWidth="1"/>
    <col min="12292" max="12292" width="33.453125" style="159" customWidth="1"/>
    <col min="12293" max="12293" width="18" style="159" customWidth="1"/>
    <col min="12294" max="12294" width="27.6328125" style="159" customWidth="1"/>
    <col min="12295" max="12295" width="28.90625" style="159" bestFit="1" customWidth="1"/>
    <col min="12296" max="12296" width="3" style="159" customWidth="1"/>
    <col min="12297" max="12297" width="23.453125" style="159" customWidth="1"/>
    <col min="12298" max="12298" width="8.90625" style="159"/>
    <col min="12299" max="12299" width="17.90625" style="159" bestFit="1" customWidth="1"/>
    <col min="12300" max="12544" width="8.90625" style="159"/>
    <col min="12545" max="12545" width="7.1796875" style="159" customWidth="1"/>
    <col min="12546" max="12546" width="2.36328125" style="159" customWidth="1"/>
    <col min="12547" max="12547" width="6.36328125" style="159" customWidth="1"/>
    <col min="12548" max="12548" width="33.453125" style="159" customWidth="1"/>
    <col min="12549" max="12549" width="18" style="159" customWidth="1"/>
    <col min="12550" max="12550" width="27.6328125" style="159" customWidth="1"/>
    <col min="12551" max="12551" width="28.90625" style="159" bestFit="1" customWidth="1"/>
    <col min="12552" max="12552" width="3" style="159" customWidth="1"/>
    <col min="12553" max="12553" width="23.453125" style="159" customWidth="1"/>
    <col min="12554" max="12554" width="8.90625" style="159"/>
    <col min="12555" max="12555" width="17.90625" style="159" bestFit="1" customWidth="1"/>
    <col min="12556" max="12800" width="8.90625" style="159"/>
    <col min="12801" max="12801" width="7.1796875" style="159" customWidth="1"/>
    <col min="12802" max="12802" width="2.36328125" style="159" customWidth="1"/>
    <col min="12803" max="12803" width="6.36328125" style="159" customWidth="1"/>
    <col min="12804" max="12804" width="33.453125" style="159" customWidth="1"/>
    <col min="12805" max="12805" width="18" style="159" customWidth="1"/>
    <col min="12806" max="12806" width="27.6328125" style="159" customWidth="1"/>
    <col min="12807" max="12807" width="28.90625" style="159" bestFit="1" customWidth="1"/>
    <col min="12808" max="12808" width="3" style="159" customWidth="1"/>
    <col min="12809" max="12809" width="23.453125" style="159" customWidth="1"/>
    <col min="12810" max="12810" width="8.90625" style="159"/>
    <col min="12811" max="12811" width="17.90625" style="159" bestFit="1" customWidth="1"/>
    <col min="12812" max="13056" width="8.90625" style="159"/>
    <col min="13057" max="13057" width="7.1796875" style="159" customWidth="1"/>
    <col min="13058" max="13058" width="2.36328125" style="159" customWidth="1"/>
    <col min="13059" max="13059" width="6.36328125" style="159" customWidth="1"/>
    <col min="13060" max="13060" width="33.453125" style="159" customWidth="1"/>
    <col min="13061" max="13061" width="18" style="159" customWidth="1"/>
    <col min="13062" max="13062" width="27.6328125" style="159" customWidth="1"/>
    <col min="13063" max="13063" width="28.90625" style="159" bestFit="1" customWidth="1"/>
    <col min="13064" max="13064" width="3" style="159" customWidth="1"/>
    <col min="13065" max="13065" width="23.453125" style="159" customWidth="1"/>
    <col min="13066" max="13066" width="8.90625" style="159"/>
    <col min="13067" max="13067" width="17.90625" style="159" bestFit="1" customWidth="1"/>
    <col min="13068" max="13312" width="8.90625" style="159"/>
    <col min="13313" max="13313" width="7.1796875" style="159" customWidth="1"/>
    <col min="13314" max="13314" width="2.36328125" style="159" customWidth="1"/>
    <col min="13315" max="13315" width="6.36328125" style="159" customWidth="1"/>
    <col min="13316" max="13316" width="33.453125" style="159" customWidth="1"/>
    <col min="13317" max="13317" width="18" style="159" customWidth="1"/>
    <col min="13318" max="13318" width="27.6328125" style="159" customWidth="1"/>
    <col min="13319" max="13319" width="28.90625" style="159" bestFit="1" customWidth="1"/>
    <col min="13320" max="13320" width="3" style="159" customWidth="1"/>
    <col min="13321" max="13321" width="23.453125" style="159" customWidth="1"/>
    <col min="13322" max="13322" width="8.90625" style="159"/>
    <col min="13323" max="13323" width="17.90625" style="159" bestFit="1" customWidth="1"/>
    <col min="13324" max="13568" width="8.90625" style="159"/>
    <col min="13569" max="13569" width="7.1796875" style="159" customWidth="1"/>
    <col min="13570" max="13570" width="2.36328125" style="159" customWidth="1"/>
    <col min="13571" max="13571" width="6.36328125" style="159" customWidth="1"/>
    <col min="13572" max="13572" width="33.453125" style="159" customWidth="1"/>
    <col min="13573" max="13573" width="18" style="159" customWidth="1"/>
    <col min="13574" max="13574" width="27.6328125" style="159" customWidth="1"/>
    <col min="13575" max="13575" width="28.90625" style="159" bestFit="1" customWidth="1"/>
    <col min="13576" max="13576" width="3" style="159" customWidth="1"/>
    <col min="13577" max="13577" width="23.453125" style="159" customWidth="1"/>
    <col min="13578" max="13578" width="8.90625" style="159"/>
    <col min="13579" max="13579" width="17.90625" style="159" bestFit="1" customWidth="1"/>
    <col min="13580" max="13824" width="8.90625" style="159"/>
    <col min="13825" max="13825" width="7.1796875" style="159" customWidth="1"/>
    <col min="13826" max="13826" width="2.36328125" style="159" customWidth="1"/>
    <col min="13827" max="13827" width="6.36328125" style="159" customWidth="1"/>
    <col min="13828" max="13828" width="33.453125" style="159" customWidth="1"/>
    <col min="13829" max="13829" width="18" style="159" customWidth="1"/>
    <col min="13830" max="13830" width="27.6328125" style="159" customWidth="1"/>
    <col min="13831" max="13831" width="28.90625" style="159" bestFit="1" customWidth="1"/>
    <col min="13832" max="13832" width="3" style="159" customWidth="1"/>
    <col min="13833" max="13833" width="23.453125" style="159" customWidth="1"/>
    <col min="13834" max="13834" width="8.90625" style="159"/>
    <col min="13835" max="13835" width="17.90625" style="159" bestFit="1" customWidth="1"/>
    <col min="13836" max="14080" width="8.90625" style="159"/>
    <col min="14081" max="14081" width="7.1796875" style="159" customWidth="1"/>
    <col min="14082" max="14082" width="2.36328125" style="159" customWidth="1"/>
    <col min="14083" max="14083" width="6.36328125" style="159" customWidth="1"/>
    <col min="14084" max="14084" width="33.453125" style="159" customWidth="1"/>
    <col min="14085" max="14085" width="18" style="159" customWidth="1"/>
    <col min="14086" max="14086" width="27.6328125" style="159" customWidth="1"/>
    <col min="14087" max="14087" width="28.90625" style="159" bestFit="1" customWidth="1"/>
    <col min="14088" max="14088" width="3" style="159" customWidth="1"/>
    <col min="14089" max="14089" width="23.453125" style="159" customWidth="1"/>
    <col min="14090" max="14090" width="8.90625" style="159"/>
    <col min="14091" max="14091" width="17.90625" style="159" bestFit="1" customWidth="1"/>
    <col min="14092" max="14336" width="8.90625" style="159"/>
    <col min="14337" max="14337" width="7.1796875" style="159" customWidth="1"/>
    <col min="14338" max="14338" width="2.36328125" style="159" customWidth="1"/>
    <col min="14339" max="14339" width="6.36328125" style="159" customWidth="1"/>
    <col min="14340" max="14340" width="33.453125" style="159" customWidth="1"/>
    <col min="14341" max="14341" width="18" style="159" customWidth="1"/>
    <col min="14342" max="14342" width="27.6328125" style="159" customWidth="1"/>
    <col min="14343" max="14343" width="28.90625" style="159" bestFit="1" customWidth="1"/>
    <col min="14344" max="14344" width="3" style="159" customWidth="1"/>
    <col min="14345" max="14345" width="23.453125" style="159" customWidth="1"/>
    <col min="14346" max="14346" width="8.90625" style="159"/>
    <col min="14347" max="14347" width="17.90625" style="159" bestFit="1" customWidth="1"/>
    <col min="14348" max="14592" width="8.90625" style="159"/>
    <col min="14593" max="14593" width="7.1796875" style="159" customWidth="1"/>
    <col min="14594" max="14594" width="2.36328125" style="159" customWidth="1"/>
    <col min="14595" max="14595" width="6.36328125" style="159" customWidth="1"/>
    <col min="14596" max="14596" width="33.453125" style="159" customWidth="1"/>
    <col min="14597" max="14597" width="18" style="159" customWidth="1"/>
    <col min="14598" max="14598" width="27.6328125" style="159" customWidth="1"/>
    <col min="14599" max="14599" width="28.90625" style="159" bestFit="1" customWidth="1"/>
    <col min="14600" max="14600" width="3" style="159" customWidth="1"/>
    <col min="14601" max="14601" width="23.453125" style="159" customWidth="1"/>
    <col min="14602" max="14602" width="8.90625" style="159"/>
    <col min="14603" max="14603" width="17.90625" style="159" bestFit="1" customWidth="1"/>
    <col min="14604" max="14848" width="8.90625" style="159"/>
    <col min="14849" max="14849" width="7.1796875" style="159" customWidth="1"/>
    <col min="14850" max="14850" width="2.36328125" style="159" customWidth="1"/>
    <col min="14851" max="14851" width="6.36328125" style="159" customWidth="1"/>
    <col min="14852" max="14852" width="33.453125" style="159" customWidth="1"/>
    <col min="14853" max="14853" width="18" style="159" customWidth="1"/>
    <col min="14854" max="14854" width="27.6328125" style="159" customWidth="1"/>
    <col min="14855" max="14855" width="28.90625" style="159" bestFit="1" customWidth="1"/>
    <col min="14856" max="14856" width="3" style="159" customWidth="1"/>
    <col min="14857" max="14857" width="23.453125" style="159" customWidth="1"/>
    <col min="14858" max="14858" width="8.90625" style="159"/>
    <col min="14859" max="14859" width="17.90625" style="159" bestFit="1" customWidth="1"/>
    <col min="14860" max="15104" width="8.90625" style="159"/>
    <col min="15105" max="15105" width="7.1796875" style="159" customWidth="1"/>
    <col min="15106" max="15106" width="2.36328125" style="159" customWidth="1"/>
    <col min="15107" max="15107" width="6.36328125" style="159" customWidth="1"/>
    <col min="15108" max="15108" width="33.453125" style="159" customWidth="1"/>
    <col min="15109" max="15109" width="18" style="159" customWidth="1"/>
    <col min="15110" max="15110" width="27.6328125" style="159" customWidth="1"/>
    <col min="15111" max="15111" width="28.90625" style="159" bestFit="1" customWidth="1"/>
    <col min="15112" max="15112" width="3" style="159" customWidth="1"/>
    <col min="15113" max="15113" width="23.453125" style="159" customWidth="1"/>
    <col min="15114" max="15114" width="8.90625" style="159"/>
    <col min="15115" max="15115" width="17.90625" style="159" bestFit="1" customWidth="1"/>
    <col min="15116" max="15360" width="8.90625" style="159"/>
    <col min="15361" max="15361" width="7.1796875" style="159" customWidth="1"/>
    <col min="15362" max="15362" width="2.36328125" style="159" customWidth="1"/>
    <col min="15363" max="15363" width="6.36328125" style="159" customWidth="1"/>
    <col min="15364" max="15364" width="33.453125" style="159" customWidth="1"/>
    <col min="15365" max="15365" width="18" style="159" customWidth="1"/>
    <col min="15366" max="15366" width="27.6328125" style="159" customWidth="1"/>
    <col min="15367" max="15367" width="28.90625" style="159" bestFit="1" customWidth="1"/>
    <col min="15368" max="15368" width="3" style="159" customWidth="1"/>
    <col min="15369" max="15369" width="23.453125" style="159" customWidth="1"/>
    <col min="15370" max="15370" width="8.90625" style="159"/>
    <col min="15371" max="15371" width="17.90625" style="159" bestFit="1" customWidth="1"/>
    <col min="15372" max="15616" width="8.90625" style="159"/>
    <col min="15617" max="15617" width="7.1796875" style="159" customWidth="1"/>
    <col min="15618" max="15618" width="2.36328125" style="159" customWidth="1"/>
    <col min="15619" max="15619" width="6.36328125" style="159" customWidth="1"/>
    <col min="15620" max="15620" width="33.453125" style="159" customWidth="1"/>
    <col min="15621" max="15621" width="18" style="159" customWidth="1"/>
    <col min="15622" max="15622" width="27.6328125" style="159" customWidth="1"/>
    <col min="15623" max="15623" width="28.90625" style="159" bestFit="1" customWidth="1"/>
    <col min="15624" max="15624" width="3" style="159" customWidth="1"/>
    <col min="15625" max="15625" width="23.453125" style="159" customWidth="1"/>
    <col min="15626" max="15626" width="8.90625" style="159"/>
    <col min="15627" max="15627" width="17.90625" style="159" bestFit="1" customWidth="1"/>
    <col min="15628" max="15872" width="8.90625" style="159"/>
    <col min="15873" max="15873" width="7.1796875" style="159" customWidth="1"/>
    <col min="15874" max="15874" width="2.36328125" style="159" customWidth="1"/>
    <col min="15875" max="15875" width="6.36328125" style="159" customWidth="1"/>
    <col min="15876" max="15876" width="33.453125" style="159" customWidth="1"/>
    <col min="15877" max="15877" width="18" style="159" customWidth="1"/>
    <col min="15878" max="15878" width="27.6328125" style="159" customWidth="1"/>
    <col min="15879" max="15879" width="28.90625" style="159" bestFit="1" customWidth="1"/>
    <col min="15880" max="15880" width="3" style="159" customWidth="1"/>
    <col min="15881" max="15881" width="23.453125" style="159" customWidth="1"/>
    <col min="15882" max="15882" width="8.90625" style="159"/>
    <col min="15883" max="15883" width="17.90625" style="159" bestFit="1" customWidth="1"/>
    <col min="15884" max="16128" width="8.90625" style="159"/>
    <col min="16129" max="16129" width="7.1796875" style="159" customWidth="1"/>
    <col min="16130" max="16130" width="2.36328125" style="159" customWidth="1"/>
    <col min="16131" max="16131" width="6.36328125" style="159" customWidth="1"/>
    <col min="16132" max="16132" width="33.453125" style="159" customWidth="1"/>
    <col min="16133" max="16133" width="18" style="159" customWidth="1"/>
    <col min="16134" max="16134" width="27.6328125" style="159" customWidth="1"/>
    <col min="16135" max="16135" width="28.90625" style="159" bestFit="1" customWidth="1"/>
    <col min="16136" max="16136" width="3" style="159" customWidth="1"/>
    <col min="16137" max="16137" width="23.453125" style="159" customWidth="1"/>
    <col min="16138" max="16138" width="8.90625" style="159"/>
    <col min="16139" max="16139" width="17.90625" style="159" bestFit="1" customWidth="1"/>
    <col min="16140" max="16384" width="8.90625" style="159"/>
  </cols>
  <sheetData>
    <row r="1" spans="1:11" ht="17.55">
      <c r="A1" s="1321"/>
      <c r="B1" s="1322"/>
      <c r="C1" s="1322"/>
      <c r="D1" s="1322"/>
      <c r="E1" s="1322"/>
      <c r="F1" s="1322"/>
      <c r="G1" s="1322"/>
      <c r="H1" s="1322"/>
      <c r="I1" s="1322"/>
      <c r="K1" s="6" t="s">
        <v>785</v>
      </c>
    </row>
    <row r="2" spans="1:11" ht="17.55">
      <c r="A2" s="1323" t="s">
        <v>787</v>
      </c>
      <c r="B2" s="1323"/>
      <c r="C2" s="1323"/>
      <c r="D2" s="1323"/>
      <c r="E2" s="1323"/>
      <c r="F2" s="1323"/>
      <c r="G2" s="1323"/>
      <c r="H2" s="1323"/>
      <c r="I2" s="1323"/>
      <c r="J2" s="160"/>
      <c r="K2" s="6" t="s">
        <v>221</v>
      </c>
    </row>
    <row r="3" spans="1:11" ht="17.55">
      <c r="A3" s="260"/>
      <c r="B3" s="260"/>
      <c r="C3" s="260"/>
      <c r="D3" s="260"/>
      <c r="E3" s="260"/>
      <c r="F3" s="260"/>
      <c r="G3" s="260"/>
      <c r="H3" s="260"/>
      <c r="I3" s="260"/>
      <c r="K3" s="9" t="str">
        <f>'Attachment 1 - Sched 1A'!J3</f>
        <v>For the 12 months ended 12/31/2019</v>
      </c>
    </row>
    <row r="5" spans="1:11" s="161" customFormat="1" ht="15.05">
      <c r="A5" s="162"/>
      <c r="B5" s="162"/>
    </row>
    <row r="6" spans="1:11" s="161" customFormat="1" ht="15.05">
      <c r="A6" s="162"/>
      <c r="B6" s="162"/>
      <c r="G6" s="830"/>
      <c r="H6" s="165"/>
      <c r="I6" s="165"/>
      <c r="J6" s="165"/>
      <c r="K6" s="165"/>
    </row>
    <row r="7" spans="1:11" s="165" customFormat="1" ht="15.05">
      <c r="A7" s="162"/>
      <c r="B7" s="162"/>
      <c r="C7" s="161"/>
      <c r="D7" s="161"/>
      <c r="E7" s="161"/>
      <c r="F7" s="161"/>
      <c r="G7" s="161"/>
      <c r="H7" s="161"/>
    </row>
    <row r="8" spans="1:11" s="165" customFormat="1" ht="15.05">
      <c r="A8" s="166" t="s">
        <v>372</v>
      </c>
      <c r="B8" s="167"/>
      <c r="C8" s="167"/>
      <c r="D8" s="167"/>
      <c r="E8" s="167"/>
      <c r="F8" s="167"/>
      <c r="G8" s="167"/>
      <c r="H8" s="167"/>
      <c r="I8" s="167"/>
    </row>
    <row r="9" spans="1:11" s="165" customFormat="1" ht="15.05">
      <c r="A9" s="168"/>
      <c r="G9" s="169" t="s">
        <v>373</v>
      </c>
    </row>
    <row r="10" spans="1:11" s="161" customFormat="1" ht="15.05">
      <c r="A10" s="165"/>
      <c r="D10" s="165"/>
      <c r="E10" s="165"/>
      <c r="F10" s="165"/>
      <c r="G10" s="165"/>
      <c r="H10" s="165"/>
      <c r="I10" s="170"/>
      <c r="J10" s="165"/>
    </row>
    <row r="11" spans="1:11" s="161" customFormat="1" ht="15.05">
      <c r="A11" s="171">
        <v>1</v>
      </c>
      <c r="C11" s="172" t="s">
        <v>766</v>
      </c>
      <c r="D11" s="173"/>
      <c r="E11" s="165"/>
      <c r="F11" s="173"/>
      <c r="G11" s="174" t="s">
        <v>838</v>
      </c>
      <c r="H11" s="173"/>
      <c r="I11" s="164">
        <f>'Attachment H-28A MAIT '!I100</f>
        <v>1025840337.9674054</v>
      </c>
      <c r="J11" s="165"/>
    </row>
    <row r="12" spans="1:11" s="161" customFormat="1" ht="15.05">
      <c r="A12" s="165"/>
      <c r="G12" s="172"/>
      <c r="I12" s="175"/>
    </row>
    <row r="13" spans="1:11" s="161" customFormat="1" ht="15.05">
      <c r="A13" s="176"/>
      <c r="B13" s="172"/>
      <c r="C13" s="177"/>
      <c r="D13" s="177"/>
      <c r="E13" s="178"/>
      <c r="F13" s="179"/>
      <c r="G13" s="172"/>
      <c r="H13" s="179"/>
      <c r="I13" s="180"/>
    </row>
    <row r="14" spans="1:11" s="161" customFormat="1" ht="15.05">
      <c r="A14" s="176">
        <f>A11+1</f>
        <v>2</v>
      </c>
      <c r="B14" s="172"/>
      <c r="C14" s="172" t="s">
        <v>767</v>
      </c>
      <c r="D14" s="181"/>
      <c r="F14" s="178" t="s">
        <v>768</v>
      </c>
      <c r="G14" s="174" t="s">
        <v>839</v>
      </c>
      <c r="H14" s="179"/>
      <c r="I14" s="163">
        <f>'Attachment H-28A MAIT '!I244</f>
        <v>0</v>
      </c>
    </row>
    <row r="15" spans="1:11" s="161" customFormat="1" ht="15.05">
      <c r="A15" s="176"/>
      <c r="B15" s="172"/>
      <c r="C15" s="177"/>
      <c r="D15" s="177"/>
      <c r="E15" s="178"/>
      <c r="F15" s="182"/>
      <c r="G15" s="183"/>
      <c r="H15" s="179"/>
      <c r="I15" s="180"/>
    </row>
    <row r="16" spans="1:11" s="161" customFormat="1" ht="15.05">
      <c r="A16" s="176"/>
      <c r="B16" s="172"/>
      <c r="C16" s="177" t="s">
        <v>107</v>
      </c>
      <c r="D16" s="184"/>
      <c r="E16" s="178"/>
      <c r="F16" s="178"/>
      <c r="G16" s="183"/>
      <c r="H16" s="179"/>
      <c r="I16" s="180"/>
    </row>
    <row r="17" spans="1:11" s="161" customFormat="1" ht="15.05">
      <c r="A17" s="176">
        <f>A14+1</f>
        <v>3</v>
      </c>
      <c r="B17" s="172"/>
      <c r="C17" s="172"/>
      <c r="D17" s="177" t="s">
        <v>769</v>
      </c>
      <c r="E17" s="179"/>
      <c r="F17" s="180"/>
      <c r="G17" s="174" t="s">
        <v>822</v>
      </c>
      <c r="H17" s="179"/>
      <c r="I17" s="163">
        <f>'Attachment 8 - Cap Structure'!E23</f>
        <v>943590004.69230771</v>
      </c>
    </row>
    <row r="18" spans="1:11" s="161" customFormat="1" ht="15.05">
      <c r="A18" s="176">
        <f>A17+1</f>
        <v>4</v>
      </c>
      <c r="B18" s="173"/>
      <c r="C18" s="173"/>
      <c r="D18" s="189" t="s">
        <v>384</v>
      </c>
      <c r="E18" s="180"/>
      <c r="F18" s="180"/>
      <c r="G18" s="238" t="s">
        <v>823</v>
      </c>
      <c r="H18" s="180"/>
      <c r="I18" s="163">
        <f>'Attachment 8 - Cap Structure'!F23</f>
        <v>0</v>
      </c>
    </row>
    <row r="19" spans="1:11" s="262" customFormat="1" ht="15.05">
      <c r="A19" s="176">
        <f>A18+1</f>
        <v>5</v>
      </c>
      <c r="B19" s="173"/>
      <c r="C19" s="173"/>
      <c r="D19" s="189" t="s">
        <v>385</v>
      </c>
      <c r="E19" s="180"/>
      <c r="F19" s="180"/>
      <c r="G19" s="238" t="s">
        <v>826</v>
      </c>
      <c r="H19" s="180"/>
      <c r="I19" s="163">
        <f>'Attachment 8 - Cap Structure'!H23</f>
        <v>0</v>
      </c>
      <c r="J19" s="165"/>
      <c r="K19" s="165"/>
    </row>
    <row r="20" spans="1:11" s="161" customFormat="1" ht="15.05">
      <c r="A20" s="176">
        <f>+A19+1</f>
        <v>6</v>
      </c>
      <c r="B20" s="172"/>
      <c r="C20" s="177"/>
      <c r="D20" s="185" t="s">
        <v>821</v>
      </c>
      <c r="E20" s="186"/>
      <c r="F20" s="187"/>
      <c r="G20" s="188" t="s">
        <v>825</v>
      </c>
      <c r="H20" s="186"/>
      <c r="I20" s="187">
        <f>'Attachment 8 - Cap Structure'!G23+'Attachment 8 - Cap Structure'!I23</f>
        <v>223591970</v>
      </c>
    </row>
    <row r="21" spans="1:11" s="161" customFormat="1" ht="15.05">
      <c r="A21" s="176">
        <f>A20+1</f>
        <v>7</v>
      </c>
      <c r="B21" s="172"/>
      <c r="C21" s="177"/>
      <c r="D21" s="177" t="s">
        <v>107</v>
      </c>
      <c r="E21" s="179"/>
      <c r="F21" s="180"/>
      <c r="G21" s="174" t="s">
        <v>824</v>
      </c>
      <c r="H21" s="179"/>
      <c r="I21" s="163">
        <f>'Attachment 8 - Cap Structure'!J23</f>
        <v>719998034.69230771</v>
      </c>
    </row>
    <row r="22" spans="1:11" s="161" customFormat="1" ht="15.05">
      <c r="A22" s="176"/>
      <c r="B22" s="172"/>
      <c r="C22" s="177"/>
      <c r="D22" s="177"/>
      <c r="E22" s="179"/>
      <c r="F22" s="180"/>
      <c r="G22" s="174"/>
      <c r="H22" s="179"/>
      <c r="I22" s="163"/>
    </row>
    <row r="23" spans="1:11" s="161" customFormat="1" ht="15.05">
      <c r="A23" s="176"/>
      <c r="B23" s="172"/>
      <c r="C23" s="177"/>
      <c r="D23" s="177"/>
      <c r="E23" s="179"/>
      <c r="F23" s="180"/>
      <c r="G23" s="174"/>
      <c r="H23" s="179"/>
      <c r="I23" s="163"/>
    </row>
    <row r="24" spans="1:11" s="161" customFormat="1" ht="15.05">
      <c r="A24" s="176"/>
      <c r="B24" s="172"/>
      <c r="C24" s="177" t="s">
        <v>770</v>
      </c>
      <c r="D24" s="184"/>
      <c r="F24" s="178"/>
      <c r="G24" s="183"/>
      <c r="H24" s="178"/>
      <c r="I24" s="180"/>
    </row>
    <row r="25" spans="1:11" s="161" customFormat="1" ht="15.05">
      <c r="A25" s="176">
        <f>+A21+1</f>
        <v>8</v>
      </c>
      <c r="B25" s="172"/>
      <c r="C25" s="172"/>
      <c r="D25" s="177" t="s">
        <v>288</v>
      </c>
      <c r="F25" s="178"/>
      <c r="G25" s="174" t="s">
        <v>827</v>
      </c>
      <c r="H25" s="178"/>
      <c r="I25" s="163">
        <f>'Attachment H-28A MAIT '!D249</f>
        <v>449900326</v>
      </c>
    </row>
    <row r="26" spans="1:11" s="161" customFormat="1" ht="15.05">
      <c r="A26" s="176">
        <f>A25+1</f>
        <v>9</v>
      </c>
      <c r="B26" s="173"/>
      <c r="C26" s="173"/>
      <c r="D26" s="189" t="s">
        <v>286</v>
      </c>
      <c r="E26" s="190"/>
      <c r="F26" s="191"/>
      <c r="G26" s="174" t="s">
        <v>828</v>
      </c>
      <c r="H26" s="190"/>
      <c r="I26" s="163">
        <f>'Attachment H-28A MAIT '!D250</f>
        <v>0</v>
      </c>
    </row>
    <row r="27" spans="1:11" s="161" customFormat="1" ht="15.05">
      <c r="A27" s="176">
        <f t="shared" ref="A27:A28" si="0">A26+1</f>
        <v>10</v>
      </c>
      <c r="B27" s="172"/>
      <c r="C27" s="172"/>
      <c r="D27" s="177" t="s">
        <v>107</v>
      </c>
      <c r="E27" s="178"/>
      <c r="F27" s="182"/>
      <c r="G27" s="188" t="s">
        <v>829</v>
      </c>
      <c r="H27" s="178"/>
      <c r="I27" s="163">
        <f>'Attachment H-28A MAIT '!D251</f>
        <v>719998034.69230771</v>
      </c>
    </row>
    <row r="28" spans="1:11" s="161" customFormat="1" ht="15.05">
      <c r="A28" s="176">
        <f t="shared" si="0"/>
        <v>11</v>
      </c>
      <c r="B28" s="172"/>
      <c r="C28" s="172"/>
      <c r="D28" s="177" t="s">
        <v>771</v>
      </c>
      <c r="E28" s="192"/>
      <c r="F28" s="193"/>
      <c r="G28" s="174" t="s">
        <v>830</v>
      </c>
      <c r="H28" s="194"/>
      <c r="I28" s="195">
        <f>'Attachment H-28A MAIT '!D252</f>
        <v>1169898360.6923077</v>
      </c>
    </row>
    <row r="29" spans="1:11" s="161" customFormat="1" ht="15.05">
      <c r="A29" s="176"/>
      <c r="B29" s="172"/>
      <c r="C29" s="172"/>
      <c r="D29" s="177"/>
      <c r="E29" s="178"/>
      <c r="F29" s="182"/>
      <c r="G29" s="172"/>
      <c r="H29" s="179"/>
      <c r="I29" s="196"/>
    </row>
    <row r="30" spans="1:11" s="161" customFormat="1" ht="15.05">
      <c r="A30" s="176">
        <f>A28+1</f>
        <v>12</v>
      </c>
      <c r="B30" s="172"/>
      <c r="C30" s="172"/>
      <c r="D30" s="177" t="s">
        <v>772</v>
      </c>
      <c r="E30" s="197"/>
      <c r="F30" s="185" t="s">
        <v>773</v>
      </c>
      <c r="G30" s="174" t="s">
        <v>831</v>
      </c>
      <c r="H30" s="179"/>
      <c r="I30" s="198">
        <f>'Attachment H-28A MAIT '!E249</f>
        <v>0.4</v>
      </c>
      <c r="J30" s="165"/>
      <c r="K30" s="165"/>
    </row>
    <row r="31" spans="1:11" s="161" customFormat="1" ht="15.05">
      <c r="A31" s="176">
        <f>A30+1</f>
        <v>13</v>
      </c>
      <c r="B31" s="172"/>
      <c r="C31" s="172"/>
      <c r="D31" s="177" t="s">
        <v>774</v>
      </c>
      <c r="E31" s="182"/>
      <c r="F31" s="185" t="s">
        <v>286</v>
      </c>
      <c r="G31" s="174" t="s">
        <v>832</v>
      </c>
      <c r="H31" s="179"/>
      <c r="I31" s="198">
        <f>'Attachment H-28A MAIT '!E250</f>
        <v>0</v>
      </c>
      <c r="J31" s="165"/>
    </row>
    <row r="32" spans="1:11" s="161" customFormat="1" ht="15.05">
      <c r="A32" s="176">
        <f>A31+1</f>
        <v>14</v>
      </c>
      <c r="B32" s="172"/>
      <c r="C32" s="172"/>
      <c r="D32" s="177" t="s">
        <v>775</v>
      </c>
      <c r="E32" s="182"/>
      <c r="F32" s="185" t="s">
        <v>107</v>
      </c>
      <c r="G32" s="174" t="s">
        <v>833</v>
      </c>
      <c r="H32" s="179"/>
      <c r="I32" s="198">
        <f>'Attachment H-28A MAIT '!E251</f>
        <v>0.6</v>
      </c>
      <c r="J32" s="165"/>
      <c r="K32" s="165"/>
    </row>
    <row r="33" spans="1:11" s="161" customFormat="1" ht="15.05">
      <c r="A33" s="176"/>
      <c r="B33" s="172"/>
      <c r="C33" s="172"/>
      <c r="D33" s="177"/>
      <c r="E33" s="178"/>
      <c r="F33" s="183"/>
      <c r="G33" s="172"/>
      <c r="H33" s="179"/>
      <c r="I33" s="196"/>
    </row>
    <row r="34" spans="1:11" s="161" customFormat="1" ht="15.05">
      <c r="A34" s="176">
        <f>A32+1</f>
        <v>15</v>
      </c>
      <c r="B34" s="172"/>
      <c r="C34" s="172"/>
      <c r="D34" s="177" t="s">
        <v>528</v>
      </c>
      <c r="E34" s="197"/>
      <c r="F34" s="183" t="s">
        <v>773</v>
      </c>
      <c r="G34" s="174" t="s">
        <v>900</v>
      </c>
      <c r="H34" s="179"/>
      <c r="I34" s="199">
        <f>'Attachment H-28A MAIT '!G249</f>
        <v>4.2099999999999999E-2</v>
      </c>
      <c r="J34" s="200"/>
      <c r="K34" s="201"/>
    </row>
    <row r="35" spans="1:11" s="161" customFormat="1" ht="15.05">
      <c r="A35" s="176">
        <f>A34+1</f>
        <v>16</v>
      </c>
      <c r="B35" s="172"/>
      <c r="C35" s="172"/>
      <c r="D35" s="177" t="s">
        <v>776</v>
      </c>
      <c r="E35" s="182"/>
      <c r="F35" s="183" t="s">
        <v>286</v>
      </c>
      <c r="G35" s="174" t="s">
        <v>901</v>
      </c>
      <c r="H35" s="179"/>
      <c r="I35" s="199">
        <f>'Attachment H-28A MAIT '!G250</f>
        <v>0</v>
      </c>
      <c r="J35" s="200"/>
    </row>
    <row r="36" spans="1:11" s="161" customFormat="1" ht="15.05">
      <c r="A36" s="176">
        <f>A35+1</f>
        <v>17</v>
      </c>
      <c r="B36" s="172"/>
      <c r="C36" s="172"/>
      <c r="D36" s="177" t="s">
        <v>777</v>
      </c>
      <c r="F36" s="202" t="s">
        <v>107</v>
      </c>
      <c r="G36" s="203">
        <v>0.10299999999999999</v>
      </c>
      <c r="H36" s="179"/>
      <c r="I36" s="204">
        <v>0.10299999999999999</v>
      </c>
      <c r="J36" s="200"/>
      <c r="K36" s="201"/>
    </row>
    <row r="37" spans="1:11" s="161" customFormat="1" ht="15.05">
      <c r="A37" s="176"/>
      <c r="B37" s="172"/>
      <c r="C37" s="172"/>
      <c r="D37" s="177"/>
      <c r="E37" s="178"/>
      <c r="F37" s="183"/>
      <c r="G37" s="172"/>
      <c r="H37" s="179"/>
      <c r="I37" s="178"/>
    </row>
    <row r="38" spans="1:11" s="161" customFormat="1" ht="15.05">
      <c r="A38" s="176">
        <f>A36+1</f>
        <v>18</v>
      </c>
      <c r="B38" s="172"/>
      <c r="C38" s="172"/>
      <c r="D38" s="177" t="s">
        <v>778</v>
      </c>
      <c r="E38" s="197"/>
      <c r="F38" s="185" t="s">
        <v>779</v>
      </c>
      <c r="G38" s="172" t="s">
        <v>430</v>
      </c>
      <c r="H38" s="205"/>
      <c r="I38" s="206">
        <f>(I34*I30)</f>
        <v>1.6840000000000001E-2</v>
      </c>
    </row>
    <row r="39" spans="1:11" s="161" customFormat="1" ht="15.05">
      <c r="A39" s="176">
        <f>A38+1</f>
        <v>19</v>
      </c>
      <c r="B39" s="172"/>
      <c r="C39" s="172"/>
      <c r="D39" s="177" t="s">
        <v>780</v>
      </c>
      <c r="E39" s="182"/>
      <c r="F39" s="185" t="s">
        <v>286</v>
      </c>
      <c r="G39" s="172" t="s">
        <v>431</v>
      </c>
      <c r="H39" s="207"/>
      <c r="I39" s="206">
        <f>I35*I31</f>
        <v>0</v>
      </c>
    </row>
    <row r="40" spans="1:11" s="161" customFormat="1" ht="15.05">
      <c r="A40" s="176">
        <f>A39+1</f>
        <v>20</v>
      </c>
      <c r="B40" s="172"/>
      <c r="C40" s="172"/>
      <c r="D40" s="208" t="s">
        <v>781</v>
      </c>
      <c r="E40" s="209"/>
      <c r="F40" s="208" t="s">
        <v>107</v>
      </c>
      <c r="G40" s="210" t="s">
        <v>432</v>
      </c>
      <c r="H40" s="211"/>
      <c r="I40" s="212">
        <f>(I36*I32)</f>
        <v>6.1799999999999994E-2</v>
      </c>
    </row>
    <row r="41" spans="1:11" s="161" customFormat="1" ht="15.05">
      <c r="A41" s="176">
        <f>A40+1</f>
        <v>21</v>
      </c>
      <c r="B41" s="172"/>
      <c r="C41" s="172" t="s">
        <v>782</v>
      </c>
      <c r="D41" s="172"/>
      <c r="E41" s="213"/>
      <c r="F41" s="214"/>
      <c r="G41" s="172" t="str">
        <f>"(Sum Lines "&amp;A38&amp;" to "&amp;A40&amp;")"</f>
        <v>(Sum Lines 18 to 20)</v>
      </c>
      <c r="H41" s="215"/>
      <c r="I41" s="216">
        <f>SUM(I38:I40)</f>
        <v>7.8639999999999988E-2</v>
      </c>
    </row>
    <row r="42" spans="1:11" s="161" customFormat="1" ht="15.05">
      <c r="A42" s="217"/>
      <c r="B42" s="172"/>
      <c r="C42" s="172"/>
      <c r="D42" s="172"/>
      <c r="E42" s="213"/>
      <c r="F42" s="214"/>
      <c r="G42" s="218"/>
      <c r="H42" s="215"/>
      <c r="I42" s="216"/>
    </row>
    <row r="43" spans="1:11" s="161" customFormat="1" ht="15.65" thickBot="1">
      <c r="A43" s="176">
        <f>A41+1</f>
        <v>22</v>
      </c>
      <c r="B43" s="172"/>
      <c r="C43" s="172" t="s">
        <v>783</v>
      </c>
      <c r="D43" s="172"/>
      <c r="E43" s="219"/>
      <c r="F43" s="220"/>
      <c r="G43" s="221" t="str">
        <f>"(Line "&amp;A11&amp;" * Line "&amp;A41&amp;")"</f>
        <v>(Line 1 * Line 21)</v>
      </c>
      <c r="H43" s="222"/>
      <c r="I43" s="223">
        <f>+I41*I11</f>
        <v>80672084.177756757</v>
      </c>
    </row>
    <row r="44" spans="1:11" s="161" customFormat="1" ht="15.65" thickTop="1">
      <c r="A44" s="176"/>
      <c r="B44" s="224"/>
      <c r="C44" s="224"/>
      <c r="D44" s="182"/>
      <c r="E44" s="178"/>
      <c r="F44" s="162"/>
      <c r="G44" s="179"/>
      <c r="H44" s="179"/>
      <c r="I44" s="206"/>
    </row>
    <row r="45" spans="1:11" s="161" customFormat="1" ht="16.3">
      <c r="A45" s="225" t="s">
        <v>386</v>
      </c>
      <c r="B45" s="226"/>
      <c r="C45" s="227"/>
      <c r="D45" s="228"/>
      <c r="E45" s="229"/>
      <c r="F45" s="230"/>
      <c r="G45" s="167"/>
      <c r="H45" s="167"/>
      <c r="I45" s="231"/>
    </row>
    <row r="46" spans="1:11" s="161" customFormat="1" ht="15.05">
      <c r="A46" s="189"/>
      <c r="B46" s="189"/>
      <c r="C46" s="224"/>
      <c r="D46" s="232"/>
      <c r="E46" s="190"/>
      <c r="F46" s="233"/>
      <c r="G46" s="178"/>
      <c r="H46" s="178"/>
      <c r="I46" s="234"/>
      <c r="K46" s="235"/>
    </row>
    <row r="47" spans="1:11" s="161" customFormat="1" ht="15.05">
      <c r="A47" s="176" t="s">
        <v>3</v>
      </c>
      <c r="B47" s="224"/>
      <c r="C47" s="236" t="s">
        <v>374</v>
      </c>
      <c r="D47" s="178"/>
      <c r="E47" s="178"/>
      <c r="F47" s="233"/>
      <c r="G47" s="179"/>
      <c r="H47" s="237"/>
      <c r="I47" s="178"/>
    </row>
    <row r="48" spans="1:11" s="161" customFormat="1" ht="15.05">
      <c r="A48" s="176">
        <f>+A43+1</f>
        <v>23</v>
      </c>
      <c r="B48" s="171"/>
      <c r="C48" s="176"/>
      <c r="D48" s="327" t="s">
        <v>75</v>
      </c>
      <c r="E48" s="190"/>
      <c r="F48" s="171"/>
      <c r="G48" s="238" t="s">
        <v>857</v>
      </c>
      <c r="H48" s="239"/>
      <c r="I48" s="240">
        <f>'Attachment H-28A MAIT '!D165</f>
        <v>0.28892099999999998</v>
      </c>
    </row>
    <row r="49" spans="1:11" s="161" customFormat="1" ht="15.05">
      <c r="A49" s="176">
        <f>+A48+1</f>
        <v>24</v>
      </c>
      <c r="B49" s="171"/>
      <c r="C49" s="176"/>
      <c r="D49" s="328" t="s">
        <v>76</v>
      </c>
      <c r="E49" s="241"/>
      <c r="F49" s="171"/>
      <c r="G49" s="238" t="s">
        <v>392</v>
      </c>
      <c r="H49" s="239"/>
      <c r="I49" s="265">
        <f>(I48/(1-I48)*(1-I38/I41))</f>
        <v>0.31930537306166018</v>
      </c>
    </row>
    <row r="50" spans="1:11" s="161" customFormat="1" ht="15.05">
      <c r="A50" s="176"/>
      <c r="B50" s="171"/>
      <c r="C50" s="176"/>
      <c r="D50" s="329"/>
      <c r="E50" s="239"/>
      <c r="F50" s="171"/>
      <c r="G50" s="238"/>
      <c r="H50" s="239"/>
      <c r="I50" s="242"/>
    </row>
    <row r="51" spans="1:11" s="161" customFormat="1" ht="15.05">
      <c r="A51" s="176"/>
      <c r="B51" s="171"/>
      <c r="C51" s="176"/>
      <c r="D51" s="329"/>
      <c r="E51" s="243"/>
      <c r="F51" s="171"/>
      <c r="G51" s="238"/>
      <c r="H51" s="239"/>
      <c r="I51" s="240"/>
    </row>
    <row r="52" spans="1:11" s="161" customFormat="1" ht="30.7">
      <c r="A52" s="176">
        <v>25</v>
      </c>
      <c r="B52" s="162"/>
      <c r="C52" s="224"/>
      <c r="D52" s="327" t="s">
        <v>393</v>
      </c>
      <c r="E52" s="244"/>
      <c r="F52" s="162"/>
      <c r="G52" s="895" t="s">
        <v>1009</v>
      </c>
      <c r="H52" s="239"/>
      <c r="I52" s="130">
        <f>'Attachment H-28A MAIT '!D169</f>
        <v>1.4063135038441579</v>
      </c>
      <c r="K52" s="245"/>
    </row>
    <row r="53" spans="1:11" s="161" customFormat="1" ht="15.05">
      <c r="A53" s="176">
        <v>26</v>
      </c>
      <c r="B53" s="224"/>
      <c r="C53" s="224"/>
      <c r="D53" s="329" t="s">
        <v>313</v>
      </c>
      <c r="E53" s="178"/>
      <c r="F53" s="246"/>
      <c r="G53" s="238" t="s">
        <v>858</v>
      </c>
      <c r="H53" s="237"/>
      <c r="I53" s="263">
        <f>'Attachment H-28A MAIT '!D170</f>
        <v>-99685</v>
      </c>
    </row>
    <row r="54" spans="1:11" s="161" customFormat="1" ht="15.05">
      <c r="A54" s="176">
        <v>27</v>
      </c>
      <c r="B54" s="224"/>
      <c r="C54" s="224"/>
      <c r="D54" s="330" t="s">
        <v>383</v>
      </c>
      <c r="E54" s="178"/>
      <c r="F54" s="246"/>
      <c r="G54" s="238" t="s">
        <v>834</v>
      </c>
      <c r="H54" s="237"/>
      <c r="I54" s="263">
        <f>'Attachment H-28A MAIT '!D171</f>
        <v>598660</v>
      </c>
    </row>
    <row r="55" spans="1:11" s="161" customFormat="1" ht="15.05">
      <c r="A55" s="176">
        <v>28</v>
      </c>
      <c r="B55" s="224"/>
      <c r="C55" s="224"/>
      <c r="D55" s="330" t="s">
        <v>390</v>
      </c>
      <c r="E55" s="178"/>
      <c r="F55" s="246"/>
      <c r="G55" s="238" t="s">
        <v>835</v>
      </c>
      <c r="H55" s="237"/>
      <c r="I55" s="263">
        <f>'Attachment H-28A MAIT '!D172</f>
        <v>-10870</v>
      </c>
    </row>
    <row r="56" spans="1:11" s="161" customFormat="1" ht="15.05">
      <c r="A56" s="176">
        <v>29</v>
      </c>
      <c r="B56" s="224"/>
      <c r="C56" s="224"/>
      <c r="D56" s="331" t="s">
        <v>387</v>
      </c>
      <c r="E56" s="178"/>
      <c r="F56" s="246"/>
      <c r="G56" s="247" t="s">
        <v>434</v>
      </c>
      <c r="H56" s="237"/>
      <c r="I56" s="263">
        <f>I49*I43</f>
        <v>25759029.934040274</v>
      </c>
    </row>
    <row r="57" spans="1:11" s="161" customFormat="1" ht="15.05">
      <c r="A57" s="176">
        <v>30</v>
      </c>
      <c r="B57" s="224"/>
      <c r="C57" s="224"/>
      <c r="D57" s="332" t="s">
        <v>388</v>
      </c>
      <c r="E57" s="178"/>
      <c r="F57" s="246"/>
      <c r="G57" s="247" t="s">
        <v>394</v>
      </c>
      <c r="H57" s="237"/>
      <c r="I57" s="263">
        <f>I52*I53</f>
        <v>-140188.36163070487</v>
      </c>
    </row>
    <row r="58" spans="1:11" s="161" customFormat="1" ht="15.05">
      <c r="A58" s="176">
        <v>31</v>
      </c>
      <c r="B58" s="224"/>
      <c r="C58" s="224"/>
      <c r="D58" s="332" t="s">
        <v>389</v>
      </c>
      <c r="E58" s="178"/>
      <c r="F58" s="246"/>
      <c r="G58" s="238" t="s">
        <v>859</v>
      </c>
      <c r="H58" s="237"/>
      <c r="I58" s="263">
        <f>'Attachment H-28A MAIT '!D175</f>
        <v>841903.64221134351</v>
      </c>
    </row>
    <row r="59" spans="1:11" s="161" customFormat="1" ht="15.65" thickBot="1">
      <c r="A59" s="176">
        <v>32</v>
      </c>
      <c r="B59" s="224"/>
      <c r="C59" s="224"/>
      <c r="D59" s="332" t="s">
        <v>391</v>
      </c>
      <c r="E59" s="178"/>
      <c r="F59" s="246"/>
      <c r="G59" s="238" t="s">
        <v>836</v>
      </c>
      <c r="H59" s="237"/>
      <c r="I59" s="264">
        <f>'Attachment H-28A MAIT '!D176</f>
        <v>-15286.627786785995</v>
      </c>
    </row>
    <row r="60" spans="1:11" s="161" customFormat="1" ht="15.05">
      <c r="A60" s="176">
        <v>33</v>
      </c>
      <c r="B60" s="176"/>
      <c r="C60" s="176"/>
      <c r="D60" s="331" t="s">
        <v>78</v>
      </c>
      <c r="E60" s="190"/>
      <c r="F60" s="324"/>
      <c r="G60" s="243" t="s">
        <v>433</v>
      </c>
      <c r="H60" s="325"/>
      <c r="I60" s="326">
        <f>SUM(I56:I59)</f>
        <v>26445458.586834129</v>
      </c>
    </row>
    <row r="61" spans="1:11" s="161" customFormat="1" ht="15.05">
      <c r="A61" s="176"/>
      <c r="B61" s="224"/>
      <c r="C61" s="224"/>
      <c r="D61" s="178"/>
      <c r="E61" s="178"/>
      <c r="F61" s="246"/>
      <c r="G61" s="247"/>
      <c r="H61" s="237"/>
      <c r="I61" s="248"/>
    </row>
    <row r="62" spans="1:11" s="161" customFormat="1" ht="16.3">
      <c r="A62" s="225" t="s">
        <v>405</v>
      </c>
      <c r="B62" s="226"/>
      <c r="C62" s="227"/>
      <c r="D62" s="228"/>
      <c r="E62" s="229"/>
      <c r="F62" s="230"/>
      <c r="G62" s="167"/>
      <c r="H62" s="167"/>
      <c r="I62" s="231"/>
    </row>
    <row r="63" spans="1:11" s="161" customFormat="1" ht="16.3">
      <c r="A63" s="299"/>
      <c r="B63" s="300"/>
      <c r="C63" s="301"/>
      <c r="D63" s="302"/>
      <c r="E63" s="190"/>
      <c r="F63" s="303"/>
      <c r="G63" s="165"/>
      <c r="H63" s="165"/>
      <c r="I63" s="304"/>
    </row>
    <row r="64" spans="1:11" s="161" customFormat="1" ht="15.05">
      <c r="A64" s="176">
        <v>34</v>
      </c>
      <c r="B64" s="224"/>
      <c r="C64" s="224"/>
      <c r="D64" s="178" t="s">
        <v>957</v>
      </c>
      <c r="E64" s="178"/>
      <c r="F64" s="246"/>
      <c r="G64" s="247" t="s">
        <v>435</v>
      </c>
      <c r="H64" s="237"/>
      <c r="I64" s="263">
        <f>I43+I60</f>
        <v>107117542.76459089</v>
      </c>
    </row>
    <row r="65" spans="1:12" s="161" customFormat="1" ht="15.05">
      <c r="A65" s="176"/>
      <c r="B65" s="224"/>
      <c r="C65" s="224"/>
      <c r="D65" s="178"/>
      <c r="E65" s="178"/>
      <c r="F65" s="246"/>
      <c r="G65" s="247"/>
      <c r="H65" s="237"/>
      <c r="I65" s="263"/>
    </row>
    <row r="66" spans="1:12" s="161" customFormat="1" ht="15.05">
      <c r="A66" s="176">
        <v>35</v>
      </c>
      <c r="B66" s="224"/>
      <c r="C66" s="224"/>
      <c r="D66" s="178" t="s">
        <v>437</v>
      </c>
      <c r="E66" s="178"/>
      <c r="F66" s="246"/>
      <c r="G66" s="247" t="s">
        <v>837</v>
      </c>
      <c r="H66" s="237"/>
      <c r="I66" s="263">
        <f>'Attachment H-28A MAIT '!I179</f>
        <v>80672084.177756757</v>
      </c>
    </row>
    <row r="67" spans="1:12" s="161" customFormat="1" ht="15.05">
      <c r="A67" s="176">
        <v>36</v>
      </c>
      <c r="B67" s="224"/>
      <c r="C67" s="224"/>
      <c r="D67" s="178" t="s">
        <v>438</v>
      </c>
      <c r="E67" s="178"/>
      <c r="F67" s="246"/>
      <c r="G67" s="247" t="s">
        <v>860</v>
      </c>
      <c r="H67" s="237"/>
      <c r="I67" s="263">
        <f>'Attachment H-28A MAIT '!I177</f>
        <v>26445458.586834129</v>
      </c>
    </row>
    <row r="68" spans="1:12" s="161" customFormat="1" ht="15.05">
      <c r="A68" s="176">
        <v>37</v>
      </c>
      <c r="B68" s="224"/>
      <c r="C68" s="224"/>
      <c r="D68" s="178" t="s">
        <v>958</v>
      </c>
      <c r="E68" s="178"/>
      <c r="F68" s="246"/>
      <c r="G68" s="247" t="s">
        <v>506</v>
      </c>
      <c r="H68" s="237"/>
      <c r="I68" s="263">
        <f>I66+I67</f>
        <v>107117542.76459089</v>
      </c>
    </row>
    <row r="69" spans="1:12" s="161" customFormat="1" ht="15.05">
      <c r="A69" s="176">
        <v>38</v>
      </c>
      <c r="B69" s="224"/>
      <c r="C69" s="224"/>
      <c r="D69" s="178" t="s">
        <v>957</v>
      </c>
      <c r="E69" s="178"/>
      <c r="F69" s="246"/>
      <c r="G69" s="247" t="s">
        <v>436</v>
      </c>
      <c r="H69" s="237"/>
      <c r="I69" s="263">
        <f>I64</f>
        <v>107117542.76459089</v>
      </c>
    </row>
    <row r="70" spans="1:12" s="161" customFormat="1" ht="15.05">
      <c r="A70" s="176">
        <v>39</v>
      </c>
      <c r="B70" s="224"/>
      <c r="C70" s="224"/>
      <c r="D70" s="178" t="s">
        <v>959</v>
      </c>
      <c r="E70" s="178"/>
      <c r="F70" s="246"/>
      <c r="G70" s="247" t="s">
        <v>507</v>
      </c>
      <c r="H70" s="237"/>
      <c r="I70" s="263">
        <f>I69-I68</f>
        <v>0</v>
      </c>
      <c r="J70" s="381"/>
    </row>
    <row r="71" spans="1:12" s="161" customFormat="1" ht="15.05">
      <c r="A71" s="176">
        <v>40</v>
      </c>
      <c r="B71" s="224"/>
      <c r="C71" s="224"/>
      <c r="D71" s="178" t="s">
        <v>440</v>
      </c>
      <c r="E71" s="178"/>
      <c r="F71" s="246"/>
      <c r="G71" s="247" t="s">
        <v>439</v>
      </c>
      <c r="H71" s="237"/>
      <c r="I71" s="263">
        <f>I11</f>
        <v>1025840337.9674054</v>
      </c>
    </row>
    <row r="72" spans="1:12" s="161" customFormat="1" ht="15.05">
      <c r="A72" s="176">
        <v>41</v>
      </c>
      <c r="B72" s="224"/>
      <c r="C72" s="224"/>
      <c r="D72" s="178" t="s">
        <v>960</v>
      </c>
      <c r="E72" s="178"/>
      <c r="F72" s="246"/>
      <c r="G72" s="247" t="s">
        <v>508</v>
      </c>
      <c r="H72" s="237"/>
      <c r="I72" s="295">
        <f>I70/I71</f>
        <v>0</v>
      </c>
      <c r="J72" s="381"/>
    </row>
    <row r="73" spans="1:12" s="161" customFormat="1" ht="15.05">
      <c r="A73" s="176"/>
      <c r="B73" s="224"/>
      <c r="C73" s="224"/>
      <c r="D73" s="178"/>
      <c r="E73" s="178"/>
      <c r="F73" s="246"/>
      <c r="G73" s="247"/>
      <c r="H73" s="237"/>
      <c r="I73" s="263"/>
    </row>
    <row r="74" spans="1:12" s="161" customFormat="1" ht="15.05">
      <c r="A74" s="176"/>
      <c r="B74" s="224"/>
      <c r="C74" s="224"/>
      <c r="D74" s="178"/>
      <c r="E74" s="178"/>
      <c r="F74" s="246"/>
      <c r="G74" s="247"/>
      <c r="H74" s="237"/>
      <c r="I74" s="248"/>
    </row>
    <row r="75" spans="1:12" s="161" customFormat="1" ht="15.05">
      <c r="A75" s="176" t="s">
        <v>261</v>
      </c>
      <c r="B75" s="224"/>
      <c r="C75" s="224"/>
      <c r="D75" s="178"/>
      <c r="E75" s="178"/>
      <c r="F75" s="246"/>
      <c r="G75" s="247"/>
      <c r="H75" s="237"/>
      <c r="I75" s="249"/>
    </row>
    <row r="76" spans="1:12" s="161" customFormat="1" ht="31.5" customHeight="1">
      <c r="A76" s="176"/>
      <c r="B76" s="1324" t="s">
        <v>961</v>
      </c>
      <c r="C76" s="1324"/>
      <c r="D76" s="1324"/>
      <c r="E76" s="1324"/>
      <c r="F76" s="1324"/>
      <c r="G76" s="1324"/>
      <c r="H76" s="1324"/>
      <c r="I76" s="1324"/>
      <c r="J76" s="1324"/>
      <c r="K76" s="1324"/>
    </row>
    <row r="77" spans="1:12" s="161" customFormat="1" ht="16.3">
      <c r="A77" s="176"/>
      <c r="B77" s="224"/>
      <c r="C77" s="266"/>
      <c r="D77" s="185"/>
      <c r="E77" s="251"/>
      <c r="F77" s="252"/>
      <c r="G77" s="250"/>
      <c r="H77" s="253"/>
      <c r="I77" s="254"/>
      <c r="J77" s="200"/>
    </row>
    <row r="78" spans="1:12" s="161" customFormat="1" ht="36" customHeight="1">
      <c r="A78" s="176"/>
      <c r="B78" s="1260"/>
      <c r="C78" s="1325"/>
      <c r="D78" s="1325"/>
      <c r="E78" s="1325"/>
      <c r="F78" s="1325"/>
      <c r="G78" s="1325"/>
      <c r="H78" s="1325"/>
      <c r="I78" s="1325"/>
      <c r="J78" s="1325"/>
      <c r="K78" s="1325"/>
      <c r="L78" s="1265"/>
    </row>
    <row r="79" spans="1:12" s="161" customFormat="1" ht="15.05">
      <c r="A79" s="176"/>
      <c r="B79" s="224"/>
      <c r="C79" s="224"/>
      <c r="D79" s="247"/>
      <c r="E79" s="178"/>
      <c r="F79" s="162"/>
      <c r="G79" s="255"/>
      <c r="H79" s="256"/>
      <c r="I79" s="257"/>
    </row>
    <row r="80" spans="1:12" s="161" customFormat="1" ht="15.05">
      <c r="A80" s="165"/>
    </row>
    <row r="81" spans="1:1">
      <c r="A81" s="258"/>
    </row>
    <row r="82" spans="1:1">
      <c r="A82" s="258"/>
    </row>
    <row r="83" spans="1:1">
      <c r="A83" s="258"/>
    </row>
    <row r="84" spans="1:1">
      <c r="A84" s="258"/>
    </row>
    <row r="85" spans="1:1">
      <c r="A85" s="258"/>
    </row>
    <row r="86" spans="1:1">
      <c r="A86" s="258"/>
    </row>
    <row r="87" spans="1:1">
      <c r="A87" s="258"/>
    </row>
    <row r="88" spans="1:1">
      <c r="A88" s="258"/>
    </row>
    <row r="89" spans="1:1">
      <c r="A89" s="258"/>
    </row>
    <row r="90" spans="1:1">
      <c r="A90" s="258"/>
    </row>
    <row r="91" spans="1:1">
      <c r="A91" s="258"/>
    </row>
    <row r="92" spans="1:1">
      <c r="A92" s="258"/>
    </row>
    <row r="93" spans="1:1">
      <c r="A93" s="258"/>
    </row>
    <row r="94" spans="1:1">
      <c r="A94" s="258"/>
    </row>
    <row r="95" spans="1:1">
      <c r="A95" s="258"/>
    </row>
    <row r="96" spans="1:1">
      <c r="A96" s="258"/>
    </row>
    <row r="97" spans="1:1">
      <c r="A97" s="258"/>
    </row>
    <row r="98" spans="1:1">
      <c r="A98" s="258"/>
    </row>
    <row r="99" spans="1:1">
      <c r="A99" s="258"/>
    </row>
    <row r="100" spans="1:1">
      <c r="A100" s="258"/>
    </row>
    <row r="101" spans="1:1">
      <c r="A101" s="258"/>
    </row>
    <row r="102" spans="1:1">
      <c r="A102" s="258"/>
    </row>
    <row r="103" spans="1:1">
      <c r="A103" s="258"/>
    </row>
    <row r="104" spans="1:1">
      <c r="A104" s="258"/>
    </row>
    <row r="105" spans="1:1">
      <c r="A105" s="258"/>
    </row>
    <row r="106" spans="1:1">
      <c r="A106" s="258"/>
    </row>
    <row r="107" spans="1:1">
      <c r="A107" s="258"/>
    </row>
    <row r="108" spans="1:1">
      <c r="A108" s="258"/>
    </row>
    <row r="109" spans="1:1">
      <c r="A109" s="258"/>
    </row>
    <row r="110" spans="1:1">
      <c r="A110" s="258"/>
    </row>
    <row r="111" spans="1:1">
      <c r="A111" s="258"/>
    </row>
    <row r="112" spans="1:1">
      <c r="A112" s="258"/>
    </row>
    <row r="113" spans="1:1">
      <c r="A113" s="258"/>
    </row>
    <row r="114" spans="1:1">
      <c r="A114" s="258"/>
    </row>
    <row r="115" spans="1:1">
      <c r="A115" s="258"/>
    </row>
    <row r="116" spans="1:1">
      <c r="A116" s="258"/>
    </row>
    <row r="117" spans="1:1">
      <c r="A117" s="258"/>
    </row>
    <row r="118" spans="1:1">
      <c r="A118" s="258"/>
    </row>
    <row r="119" spans="1:1">
      <c r="A119" s="258"/>
    </row>
    <row r="120" spans="1:1">
      <c r="A120" s="258"/>
    </row>
    <row r="121" spans="1:1">
      <c r="A121" s="258"/>
    </row>
    <row r="122" spans="1:1">
      <c r="A122" s="258"/>
    </row>
    <row r="123" spans="1:1">
      <c r="A123" s="258"/>
    </row>
    <row r="124" spans="1:1">
      <c r="A124" s="258"/>
    </row>
    <row r="125" spans="1:1">
      <c r="A125" s="258"/>
    </row>
    <row r="126" spans="1:1">
      <c r="A126" s="258"/>
    </row>
    <row r="127" spans="1:1">
      <c r="A127" s="258"/>
    </row>
    <row r="128" spans="1:1">
      <c r="A128" s="258"/>
    </row>
    <row r="129" spans="1:1">
      <c r="A129" s="258"/>
    </row>
    <row r="130" spans="1:1">
      <c r="A130" s="258"/>
    </row>
    <row r="131" spans="1:1">
      <c r="A131" s="258"/>
    </row>
    <row r="132" spans="1:1">
      <c r="A132" s="258"/>
    </row>
    <row r="133" spans="1:1">
      <c r="A133" s="258"/>
    </row>
    <row r="134" spans="1:1">
      <c r="A134" s="258"/>
    </row>
    <row r="135" spans="1:1">
      <c r="A135" s="258"/>
    </row>
    <row r="136" spans="1:1">
      <c r="A136" s="258"/>
    </row>
    <row r="137" spans="1:1">
      <c r="A137" s="258"/>
    </row>
    <row r="138" spans="1:1">
      <c r="A138" s="258"/>
    </row>
    <row r="139" spans="1:1">
      <c r="A139" s="258"/>
    </row>
    <row r="140" spans="1:1">
      <c r="A140" s="258"/>
    </row>
    <row r="141" spans="1:1">
      <c r="A141" s="258"/>
    </row>
    <row r="142" spans="1:1">
      <c r="A142" s="258"/>
    </row>
    <row r="143" spans="1:1">
      <c r="A143" s="258"/>
    </row>
    <row r="144" spans="1:1">
      <c r="A144" s="258"/>
    </row>
    <row r="145" spans="1:1">
      <c r="A145" s="258"/>
    </row>
    <row r="146" spans="1:1">
      <c r="A146" s="258"/>
    </row>
    <row r="147" spans="1:1">
      <c r="A147" s="258"/>
    </row>
    <row r="148" spans="1:1">
      <c r="A148" s="258"/>
    </row>
    <row r="149" spans="1:1">
      <c r="A149" s="258"/>
    </row>
    <row r="150" spans="1:1">
      <c r="A150" s="258"/>
    </row>
    <row r="151" spans="1:1">
      <c r="A151" s="258"/>
    </row>
    <row r="152" spans="1:1">
      <c r="A152" s="258"/>
    </row>
    <row r="153" spans="1:1">
      <c r="A153" s="258"/>
    </row>
    <row r="154" spans="1:1">
      <c r="A154" s="258"/>
    </row>
    <row r="155" spans="1:1">
      <c r="A155" s="258"/>
    </row>
    <row r="156" spans="1:1">
      <c r="A156" s="258"/>
    </row>
    <row r="157" spans="1:1">
      <c r="A157" s="258"/>
    </row>
    <row r="158" spans="1:1">
      <c r="A158" s="258"/>
    </row>
    <row r="159" spans="1:1">
      <c r="A159" s="258"/>
    </row>
    <row r="160" spans="1:1">
      <c r="A160" s="258"/>
    </row>
    <row r="161" spans="1:1">
      <c r="A161" s="258"/>
    </row>
    <row r="162" spans="1:1">
      <c r="A162" s="258"/>
    </row>
    <row r="163" spans="1:1">
      <c r="A163" s="258"/>
    </row>
    <row r="164" spans="1:1">
      <c r="A164" s="258"/>
    </row>
    <row r="165" spans="1:1">
      <c r="A165" s="258"/>
    </row>
    <row r="166" spans="1:1">
      <c r="A166" s="258"/>
    </row>
    <row r="167" spans="1:1">
      <c r="A167" s="258"/>
    </row>
    <row r="168" spans="1:1">
      <c r="A168" s="258"/>
    </row>
    <row r="169" spans="1:1">
      <c r="A169" s="258"/>
    </row>
    <row r="170" spans="1:1">
      <c r="A170" s="258"/>
    </row>
    <row r="171" spans="1:1">
      <c r="A171" s="258"/>
    </row>
    <row r="172" spans="1:1">
      <c r="A172" s="258"/>
    </row>
    <row r="173" spans="1:1">
      <c r="A173" s="258"/>
    </row>
    <row r="174" spans="1:1">
      <c r="A174" s="258"/>
    </row>
    <row r="175" spans="1:1">
      <c r="A175" s="258"/>
    </row>
    <row r="176" spans="1:1">
      <c r="A176" s="258"/>
    </row>
    <row r="177" spans="1:1">
      <c r="A177" s="258"/>
    </row>
    <row r="178" spans="1:1">
      <c r="A178" s="258"/>
    </row>
    <row r="179" spans="1:1">
      <c r="A179" s="258"/>
    </row>
    <row r="180" spans="1:1">
      <c r="A180" s="258"/>
    </row>
    <row r="181" spans="1:1">
      <c r="A181" s="258"/>
    </row>
    <row r="182" spans="1:1">
      <c r="A182" s="258"/>
    </row>
    <row r="183" spans="1:1">
      <c r="A183" s="258"/>
    </row>
    <row r="184" spans="1:1">
      <c r="A184" s="258"/>
    </row>
    <row r="185" spans="1:1">
      <c r="A185" s="258"/>
    </row>
    <row r="186" spans="1:1">
      <c r="A186" s="258"/>
    </row>
    <row r="187" spans="1:1">
      <c r="A187" s="258"/>
    </row>
    <row r="188" spans="1:1">
      <c r="A188" s="258"/>
    </row>
    <row r="189" spans="1:1">
      <c r="A189" s="258"/>
    </row>
    <row r="190" spans="1:1">
      <c r="A190" s="258"/>
    </row>
    <row r="191" spans="1:1">
      <c r="A191" s="258"/>
    </row>
    <row r="192" spans="1:1">
      <c r="A192" s="258"/>
    </row>
    <row r="193" spans="1:1">
      <c r="A193" s="258"/>
    </row>
    <row r="194" spans="1:1">
      <c r="A194" s="258"/>
    </row>
    <row r="195" spans="1:1">
      <c r="A195" s="258"/>
    </row>
    <row r="196" spans="1:1">
      <c r="A196" s="258"/>
    </row>
    <row r="197" spans="1:1">
      <c r="A197" s="258"/>
    </row>
    <row r="198" spans="1:1">
      <c r="A198" s="258"/>
    </row>
    <row r="199" spans="1:1">
      <c r="A199" s="258"/>
    </row>
    <row r="200" spans="1:1">
      <c r="A200" s="258"/>
    </row>
    <row r="201" spans="1:1">
      <c r="A201" s="258"/>
    </row>
    <row r="202" spans="1:1">
      <c r="A202" s="258"/>
    </row>
    <row r="203" spans="1:1">
      <c r="A203" s="258"/>
    </row>
    <row r="204" spans="1:1">
      <c r="A204" s="258"/>
    </row>
    <row r="205" spans="1:1">
      <c r="A205" s="258"/>
    </row>
    <row r="206" spans="1:1">
      <c r="A206" s="258"/>
    </row>
    <row r="207" spans="1:1">
      <c r="A207" s="258"/>
    </row>
    <row r="208" spans="1:1">
      <c r="A208" s="258"/>
    </row>
    <row r="209" spans="1:1">
      <c r="A209" s="258"/>
    </row>
    <row r="210" spans="1:1">
      <c r="A210" s="258"/>
    </row>
    <row r="211" spans="1:1">
      <c r="A211" s="258"/>
    </row>
    <row r="212" spans="1:1">
      <c r="A212" s="258"/>
    </row>
    <row r="213" spans="1:1">
      <c r="A213" s="258"/>
    </row>
    <row r="214" spans="1:1">
      <c r="A214" s="258"/>
    </row>
    <row r="215" spans="1:1">
      <c r="A215" s="258"/>
    </row>
    <row r="216" spans="1:1">
      <c r="A216" s="258"/>
    </row>
    <row r="217" spans="1:1">
      <c r="A217" s="258"/>
    </row>
    <row r="218" spans="1:1">
      <c r="A218" s="258"/>
    </row>
    <row r="219" spans="1:1">
      <c r="A219" s="258"/>
    </row>
    <row r="220" spans="1:1">
      <c r="A220" s="258"/>
    </row>
    <row r="221" spans="1:1">
      <c r="A221" s="258"/>
    </row>
    <row r="222" spans="1:1">
      <c r="A222" s="258"/>
    </row>
    <row r="223" spans="1:1">
      <c r="A223" s="258"/>
    </row>
    <row r="224" spans="1:1">
      <c r="A224" s="258"/>
    </row>
    <row r="225" spans="1:1">
      <c r="A225" s="258"/>
    </row>
    <row r="226" spans="1:1">
      <c r="A226" s="258"/>
    </row>
    <row r="227" spans="1:1">
      <c r="A227" s="258"/>
    </row>
    <row r="228" spans="1:1">
      <c r="A228" s="258"/>
    </row>
    <row r="229" spans="1:1">
      <c r="A229" s="258"/>
    </row>
    <row r="230" spans="1:1">
      <c r="A230" s="258"/>
    </row>
    <row r="231" spans="1:1">
      <c r="A231" s="258"/>
    </row>
    <row r="232" spans="1:1">
      <c r="A232" s="258"/>
    </row>
    <row r="233" spans="1:1">
      <c r="A233" s="258"/>
    </row>
    <row r="234" spans="1:1">
      <c r="A234" s="258"/>
    </row>
    <row r="235" spans="1:1">
      <c r="A235" s="258"/>
    </row>
    <row r="236" spans="1:1">
      <c r="A236" s="258"/>
    </row>
    <row r="237" spans="1:1">
      <c r="A237" s="258"/>
    </row>
    <row r="238" spans="1:1">
      <c r="A238" s="258"/>
    </row>
    <row r="239" spans="1:1">
      <c r="A239" s="258"/>
    </row>
    <row r="240" spans="1:1">
      <c r="A240" s="258"/>
    </row>
    <row r="241" spans="1:1">
      <c r="A241" s="258"/>
    </row>
    <row r="242" spans="1:1">
      <c r="A242" s="258"/>
    </row>
    <row r="243" spans="1:1">
      <c r="A243" s="258"/>
    </row>
    <row r="244" spans="1:1">
      <c r="A244" s="258"/>
    </row>
    <row r="245" spans="1:1">
      <c r="A245" s="258"/>
    </row>
    <row r="246" spans="1:1">
      <c r="A246" s="258"/>
    </row>
    <row r="247" spans="1:1">
      <c r="A247" s="258"/>
    </row>
    <row r="248" spans="1:1">
      <c r="A248" s="258"/>
    </row>
    <row r="249" spans="1:1">
      <c r="A249" s="258"/>
    </row>
    <row r="250" spans="1:1">
      <c r="A250" s="258"/>
    </row>
    <row r="251" spans="1:1">
      <c r="A251" s="258"/>
    </row>
    <row r="252" spans="1:1">
      <c r="A252" s="258"/>
    </row>
    <row r="253" spans="1:1">
      <c r="A253" s="258"/>
    </row>
    <row r="254" spans="1:1">
      <c r="A254" s="258"/>
    </row>
    <row r="255" spans="1:1">
      <c r="A255" s="258"/>
    </row>
    <row r="256" spans="1:1">
      <c r="A256" s="258"/>
    </row>
    <row r="257" spans="1:1">
      <c r="A257" s="258"/>
    </row>
    <row r="258" spans="1:1">
      <c r="A258" s="258"/>
    </row>
    <row r="259" spans="1:1">
      <c r="A259" s="258"/>
    </row>
    <row r="260" spans="1:1">
      <c r="A260" s="258"/>
    </row>
    <row r="261" spans="1:1">
      <c r="A261" s="258"/>
    </row>
    <row r="262" spans="1:1">
      <c r="A262" s="258"/>
    </row>
    <row r="263" spans="1:1">
      <c r="A263" s="258"/>
    </row>
    <row r="264" spans="1:1">
      <c r="A264" s="258"/>
    </row>
    <row r="265" spans="1:1">
      <c r="A265" s="258"/>
    </row>
    <row r="266" spans="1:1">
      <c r="A266" s="258"/>
    </row>
    <row r="267" spans="1:1">
      <c r="A267" s="258"/>
    </row>
    <row r="268" spans="1:1">
      <c r="A268" s="258"/>
    </row>
    <row r="269" spans="1:1">
      <c r="A269" s="258"/>
    </row>
    <row r="270" spans="1:1">
      <c r="A270" s="258"/>
    </row>
    <row r="271" spans="1:1">
      <c r="A271" s="258"/>
    </row>
    <row r="272" spans="1:1">
      <c r="A272" s="258"/>
    </row>
    <row r="273" spans="1:1">
      <c r="A273" s="258"/>
    </row>
    <row r="274" spans="1:1">
      <c r="A274" s="258"/>
    </row>
    <row r="275" spans="1:1">
      <c r="A275" s="258"/>
    </row>
    <row r="276" spans="1:1">
      <c r="A276" s="258"/>
    </row>
    <row r="277" spans="1:1">
      <c r="A277" s="258"/>
    </row>
    <row r="278" spans="1:1">
      <c r="A278" s="258"/>
    </row>
    <row r="279" spans="1:1">
      <c r="A279" s="258"/>
    </row>
    <row r="280" spans="1:1">
      <c r="A280" s="258"/>
    </row>
    <row r="281" spans="1:1">
      <c r="A281" s="258"/>
    </row>
    <row r="282" spans="1:1">
      <c r="A282" s="258"/>
    </row>
    <row r="283" spans="1:1">
      <c r="A283" s="258"/>
    </row>
    <row r="284" spans="1:1">
      <c r="A284" s="258"/>
    </row>
    <row r="285" spans="1:1">
      <c r="A285" s="258"/>
    </row>
    <row r="286" spans="1:1">
      <c r="A286" s="258"/>
    </row>
    <row r="287" spans="1:1">
      <c r="A287" s="258"/>
    </row>
    <row r="288" spans="1:1">
      <c r="A288" s="258"/>
    </row>
    <row r="289" spans="1:1">
      <c r="A289" s="258"/>
    </row>
    <row r="290" spans="1:1">
      <c r="A290" s="258"/>
    </row>
    <row r="291" spans="1:1">
      <c r="A291" s="258"/>
    </row>
    <row r="292" spans="1:1">
      <c r="A292" s="258"/>
    </row>
    <row r="293" spans="1:1">
      <c r="A293" s="258"/>
    </row>
    <row r="294" spans="1:1">
      <c r="A294" s="258"/>
    </row>
    <row r="295" spans="1:1">
      <c r="A295" s="258"/>
    </row>
    <row r="296" spans="1:1">
      <c r="A296" s="258"/>
    </row>
    <row r="297" spans="1:1">
      <c r="A297" s="258"/>
    </row>
    <row r="298" spans="1:1">
      <c r="A298" s="258"/>
    </row>
    <row r="299" spans="1:1">
      <c r="A299" s="258"/>
    </row>
    <row r="300" spans="1:1">
      <c r="A300" s="258"/>
    </row>
    <row r="301" spans="1:1">
      <c r="A301" s="258"/>
    </row>
    <row r="302" spans="1:1">
      <c r="A302" s="258"/>
    </row>
    <row r="303" spans="1:1">
      <c r="A303" s="258"/>
    </row>
    <row r="304" spans="1:1">
      <c r="A304" s="258"/>
    </row>
    <row r="305" spans="1:6">
      <c r="A305" s="258"/>
    </row>
    <row r="306" spans="1:6">
      <c r="A306" s="258"/>
    </row>
    <row r="307" spans="1:6">
      <c r="A307" s="258"/>
    </row>
    <row r="308" spans="1:6">
      <c r="A308" s="258"/>
    </row>
    <row r="309" spans="1:6">
      <c r="A309" s="259"/>
      <c r="B309" s="259"/>
      <c r="C309" s="259"/>
      <c r="D309" s="259"/>
      <c r="E309" s="259"/>
      <c r="F309" s="259"/>
    </row>
    <row r="310" spans="1:6">
      <c r="A310" s="259"/>
      <c r="B310" s="259"/>
      <c r="C310" s="259"/>
      <c r="D310" s="259"/>
      <c r="E310" s="259"/>
      <c r="F310" s="259"/>
    </row>
    <row r="311" spans="1:6">
      <c r="A311" s="259"/>
      <c r="B311" s="259"/>
      <c r="C311" s="259"/>
      <c r="D311" s="259"/>
      <c r="E311" s="259"/>
      <c r="F311" s="259"/>
    </row>
    <row r="312" spans="1:6">
      <c r="A312" s="259"/>
      <c r="B312" s="259"/>
      <c r="C312" s="259"/>
      <c r="D312" s="259"/>
      <c r="E312" s="259"/>
      <c r="F312" s="259"/>
    </row>
    <row r="313" spans="1:6">
      <c r="A313" s="259"/>
      <c r="B313" s="259"/>
      <c r="C313" s="259"/>
      <c r="D313" s="259"/>
      <c r="E313" s="259"/>
      <c r="F313" s="259"/>
    </row>
    <row r="314" spans="1:6">
      <c r="A314" s="259"/>
      <c r="B314" s="259"/>
      <c r="C314" s="259"/>
      <c r="D314" s="259"/>
      <c r="E314" s="259"/>
      <c r="F314" s="259"/>
    </row>
    <row r="315" spans="1:6">
      <c r="A315" s="259"/>
      <c r="B315" s="259"/>
      <c r="C315" s="259"/>
      <c r="D315" s="259"/>
      <c r="E315" s="259"/>
      <c r="F315" s="259"/>
    </row>
    <row r="316" spans="1:6">
      <c r="A316" s="259"/>
      <c r="B316" s="259"/>
      <c r="C316" s="259"/>
      <c r="D316" s="259"/>
      <c r="E316" s="259"/>
      <c r="F316" s="259"/>
    </row>
    <row r="317" spans="1:6">
      <c r="A317" s="259"/>
      <c r="B317" s="259"/>
      <c r="C317" s="259"/>
      <c r="D317" s="259"/>
      <c r="E317" s="259"/>
      <c r="F317" s="259"/>
    </row>
    <row r="318" spans="1:6">
      <c r="A318" s="258"/>
    </row>
    <row r="319" spans="1:6">
      <c r="A319" s="258"/>
    </row>
    <row r="320" spans="1:6">
      <c r="A320" s="258"/>
    </row>
    <row r="321" spans="1:1">
      <c r="A321" s="258"/>
    </row>
    <row r="322" spans="1:1">
      <c r="A322" s="258"/>
    </row>
    <row r="323" spans="1:1">
      <c r="A323" s="258"/>
    </row>
    <row r="324" spans="1:1">
      <c r="A324" s="258"/>
    </row>
    <row r="325" spans="1:1">
      <c r="A325" s="258"/>
    </row>
    <row r="326" spans="1:1">
      <c r="A326" s="258"/>
    </row>
    <row r="327" spans="1:1">
      <c r="A327" s="258"/>
    </row>
    <row r="328" spans="1:1">
      <c r="A328" s="258"/>
    </row>
    <row r="329" spans="1:1">
      <c r="A329" s="258"/>
    </row>
    <row r="330" spans="1:1">
      <c r="A330" s="258"/>
    </row>
    <row r="331" spans="1:1">
      <c r="A331" s="258"/>
    </row>
    <row r="332" spans="1:1">
      <c r="A332" s="258"/>
    </row>
    <row r="333" spans="1:1">
      <c r="A333" s="258"/>
    </row>
    <row r="334" spans="1:1">
      <c r="A334" s="258"/>
    </row>
    <row r="335" spans="1:1">
      <c r="A335" s="258"/>
    </row>
    <row r="336" spans="1:1">
      <c r="A336" s="258"/>
    </row>
    <row r="337" spans="1:1">
      <c r="A337" s="258"/>
    </row>
    <row r="338" spans="1:1">
      <c r="A338" s="258"/>
    </row>
    <row r="339" spans="1:1">
      <c r="A339" s="258"/>
    </row>
    <row r="340" spans="1:1">
      <c r="A340" s="258"/>
    </row>
    <row r="341" spans="1:1">
      <c r="A341" s="258"/>
    </row>
    <row r="342" spans="1:1">
      <c r="A342" s="258"/>
    </row>
    <row r="343" spans="1:1">
      <c r="A343" s="258"/>
    </row>
    <row r="344" spans="1:1">
      <c r="A344" s="258"/>
    </row>
    <row r="345" spans="1:1">
      <c r="A345" s="258"/>
    </row>
    <row r="346" spans="1:1">
      <c r="A346" s="258"/>
    </row>
    <row r="347" spans="1:1">
      <c r="A347" s="258"/>
    </row>
    <row r="348" spans="1:1">
      <c r="A348" s="258"/>
    </row>
    <row r="349" spans="1:1">
      <c r="A349" s="258"/>
    </row>
    <row r="350" spans="1:1">
      <c r="A350" s="258"/>
    </row>
    <row r="351" spans="1:1">
      <c r="A351" s="258"/>
    </row>
    <row r="352" spans="1:1">
      <c r="A352" s="258"/>
    </row>
    <row r="353" spans="1:1">
      <c r="A353" s="258"/>
    </row>
    <row r="354" spans="1:1">
      <c r="A354" s="258"/>
    </row>
    <row r="355" spans="1:1">
      <c r="A355" s="258"/>
    </row>
    <row r="356" spans="1:1">
      <c r="A356" s="258"/>
    </row>
    <row r="357" spans="1:1">
      <c r="A357" s="258"/>
    </row>
    <row r="358" spans="1:1">
      <c r="A358" s="258"/>
    </row>
    <row r="359" spans="1:1">
      <c r="A359" s="258"/>
    </row>
    <row r="360" spans="1:1">
      <c r="A360" s="258"/>
    </row>
    <row r="361" spans="1:1">
      <c r="A361" s="258"/>
    </row>
    <row r="362" spans="1:1">
      <c r="A362" s="258"/>
    </row>
    <row r="363" spans="1:1">
      <c r="A363" s="258"/>
    </row>
    <row r="364" spans="1:1">
      <c r="A364" s="258"/>
    </row>
    <row r="365" spans="1:1">
      <c r="A365" s="258"/>
    </row>
    <row r="366" spans="1:1">
      <c r="A366" s="258"/>
    </row>
    <row r="367" spans="1:1">
      <c r="A367" s="258"/>
    </row>
    <row r="368" spans="1:1">
      <c r="A368" s="258"/>
    </row>
    <row r="369" spans="1:1">
      <c r="A369" s="258"/>
    </row>
    <row r="370" spans="1:1">
      <c r="A370" s="258"/>
    </row>
    <row r="371" spans="1:1">
      <c r="A371" s="258"/>
    </row>
    <row r="372" spans="1:1">
      <c r="A372" s="258"/>
    </row>
    <row r="373" spans="1:1">
      <c r="A373" s="258"/>
    </row>
    <row r="374" spans="1:1">
      <c r="A374" s="258"/>
    </row>
    <row r="375" spans="1:1">
      <c r="A375" s="258"/>
    </row>
    <row r="376" spans="1:1">
      <c r="A376" s="258"/>
    </row>
    <row r="377" spans="1:1">
      <c r="A377" s="258"/>
    </row>
    <row r="378" spans="1:1">
      <c r="A378" s="258"/>
    </row>
    <row r="379" spans="1:1">
      <c r="A379" s="258"/>
    </row>
    <row r="380" spans="1:1">
      <c r="A380" s="258"/>
    </row>
    <row r="381" spans="1:1">
      <c r="A381" s="258"/>
    </row>
    <row r="382" spans="1:1">
      <c r="A382" s="258"/>
    </row>
    <row r="383" spans="1:1">
      <c r="A383" s="258"/>
    </row>
    <row r="384" spans="1:1">
      <c r="A384" s="258"/>
    </row>
    <row r="385" spans="1:1">
      <c r="A385" s="258"/>
    </row>
    <row r="386" spans="1:1">
      <c r="A386" s="258"/>
    </row>
    <row r="387" spans="1:1">
      <c r="A387" s="258"/>
    </row>
    <row r="388" spans="1:1">
      <c r="A388" s="258"/>
    </row>
    <row r="389" spans="1:1">
      <c r="A389" s="258"/>
    </row>
    <row r="390" spans="1:1">
      <c r="A390" s="258"/>
    </row>
    <row r="391" spans="1:1">
      <c r="A391" s="258"/>
    </row>
    <row r="392" spans="1:1">
      <c r="A392" s="258"/>
    </row>
    <row r="393" spans="1:1">
      <c r="A393" s="258"/>
    </row>
    <row r="394" spans="1:1">
      <c r="A394" s="258"/>
    </row>
    <row r="395" spans="1:1">
      <c r="A395" s="258"/>
    </row>
    <row r="396" spans="1:1">
      <c r="A396" s="258"/>
    </row>
    <row r="397" spans="1:1">
      <c r="A397" s="258"/>
    </row>
    <row r="398" spans="1:1">
      <c r="A398" s="258"/>
    </row>
    <row r="399" spans="1:1">
      <c r="A399" s="258"/>
    </row>
    <row r="400" spans="1:1">
      <c r="A400" s="258"/>
    </row>
    <row r="401" spans="1:1">
      <c r="A401" s="258"/>
    </row>
    <row r="402" spans="1:1">
      <c r="A402" s="258"/>
    </row>
    <row r="403" spans="1:1">
      <c r="A403" s="258"/>
    </row>
    <row r="404" spans="1:1">
      <c r="A404" s="258"/>
    </row>
    <row r="405" spans="1:1">
      <c r="A405" s="258"/>
    </row>
    <row r="406" spans="1:1">
      <c r="A406" s="258"/>
    </row>
    <row r="407" spans="1:1">
      <c r="A407" s="258"/>
    </row>
    <row r="408" spans="1:1">
      <c r="A408" s="258"/>
    </row>
    <row r="409" spans="1:1">
      <c r="A409" s="258"/>
    </row>
    <row r="410" spans="1:1">
      <c r="A410" s="258"/>
    </row>
    <row r="411" spans="1:1">
      <c r="A411" s="258"/>
    </row>
    <row r="412" spans="1:1">
      <c r="A412" s="258"/>
    </row>
    <row r="413" spans="1:1">
      <c r="A413" s="258"/>
    </row>
    <row r="414" spans="1:1">
      <c r="A414" s="258"/>
    </row>
    <row r="415" spans="1:1">
      <c r="A415" s="258"/>
    </row>
    <row r="416" spans="1:1">
      <c r="A416" s="258"/>
    </row>
    <row r="417" spans="1:1">
      <c r="A417" s="258"/>
    </row>
    <row r="418" spans="1:1">
      <c r="A418" s="258"/>
    </row>
    <row r="419" spans="1:1">
      <c r="A419" s="258"/>
    </row>
    <row r="420" spans="1:1">
      <c r="A420" s="258"/>
    </row>
    <row r="421" spans="1:1">
      <c r="A421" s="258"/>
    </row>
    <row r="422" spans="1:1">
      <c r="A422" s="258"/>
    </row>
    <row r="423" spans="1:1">
      <c r="A423" s="258"/>
    </row>
    <row r="424" spans="1:1">
      <c r="A424" s="258"/>
    </row>
    <row r="425" spans="1:1">
      <c r="A425" s="258"/>
    </row>
    <row r="426" spans="1:1">
      <c r="A426" s="258"/>
    </row>
    <row r="427" spans="1:1">
      <c r="A427" s="258"/>
    </row>
    <row r="428" spans="1:1">
      <c r="A428" s="258"/>
    </row>
    <row r="429" spans="1:1">
      <c r="A429" s="258"/>
    </row>
    <row r="430" spans="1:1">
      <c r="A430" s="258"/>
    </row>
    <row r="431" spans="1:1">
      <c r="A431" s="258"/>
    </row>
    <row r="432" spans="1:1">
      <c r="A432" s="258"/>
    </row>
    <row r="433" spans="1:1">
      <c r="A433" s="258"/>
    </row>
    <row r="434" spans="1:1">
      <c r="A434" s="258"/>
    </row>
    <row r="435" spans="1:1">
      <c r="A435" s="258"/>
    </row>
    <row r="436" spans="1:1">
      <c r="A436" s="258"/>
    </row>
    <row r="437" spans="1:1">
      <c r="A437" s="258"/>
    </row>
    <row r="438" spans="1:1">
      <c r="A438" s="258"/>
    </row>
    <row r="439" spans="1:1">
      <c r="A439" s="258"/>
    </row>
    <row r="440" spans="1:1">
      <c r="A440" s="258"/>
    </row>
    <row r="441" spans="1:1">
      <c r="A441" s="258"/>
    </row>
    <row r="442" spans="1:1">
      <c r="A442" s="258"/>
    </row>
    <row r="443" spans="1:1">
      <c r="A443" s="258"/>
    </row>
    <row r="444" spans="1:1">
      <c r="A444" s="258"/>
    </row>
    <row r="445" spans="1:1">
      <c r="A445" s="258"/>
    </row>
    <row r="446" spans="1:1">
      <c r="A446" s="258"/>
    </row>
    <row r="447" spans="1:1">
      <c r="A447" s="258"/>
    </row>
    <row r="448" spans="1:1">
      <c r="A448" s="258"/>
    </row>
    <row r="449" spans="1:1">
      <c r="A449" s="258"/>
    </row>
    <row r="450" spans="1:1">
      <c r="A450" s="258"/>
    </row>
    <row r="451" spans="1:1">
      <c r="A451" s="258"/>
    </row>
    <row r="452" spans="1:1">
      <c r="A452" s="258"/>
    </row>
    <row r="453" spans="1:1">
      <c r="A453" s="258"/>
    </row>
    <row r="454" spans="1:1">
      <c r="A454" s="258"/>
    </row>
    <row r="455" spans="1:1">
      <c r="A455" s="258"/>
    </row>
    <row r="456" spans="1:1">
      <c r="A456" s="258"/>
    </row>
    <row r="457" spans="1:1">
      <c r="A457" s="258"/>
    </row>
    <row r="458" spans="1:1">
      <c r="A458" s="258"/>
    </row>
    <row r="459" spans="1:1">
      <c r="A459" s="258"/>
    </row>
    <row r="460" spans="1:1">
      <c r="A460" s="258"/>
    </row>
    <row r="461" spans="1:1">
      <c r="A461" s="258"/>
    </row>
    <row r="462" spans="1:1">
      <c r="A462" s="258"/>
    </row>
    <row r="463" spans="1:1">
      <c r="A463" s="258"/>
    </row>
    <row r="464" spans="1:1">
      <c r="A464" s="258"/>
    </row>
    <row r="465" spans="1:1">
      <c r="A465" s="258"/>
    </row>
    <row r="466" spans="1:1">
      <c r="A466" s="258"/>
    </row>
    <row r="467" spans="1:1">
      <c r="A467" s="258"/>
    </row>
    <row r="468" spans="1:1">
      <c r="A468" s="258"/>
    </row>
    <row r="469" spans="1:1">
      <c r="A469" s="258"/>
    </row>
    <row r="470" spans="1:1">
      <c r="A470" s="258"/>
    </row>
    <row r="471" spans="1:1">
      <c r="A471" s="258"/>
    </row>
    <row r="472" spans="1:1">
      <c r="A472" s="258"/>
    </row>
    <row r="473" spans="1:1">
      <c r="A473" s="258"/>
    </row>
    <row r="474" spans="1:1">
      <c r="A474" s="258"/>
    </row>
    <row r="475" spans="1:1">
      <c r="A475" s="258"/>
    </row>
    <row r="476" spans="1:1">
      <c r="A476" s="258"/>
    </row>
    <row r="477" spans="1:1">
      <c r="A477" s="258"/>
    </row>
    <row r="478" spans="1:1">
      <c r="A478" s="258"/>
    </row>
    <row r="479" spans="1:1">
      <c r="A479" s="258"/>
    </row>
    <row r="480" spans="1:1">
      <c r="A480" s="258"/>
    </row>
    <row r="481" spans="1:1">
      <c r="A481" s="258"/>
    </row>
    <row r="482" spans="1:1">
      <c r="A482" s="258"/>
    </row>
    <row r="483" spans="1:1">
      <c r="A483" s="258"/>
    </row>
    <row r="484" spans="1:1">
      <c r="A484" s="258"/>
    </row>
    <row r="485" spans="1:1">
      <c r="A485" s="258"/>
    </row>
    <row r="486" spans="1:1">
      <c r="A486" s="258"/>
    </row>
    <row r="487" spans="1:1">
      <c r="A487" s="258"/>
    </row>
    <row r="488" spans="1:1">
      <c r="A488" s="258"/>
    </row>
    <row r="489" spans="1:1">
      <c r="A489" s="258"/>
    </row>
    <row r="490" spans="1:1">
      <c r="A490" s="258"/>
    </row>
    <row r="491" spans="1:1">
      <c r="A491" s="258"/>
    </row>
    <row r="492" spans="1:1">
      <c r="A492" s="258"/>
    </row>
    <row r="493" spans="1:1">
      <c r="A493" s="258"/>
    </row>
    <row r="494" spans="1:1">
      <c r="A494" s="258"/>
    </row>
    <row r="495" spans="1:1">
      <c r="A495" s="258"/>
    </row>
    <row r="496" spans="1:1">
      <c r="A496" s="258"/>
    </row>
    <row r="497" spans="1:1">
      <c r="A497" s="258"/>
    </row>
    <row r="498" spans="1:1">
      <c r="A498" s="258"/>
    </row>
    <row r="499" spans="1:1">
      <c r="A499" s="258"/>
    </row>
    <row r="500" spans="1:1">
      <c r="A500" s="258"/>
    </row>
    <row r="501" spans="1:1">
      <c r="A501" s="258"/>
    </row>
    <row r="502" spans="1:1">
      <c r="A502" s="258"/>
    </row>
    <row r="503" spans="1:1">
      <c r="A503" s="258"/>
    </row>
    <row r="504" spans="1:1">
      <c r="A504" s="258"/>
    </row>
    <row r="505" spans="1:1">
      <c r="A505" s="258"/>
    </row>
    <row r="506" spans="1:1">
      <c r="A506" s="258"/>
    </row>
    <row r="507" spans="1:1">
      <c r="A507" s="258"/>
    </row>
    <row r="508" spans="1:1">
      <c r="A508" s="258"/>
    </row>
    <row r="509" spans="1:1">
      <c r="A509" s="258"/>
    </row>
    <row r="510" spans="1:1">
      <c r="A510" s="258"/>
    </row>
    <row r="511" spans="1:1">
      <c r="A511" s="258"/>
    </row>
    <row r="512" spans="1:1">
      <c r="A512" s="258"/>
    </row>
    <row r="513" spans="1:1">
      <c r="A513" s="258"/>
    </row>
    <row r="514" spans="1:1">
      <c r="A514" s="258"/>
    </row>
    <row r="515" spans="1:1">
      <c r="A515" s="258"/>
    </row>
    <row r="516" spans="1:1">
      <c r="A516" s="258"/>
    </row>
    <row r="517" spans="1:1">
      <c r="A517" s="258"/>
    </row>
    <row r="518" spans="1:1">
      <c r="A518" s="258"/>
    </row>
    <row r="519" spans="1:1">
      <c r="A519" s="258"/>
    </row>
    <row r="520" spans="1:1">
      <c r="A520" s="258"/>
    </row>
    <row r="521" spans="1:1">
      <c r="A521" s="258"/>
    </row>
    <row r="522" spans="1:1">
      <c r="A522" s="258"/>
    </row>
    <row r="523" spans="1:1">
      <c r="A523" s="258"/>
    </row>
    <row r="524" spans="1:1">
      <c r="A524" s="258"/>
    </row>
    <row r="525" spans="1:1">
      <c r="A525" s="258"/>
    </row>
    <row r="526" spans="1:1">
      <c r="A526" s="258"/>
    </row>
    <row r="527" spans="1:1">
      <c r="A527" s="258"/>
    </row>
    <row r="528" spans="1:1">
      <c r="A528" s="258"/>
    </row>
    <row r="529" spans="1:1">
      <c r="A529" s="258"/>
    </row>
    <row r="530" spans="1:1">
      <c r="A530" s="258"/>
    </row>
    <row r="531" spans="1:1">
      <c r="A531" s="258"/>
    </row>
    <row r="532" spans="1:1">
      <c r="A532" s="258"/>
    </row>
    <row r="533" spans="1:1">
      <c r="A533" s="258"/>
    </row>
    <row r="534" spans="1:1">
      <c r="A534" s="258"/>
    </row>
    <row r="535" spans="1:1">
      <c r="A535" s="258"/>
    </row>
    <row r="536" spans="1:1">
      <c r="A536" s="258"/>
    </row>
    <row r="537" spans="1:1">
      <c r="A537" s="258"/>
    </row>
    <row r="538" spans="1:1">
      <c r="A538" s="258"/>
    </row>
    <row r="539" spans="1:1">
      <c r="A539" s="258"/>
    </row>
    <row r="540" spans="1:1">
      <c r="A540" s="258"/>
    </row>
    <row r="541" spans="1:1">
      <c r="A541" s="258"/>
    </row>
    <row r="542" spans="1:1">
      <c r="A542" s="258"/>
    </row>
    <row r="543" spans="1:1">
      <c r="A543" s="258"/>
    </row>
    <row r="544" spans="1:1">
      <c r="A544" s="258"/>
    </row>
    <row r="545" spans="1:1">
      <c r="A545" s="258"/>
    </row>
    <row r="546" spans="1:1">
      <c r="A546" s="258"/>
    </row>
    <row r="547" spans="1:1">
      <c r="A547" s="258"/>
    </row>
    <row r="548" spans="1:1">
      <c r="A548" s="258"/>
    </row>
    <row r="549" spans="1:1">
      <c r="A549" s="258"/>
    </row>
    <row r="550" spans="1:1">
      <c r="A550" s="258"/>
    </row>
    <row r="551" spans="1:1">
      <c r="A551" s="258"/>
    </row>
    <row r="552" spans="1:1">
      <c r="A552" s="258"/>
    </row>
    <row r="553" spans="1:1">
      <c r="A553" s="258"/>
    </row>
    <row r="554" spans="1:1">
      <c r="A554" s="258"/>
    </row>
    <row r="555" spans="1:1">
      <c r="A555" s="258"/>
    </row>
    <row r="556" spans="1:1">
      <c r="A556" s="258"/>
    </row>
    <row r="557" spans="1:1">
      <c r="A557" s="258"/>
    </row>
    <row r="558" spans="1:1">
      <c r="A558" s="258"/>
    </row>
    <row r="559" spans="1:1">
      <c r="A559" s="258"/>
    </row>
    <row r="560" spans="1:1">
      <c r="A560" s="258"/>
    </row>
    <row r="561" spans="1:1">
      <c r="A561" s="258"/>
    </row>
    <row r="562" spans="1:1">
      <c r="A562" s="258"/>
    </row>
    <row r="563" spans="1:1">
      <c r="A563" s="258"/>
    </row>
    <row r="564" spans="1:1">
      <c r="A564" s="258"/>
    </row>
    <row r="565" spans="1:1">
      <c r="A565" s="258"/>
    </row>
    <row r="566" spans="1:1">
      <c r="A566" s="258"/>
    </row>
    <row r="567" spans="1:1">
      <c r="A567" s="258"/>
    </row>
    <row r="568" spans="1:1">
      <c r="A568" s="258"/>
    </row>
    <row r="569" spans="1:1">
      <c r="A569" s="258"/>
    </row>
    <row r="570" spans="1:1">
      <c r="A570" s="258"/>
    </row>
    <row r="571" spans="1:1">
      <c r="A571" s="258"/>
    </row>
    <row r="572" spans="1:1">
      <c r="A572" s="258"/>
    </row>
    <row r="573" spans="1:1">
      <c r="A573" s="258"/>
    </row>
    <row r="574" spans="1:1">
      <c r="A574" s="258"/>
    </row>
    <row r="575" spans="1:1">
      <c r="A575" s="258"/>
    </row>
    <row r="576" spans="1:1">
      <c r="A576" s="258"/>
    </row>
    <row r="577" spans="1:1">
      <c r="A577" s="258"/>
    </row>
    <row r="578" spans="1:1">
      <c r="A578" s="258"/>
    </row>
    <row r="579" spans="1:1">
      <c r="A579" s="258"/>
    </row>
    <row r="580" spans="1:1">
      <c r="A580" s="258"/>
    </row>
    <row r="581" spans="1:1">
      <c r="A581" s="258"/>
    </row>
    <row r="582" spans="1:1">
      <c r="A582" s="258"/>
    </row>
    <row r="583" spans="1:1">
      <c r="A583" s="258"/>
    </row>
    <row r="584" spans="1:1">
      <c r="A584" s="258"/>
    </row>
    <row r="585" spans="1:1">
      <c r="A585" s="258"/>
    </row>
    <row r="586" spans="1:1">
      <c r="A586" s="258"/>
    </row>
    <row r="587" spans="1:1">
      <c r="A587" s="258"/>
    </row>
    <row r="588" spans="1:1">
      <c r="A588" s="258"/>
    </row>
    <row r="589" spans="1:1">
      <c r="A589" s="258"/>
    </row>
    <row r="590" spans="1:1">
      <c r="A590" s="258"/>
    </row>
    <row r="591" spans="1:1">
      <c r="A591" s="258"/>
    </row>
    <row r="592" spans="1:1">
      <c r="A592" s="258"/>
    </row>
    <row r="593" spans="1:1">
      <c r="A593" s="258"/>
    </row>
    <row r="594" spans="1:1">
      <c r="A594" s="258"/>
    </row>
    <row r="595" spans="1:1">
      <c r="A595" s="258"/>
    </row>
    <row r="596" spans="1:1">
      <c r="A596" s="258"/>
    </row>
    <row r="597" spans="1:1">
      <c r="A597" s="258"/>
    </row>
    <row r="598" spans="1:1">
      <c r="A598" s="258"/>
    </row>
    <row r="599" spans="1:1">
      <c r="A599" s="258"/>
    </row>
    <row r="600" spans="1:1">
      <c r="A600" s="258"/>
    </row>
    <row r="601" spans="1:1">
      <c r="A601" s="258"/>
    </row>
    <row r="602" spans="1:1">
      <c r="A602" s="258"/>
    </row>
    <row r="603" spans="1:1">
      <c r="A603" s="258"/>
    </row>
    <row r="604" spans="1:1">
      <c r="A604" s="258"/>
    </row>
    <row r="605" spans="1:1">
      <c r="A605" s="258"/>
    </row>
    <row r="606" spans="1:1">
      <c r="A606" s="258"/>
    </row>
    <row r="607" spans="1:1">
      <c r="A607" s="258"/>
    </row>
    <row r="608" spans="1:1">
      <c r="A608" s="258"/>
    </row>
    <row r="609" spans="1:1">
      <c r="A609" s="258"/>
    </row>
    <row r="610" spans="1:1">
      <c r="A610" s="258"/>
    </row>
    <row r="611" spans="1:1">
      <c r="A611" s="258"/>
    </row>
    <row r="612" spans="1:1">
      <c r="A612" s="258"/>
    </row>
    <row r="613" spans="1:1">
      <c r="A613" s="258"/>
    </row>
    <row r="614" spans="1:1">
      <c r="A614" s="258"/>
    </row>
    <row r="615" spans="1:1">
      <c r="A615" s="258"/>
    </row>
    <row r="616" spans="1:1">
      <c r="A616" s="258"/>
    </row>
    <row r="617" spans="1:1">
      <c r="A617" s="258"/>
    </row>
    <row r="618" spans="1:1">
      <c r="A618" s="258"/>
    </row>
    <row r="619" spans="1:1">
      <c r="A619" s="258"/>
    </row>
    <row r="620" spans="1:1">
      <c r="A620" s="258"/>
    </row>
    <row r="621" spans="1:1">
      <c r="A621" s="258"/>
    </row>
    <row r="622" spans="1:1">
      <c r="A622" s="258"/>
    </row>
    <row r="623" spans="1:1">
      <c r="A623" s="258"/>
    </row>
    <row r="624" spans="1:1">
      <c r="A624" s="258"/>
    </row>
    <row r="625" spans="1:1">
      <c r="A625" s="258"/>
    </row>
    <row r="626" spans="1:1">
      <c r="A626" s="258"/>
    </row>
    <row r="627" spans="1:1">
      <c r="A627" s="258"/>
    </row>
    <row r="628" spans="1:1">
      <c r="A628" s="258"/>
    </row>
    <row r="629" spans="1:1">
      <c r="A629" s="258"/>
    </row>
    <row r="630" spans="1:1">
      <c r="A630" s="258"/>
    </row>
    <row r="631" spans="1:1">
      <c r="A631" s="258"/>
    </row>
    <row r="632" spans="1:1">
      <c r="A632" s="258"/>
    </row>
    <row r="633" spans="1:1">
      <c r="A633" s="258"/>
    </row>
    <row r="634" spans="1:1">
      <c r="A634" s="258"/>
    </row>
    <row r="635" spans="1:1">
      <c r="A635" s="258"/>
    </row>
    <row r="636" spans="1:1">
      <c r="A636" s="258"/>
    </row>
    <row r="637" spans="1:1">
      <c r="A637" s="258"/>
    </row>
    <row r="638" spans="1:1">
      <c r="A638" s="258"/>
    </row>
    <row r="639" spans="1:1">
      <c r="A639" s="258"/>
    </row>
    <row r="640" spans="1:1">
      <c r="A640" s="258"/>
    </row>
    <row r="641" spans="1:1">
      <c r="A641" s="258"/>
    </row>
    <row r="642" spans="1:1">
      <c r="A642" s="258"/>
    </row>
    <row r="643" spans="1:1">
      <c r="A643" s="258"/>
    </row>
    <row r="644" spans="1:1">
      <c r="A644" s="258"/>
    </row>
    <row r="645" spans="1:1">
      <c r="A645" s="258"/>
    </row>
    <row r="646" spans="1:1">
      <c r="A646" s="258"/>
    </row>
    <row r="647" spans="1:1">
      <c r="A647" s="258"/>
    </row>
    <row r="648" spans="1:1">
      <c r="A648" s="258"/>
    </row>
    <row r="649" spans="1:1">
      <c r="A649" s="258"/>
    </row>
    <row r="650" spans="1:1">
      <c r="A650" s="258"/>
    </row>
    <row r="651" spans="1:1">
      <c r="A651" s="258"/>
    </row>
    <row r="652" spans="1:1">
      <c r="A652" s="258"/>
    </row>
    <row r="653" spans="1:1">
      <c r="A653" s="258"/>
    </row>
    <row r="654" spans="1:1">
      <c r="A654" s="258"/>
    </row>
    <row r="655" spans="1:1">
      <c r="A655" s="258"/>
    </row>
    <row r="656" spans="1:1">
      <c r="A656" s="258"/>
    </row>
    <row r="657" spans="1:1">
      <c r="A657" s="258"/>
    </row>
    <row r="658" spans="1:1">
      <c r="A658" s="258"/>
    </row>
    <row r="659" spans="1:1">
      <c r="A659" s="258"/>
    </row>
    <row r="660" spans="1:1">
      <c r="A660" s="258"/>
    </row>
    <row r="661" spans="1:1">
      <c r="A661" s="258"/>
    </row>
    <row r="662" spans="1:1">
      <c r="A662" s="258"/>
    </row>
    <row r="663" spans="1:1">
      <c r="A663" s="258"/>
    </row>
    <row r="664" spans="1:1">
      <c r="A664" s="258"/>
    </row>
    <row r="665" spans="1:1">
      <c r="A665" s="258"/>
    </row>
    <row r="666" spans="1:1">
      <c r="A666" s="258"/>
    </row>
    <row r="667" spans="1:1">
      <c r="A667" s="258"/>
    </row>
    <row r="668" spans="1:1">
      <c r="A668" s="258"/>
    </row>
    <row r="669" spans="1:1">
      <c r="A669" s="258"/>
    </row>
    <row r="670" spans="1:1">
      <c r="A670" s="258"/>
    </row>
    <row r="671" spans="1:1">
      <c r="A671" s="258"/>
    </row>
    <row r="672" spans="1:1">
      <c r="A672" s="258"/>
    </row>
    <row r="673" spans="1:1">
      <c r="A673" s="258"/>
    </row>
    <row r="674" spans="1:1">
      <c r="A674" s="258"/>
    </row>
    <row r="675" spans="1:1">
      <c r="A675" s="258"/>
    </row>
    <row r="676" spans="1:1">
      <c r="A676" s="258"/>
    </row>
    <row r="677" spans="1:1">
      <c r="A677" s="258"/>
    </row>
    <row r="678" spans="1:1">
      <c r="A678" s="258"/>
    </row>
    <row r="679" spans="1:1">
      <c r="A679" s="258"/>
    </row>
    <row r="680" spans="1:1">
      <c r="A680" s="258"/>
    </row>
    <row r="681" spans="1:1">
      <c r="A681" s="258"/>
    </row>
    <row r="682" spans="1:1">
      <c r="A682" s="258"/>
    </row>
    <row r="683" spans="1:1">
      <c r="A683" s="258"/>
    </row>
    <row r="684" spans="1:1">
      <c r="A684" s="258"/>
    </row>
    <row r="685" spans="1:1">
      <c r="A685" s="258"/>
    </row>
    <row r="686" spans="1:1">
      <c r="A686" s="258"/>
    </row>
    <row r="687" spans="1:1">
      <c r="A687" s="258"/>
    </row>
    <row r="688" spans="1:1">
      <c r="A688" s="258"/>
    </row>
    <row r="689" spans="1:1">
      <c r="A689" s="258"/>
    </row>
    <row r="690" spans="1:1">
      <c r="A690" s="258"/>
    </row>
    <row r="691" spans="1:1">
      <c r="A691" s="258"/>
    </row>
    <row r="692" spans="1:1">
      <c r="A692" s="258"/>
    </row>
    <row r="693" spans="1:1">
      <c r="A693" s="258"/>
    </row>
    <row r="694" spans="1:1">
      <c r="A694" s="258"/>
    </row>
    <row r="695" spans="1:1">
      <c r="A695" s="258"/>
    </row>
    <row r="696" spans="1:1">
      <c r="A696" s="258"/>
    </row>
    <row r="697" spans="1:1">
      <c r="A697" s="258"/>
    </row>
    <row r="698" spans="1:1">
      <c r="A698" s="258"/>
    </row>
    <row r="699" spans="1:1">
      <c r="A699" s="258"/>
    </row>
    <row r="700" spans="1:1">
      <c r="A700" s="258"/>
    </row>
    <row r="701" spans="1:1">
      <c r="A701" s="258"/>
    </row>
    <row r="702" spans="1:1">
      <c r="A702" s="258"/>
    </row>
    <row r="703" spans="1:1">
      <c r="A703" s="258"/>
    </row>
    <row r="704" spans="1:1">
      <c r="A704" s="258"/>
    </row>
    <row r="705" spans="1:1">
      <c r="A705" s="258"/>
    </row>
    <row r="706" spans="1:1">
      <c r="A706" s="258"/>
    </row>
    <row r="707" spans="1:1">
      <c r="A707" s="258"/>
    </row>
    <row r="708" spans="1:1">
      <c r="A708" s="258"/>
    </row>
    <row r="709" spans="1:1">
      <c r="A709" s="258"/>
    </row>
    <row r="710" spans="1:1">
      <c r="A710" s="258"/>
    </row>
    <row r="711" spans="1:1">
      <c r="A711" s="258"/>
    </row>
    <row r="712" spans="1:1">
      <c r="A712" s="258"/>
    </row>
    <row r="713" spans="1:1">
      <c r="A713" s="258"/>
    </row>
    <row r="714" spans="1:1">
      <c r="A714" s="258"/>
    </row>
    <row r="715" spans="1:1">
      <c r="A715" s="258"/>
    </row>
    <row r="716" spans="1:1">
      <c r="A716" s="258"/>
    </row>
    <row r="717" spans="1:1">
      <c r="A717" s="258"/>
    </row>
    <row r="718" spans="1:1">
      <c r="A718" s="258"/>
    </row>
    <row r="719" spans="1:1">
      <c r="A719" s="258"/>
    </row>
    <row r="720" spans="1:1">
      <c r="A720" s="258"/>
    </row>
    <row r="721" spans="1:1">
      <c r="A721" s="258"/>
    </row>
    <row r="722" spans="1:1">
      <c r="A722" s="258"/>
    </row>
    <row r="723" spans="1:1">
      <c r="A723" s="258"/>
    </row>
    <row r="724" spans="1:1">
      <c r="A724" s="258"/>
    </row>
    <row r="725" spans="1:1">
      <c r="A725" s="258"/>
    </row>
    <row r="726" spans="1:1">
      <c r="A726" s="258"/>
    </row>
    <row r="727" spans="1:1">
      <c r="A727" s="258"/>
    </row>
    <row r="728" spans="1:1">
      <c r="A728" s="258"/>
    </row>
    <row r="729" spans="1:1">
      <c r="A729" s="258"/>
    </row>
    <row r="730" spans="1:1">
      <c r="A730" s="258"/>
    </row>
    <row r="731" spans="1:1">
      <c r="A731" s="258"/>
    </row>
    <row r="732" spans="1:1">
      <c r="A732" s="258"/>
    </row>
    <row r="733" spans="1:1">
      <c r="A733" s="258"/>
    </row>
    <row r="734" spans="1:1">
      <c r="A734" s="258"/>
    </row>
    <row r="735" spans="1:1">
      <c r="A735" s="258"/>
    </row>
    <row r="736" spans="1:1">
      <c r="A736" s="258"/>
    </row>
    <row r="737" spans="1:1">
      <c r="A737" s="258"/>
    </row>
    <row r="738" spans="1:1">
      <c r="A738" s="258"/>
    </row>
    <row r="739" spans="1:1">
      <c r="A739" s="258"/>
    </row>
    <row r="740" spans="1:1">
      <c r="A740" s="258"/>
    </row>
    <row r="741" spans="1:1">
      <c r="A741" s="258"/>
    </row>
    <row r="742" spans="1:1">
      <c r="A742" s="258"/>
    </row>
    <row r="743" spans="1:1">
      <c r="A743" s="258"/>
    </row>
    <row r="744" spans="1:1">
      <c r="A744" s="258"/>
    </row>
    <row r="745" spans="1:1">
      <c r="A745" s="258"/>
    </row>
    <row r="746" spans="1:1">
      <c r="A746" s="258"/>
    </row>
    <row r="747" spans="1:1">
      <c r="A747" s="258"/>
    </row>
    <row r="748" spans="1:1">
      <c r="A748" s="258"/>
    </row>
    <row r="749" spans="1:1">
      <c r="A749" s="258"/>
    </row>
    <row r="750" spans="1:1">
      <c r="A750" s="258"/>
    </row>
    <row r="751" spans="1:1">
      <c r="A751" s="258"/>
    </row>
    <row r="752" spans="1:1">
      <c r="A752" s="258"/>
    </row>
    <row r="753" spans="1:1">
      <c r="A753" s="258"/>
    </row>
    <row r="754" spans="1:1">
      <c r="A754" s="258"/>
    </row>
    <row r="755" spans="1:1">
      <c r="A755" s="258"/>
    </row>
    <row r="756" spans="1:1">
      <c r="A756" s="258"/>
    </row>
    <row r="757" spans="1:1">
      <c r="A757" s="258"/>
    </row>
    <row r="758" spans="1:1">
      <c r="A758" s="258"/>
    </row>
    <row r="759" spans="1:1">
      <c r="A759" s="258"/>
    </row>
    <row r="760" spans="1:1">
      <c r="A760" s="258"/>
    </row>
    <row r="761" spans="1:1">
      <c r="A761" s="258"/>
    </row>
    <row r="762" spans="1:1">
      <c r="A762" s="258"/>
    </row>
    <row r="763" spans="1:1">
      <c r="A763" s="258"/>
    </row>
    <row r="764" spans="1:1">
      <c r="A764" s="258"/>
    </row>
    <row r="765" spans="1:1">
      <c r="A765" s="258"/>
    </row>
    <row r="766" spans="1:1">
      <c r="A766" s="258"/>
    </row>
    <row r="767" spans="1:1">
      <c r="A767" s="258"/>
    </row>
    <row r="768" spans="1:1">
      <c r="A768" s="258"/>
    </row>
    <row r="769" spans="1:1">
      <c r="A769" s="258"/>
    </row>
    <row r="770" spans="1:1">
      <c r="A770" s="258"/>
    </row>
    <row r="771" spans="1:1">
      <c r="A771" s="258"/>
    </row>
    <row r="772" spans="1:1">
      <c r="A772" s="258"/>
    </row>
    <row r="773" spans="1:1">
      <c r="A773" s="258"/>
    </row>
    <row r="774" spans="1:1">
      <c r="A774" s="258"/>
    </row>
    <row r="775" spans="1:1">
      <c r="A775" s="258"/>
    </row>
    <row r="776" spans="1:1">
      <c r="A776" s="258"/>
    </row>
    <row r="777" spans="1:1">
      <c r="A777" s="258"/>
    </row>
    <row r="778" spans="1:1">
      <c r="A778" s="258"/>
    </row>
    <row r="779" spans="1:1">
      <c r="A779" s="258"/>
    </row>
    <row r="780" spans="1:1">
      <c r="A780" s="258"/>
    </row>
    <row r="781" spans="1:1">
      <c r="A781" s="258"/>
    </row>
    <row r="782" spans="1:1">
      <c r="A782" s="258"/>
    </row>
    <row r="783" spans="1:1">
      <c r="A783" s="258"/>
    </row>
    <row r="784" spans="1:1">
      <c r="A784" s="258"/>
    </row>
    <row r="785" spans="1:1">
      <c r="A785" s="258"/>
    </row>
    <row r="786" spans="1:1">
      <c r="A786" s="258"/>
    </row>
    <row r="787" spans="1:1">
      <c r="A787" s="258"/>
    </row>
    <row r="788" spans="1:1">
      <c r="A788" s="258"/>
    </row>
    <row r="789" spans="1:1">
      <c r="A789" s="258"/>
    </row>
    <row r="790" spans="1:1">
      <c r="A790" s="258"/>
    </row>
    <row r="791" spans="1:1">
      <c r="A791" s="258"/>
    </row>
    <row r="792" spans="1:1">
      <c r="A792" s="258"/>
    </row>
    <row r="793" spans="1:1">
      <c r="A793" s="258"/>
    </row>
    <row r="794" spans="1:1">
      <c r="A794" s="258"/>
    </row>
    <row r="795" spans="1:1">
      <c r="A795" s="258"/>
    </row>
    <row r="796" spans="1:1">
      <c r="A796" s="258"/>
    </row>
    <row r="797" spans="1:1">
      <c r="A797" s="258"/>
    </row>
    <row r="798" spans="1:1">
      <c r="A798" s="258"/>
    </row>
    <row r="799" spans="1:1">
      <c r="A799" s="258"/>
    </row>
    <row r="800" spans="1:1">
      <c r="A800" s="258"/>
    </row>
    <row r="801" spans="1:1">
      <c r="A801" s="258"/>
    </row>
    <row r="802" spans="1:1">
      <c r="A802" s="258"/>
    </row>
    <row r="803" spans="1:1">
      <c r="A803" s="258"/>
    </row>
    <row r="804" spans="1:1">
      <c r="A804" s="258"/>
    </row>
    <row r="805" spans="1:1">
      <c r="A805" s="258"/>
    </row>
    <row r="806" spans="1:1">
      <c r="A806" s="258"/>
    </row>
    <row r="807" spans="1:1">
      <c r="A807" s="258"/>
    </row>
    <row r="808" spans="1:1">
      <c r="A808" s="258"/>
    </row>
    <row r="809" spans="1:1">
      <c r="A809" s="258"/>
    </row>
    <row r="810" spans="1:1">
      <c r="A810" s="258"/>
    </row>
    <row r="811" spans="1:1">
      <c r="A811" s="258"/>
    </row>
    <row r="812" spans="1:1">
      <c r="A812" s="258"/>
    </row>
    <row r="813" spans="1:1">
      <c r="A813" s="258"/>
    </row>
    <row r="814" spans="1:1">
      <c r="A814" s="258"/>
    </row>
    <row r="815" spans="1:1">
      <c r="A815" s="258"/>
    </row>
    <row r="816" spans="1:1">
      <c r="A816" s="258"/>
    </row>
    <row r="817" spans="1:1">
      <c r="A817" s="258"/>
    </row>
    <row r="818" spans="1:1">
      <c r="A818" s="258"/>
    </row>
    <row r="819" spans="1:1">
      <c r="A819" s="258"/>
    </row>
    <row r="820" spans="1:1">
      <c r="A820" s="258"/>
    </row>
    <row r="821" spans="1:1">
      <c r="A821" s="258"/>
    </row>
    <row r="822" spans="1:1">
      <c r="A822" s="258"/>
    </row>
    <row r="823" spans="1:1">
      <c r="A823" s="258"/>
    </row>
    <row r="824" spans="1:1">
      <c r="A824" s="258"/>
    </row>
    <row r="825" spans="1:1">
      <c r="A825" s="258"/>
    </row>
    <row r="826" spans="1:1">
      <c r="A826" s="258"/>
    </row>
    <row r="827" spans="1:1">
      <c r="A827" s="258"/>
    </row>
    <row r="828" spans="1:1">
      <c r="A828" s="258"/>
    </row>
    <row r="829" spans="1:1">
      <c r="A829" s="258"/>
    </row>
    <row r="830" spans="1:1">
      <c r="A830" s="258"/>
    </row>
    <row r="831" spans="1:1">
      <c r="A831" s="258"/>
    </row>
    <row r="832" spans="1:1">
      <c r="A832" s="258"/>
    </row>
    <row r="833" spans="1:1">
      <c r="A833" s="258"/>
    </row>
    <row r="834" spans="1:1">
      <c r="A834" s="258"/>
    </row>
    <row r="835" spans="1:1">
      <c r="A835" s="258"/>
    </row>
    <row r="836" spans="1:1">
      <c r="A836" s="258"/>
    </row>
    <row r="837" spans="1:1">
      <c r="A837" s="258"/>
    </row>
    <row r="838" spans="1:1">
      <c r="A838" s="258"/>
    </row>
    <row r="839" spans="1:1">
      <c r="A839" s="258"/>
    </row>
    <row r="840" spans="1:1">
      <c r="A840" s="258"/>
    </row>
    <row r="841" spans="1:1">
      <c r="A841" s="258"/>
    </row>
    <row r="842" spans="1:1">
      <c r="A842" s="258"/>
    </row>
    <row r="843" spans="1:1">
      <c r="A843" s="258"/>
    </row>
    <row r="844" spans="1:1">
      <c r="A844" s="258"/>
    </row>
    <row r="845" spans="1:1">
      <c r="A845" s="258"/>
    </row>
    <row r="846" spans="1:1">
      <c r="A846" s="258"/>
    </row>
    <row r="847" spans="1:1">
      <c r="A847" s="258"/>
    </row>
    <row r="848" spans="1:1">
      <c r="A848" s="258"/>
    </row>
    <row r="849" spans="1:1">
      <c r="A849" s="258"/>
    </row>
    <row r="850" spans="1:1">
      <c r="A850" s="258"/>
    </row>
    <row r="851" spans="1:1">
      <c r="A851" s="258"/>
    </row>
    <row r="852" spans="1:1">
      <c r="A852" s="258"/>
    </row>
    <row r="853" spans="1:1">
      <c r="A853" s="258"/>
    </row>
    <row r="854" spans="1:1">
      <c r="A854" s="258"/>
    </row>
    <row r="855" spans="1:1">
      <c r="A855" s="258"/>
    </row>
    <row r="856" spans="1:1">
      <c r="A856" s="258"/>
    </row>
    <row r="857" spans="1:1">
      <c r="A857" s="258"/>
    </row>
    <row r="858" spans="1:1">
      <c r="A858" s="258"/>
    </row>
    <row r="859" spans="1:1">
      <c r="A859" s="258"/>
    </row>
    <row r="860" spans="1:1">
      <c r="A860" s="258"/>
    </row>
    <row r="861" spans="1:1">
      <c r="A861" s="258"/>
    </row>
    <row r="862" spans="1:1">
      <c r="A862" s="258"/>
    </row>
    <row r="863" spans="1:1">
      <c r="A863" s="258"/>
    </row>
    <row r="864" spans="1:1">
      <c r="A864" s="258"/>
    </row>
    <row r="865" spans="1:1">
      <c r="A865" s="258"/>
    </row>
    <row r="866" spans="1:1">
      <c r="A866" s="258"/>
    </row>
    <row r="867" spans="1:1">
      <c r="A867" s="258"/>
    </row>
    <row r="868" spans="1:1">
      <c r="A868" s="258"/>
    </row>
    <row r="869" spans="1:1">
      <c r="A869" s="258"/>
    </row>
    <row r="870" spans="1:1">
      <c r="A870" s="258"/>
    </row>
    <row r="871" spans="1:1">
      <c r="A871" s="258"/>
    </row>
    <row r="872" spans="1:1">
      <c r="A872" s="258"/>
    </row>
    <row r="873" spans="1:1">
      <c r="A873" s="258"/>
    </row>
    <row r="874" spans="1:1">
      <c r="A874" s="258"/>
    </row>
    <row r="875" spans="1:1">
      <c r="A875" s="258"/>
    </row>
    <row r="876" spans="1:1">
      <c r="A876" s="258"/>
    </row>
    <row r="877" spans="1:1">
      <c r="A877" s="258"/>
    </row>
    <row r="878" spans="1:1">
      <c r="A878" s="258"/>
    </row>
    <row r="879" spans="1:1">
      <c r="A879" s="258"/>
    </row>
    <row r="880" spans="1:1">
      <c r="A880" s="258"/>
    </row>
    <row r="881" spans="1:1">
      <c r="A881" s="258"/>
    </row>
    <row r="882" spans="1:1">
      <c r="A882" s="258"/>
    </row>
    <row r="883" spans="1:1">
      <c r="A883" s="258"/>
    </row>
    <row r="884" spans="1:1">
      <c r="A884" s="258"/>
    </row>
    <row r="885" spans="1:1">
      <c r="A885" s="258"/>
    </row>
    <row r="886" spans="1:1">
      <c r="A886" s="258"/>
    </row>
    <row r="887" spans="1:1">
      <c r="A887" s="258"/>
    </row>
    <row r="888" spans="1:1">
      <c r="A888" s="258"/>
    </row>
    <row r="889" spans="1:1">
      <c r="A889" s="258"/>
    </row>
    <row r="890" spans="1:1">
      <c r="A890" s="258"/>
    </row>
    <row r="891" spans="1:1">
      <c r="A891" s="258"/>
    </row>
    <row r="892" spans="1:1">
      <c r="A892" s="258"/>
    </row>
    <row r="893" spans="1:1">
      <c r="A893" s="258"/>
    </row>
    <row r="894" spans="1:1">
      <c r="A894" s="258"/>
    </row>
    <row r="895" spans="1:1">
      <c r="A895" s="258"/>
    </row>
    <row r="896" spans="1:1">
      <c r="A896" s="258"/>
    </row>
    <row r="897" spans="1:1">
      <c r="A897" s="258"/>
    </row>
    <row r="898" spans="1:1">
      <c r="A898" s="258"/>
    </row>
    <row r="899" spans="1:1">
      <c r="A899" s="258"/>
    </row>
    <row r="900" spans="1:1">
      <c r="A900" s="258"/>
    </row>
    <row r="901" spans="1:1">
      <c r="A901" s="258"/>
    </row>
    <row r="902" spans="1:1">
      <c r="A902" s="258"/>
    </row>
    <row r="903" spans="1:1">
      <c r="A903" s="258"/>
    </row>
    <row r="904" spans="1:1">
      <c r="A904" s="258"/>
    </row>
    <row r="905" spans="1:1">
      <c r="A905" s="258"/>
    </row>
    <row r="906" spans="1:1">
      <c r="A906" s="258"/>
    </row>
    <row r="907" spans="1:1">
      <c r="A907" s="258"/>
    </row>
    <row r="908" spans="1:1">
      <c r="A908" s="258"/>
    </row>
    <row r="909" spans="1:1">
      <c r="A909" s="258"/>
    </row>
    <row r="910" spans="1:1">
      <c r="A910" s="258"/>
    </row>
    <row r="911" spans="1:1">
      <c r="A911" s="258"/>
    </row>
    <row r="912" spans="1:1">
      <c r="A912" s="258"/>
    </row>
    <row r="913" spans="1:1">
      <c r="A913" s="258"/>
    </row>
    <row r="914" spans="1:1">
      <c r="A914" s="258"/>
    </row>
    <row r="915" spans="1:1">
      <c r="A915" s="258"/>
    </row>
    <row r="916" spans="1:1">
      <c r="A916" s="258"/>
    </row>
    <row r="917" spans="1:1">
      <c r="A917" s="258"/>
    </row>
    <row r="918" spans="1:1">
      <c r="A918" s="258"/>
    </row>
    <row r="919" spans="1:1">
      <c r="A919" s="258"/>
    </row>
    <row r="920" spans="1:1">
      <c r="A920" s="258"/>
    </row>
    <row r="921" spans="1:1">
      <c r="A921" s="258"/>
    </row>
    <row r="922" spans="1:1">
      <c r="A922" s="258"/>
    </row>
    <row r="923" spans="1:1">
      <c r="A923" s="258"/>
    </row>
    <row r="924" spans="1:1">
      <c r="A924" s="258"/>
    </row>
    <row r="925" spans="1:1">
      <c r="A925" s="258"/>
    </row>
    <row r="926" spans="1:1">
      <c r="A926" s="258"/>
    </row>
    <row r="927" spans="1:1">
      <c r="A927" s="258"/>
    </row>
    <row r="928" spans="1:1">
      <c r="A928" s="258"/>
    </row>
    <row r="929" spans="1:1">
      <c r="A929" s="258"/>
    </row>
    <row r="930" spans="1:1">
      <c r="A930" s="258"/>
    </row>
    <row r="931" spans="1:1">
      <c r="A931" s="258"/>
    </row>
    <row r="932" spans="1:1">
      <c r="A932" s="258"/>
    </row>
    <row r="933" spans="1:1">
      <c r="A933" s="258"/>
    </row>
    <row r="934" spans="1:1">
      <c r="A934" s="258"/>
    </row>
    <row r="935" spans="1:1">
      <c r="A935" s="258"/>
    </row>
    <row r="936" spans="1:1">
      <c r="A936" s="258"/>
    </row>
    <row r="937" spans="1:1">
      <c r="A937" s="258"/>
    </row>
    <row r="938" spans="1:1">
      <c r="A938" s="258"/>
    </row>
    <row r="939" spans="1:1">
      <c r="A939" s="258"/>
    </row>
    <row r="940" spans="1:1">
      <c r="A940" s="258"/>
    </row>
    <row r="941" spans="1:1">
      <c r="A941" s="258"/>
    </row>
    <row r="942" spans="1:1">
      <c r="A942" s="258"/>
    </row>
    <row r="943" spans="1:1">
      <c r="A943" s="258"/>
    </row>
    <row r="944" spans="1:1">
      <c r="A944" s="258"/>
    </row>
    <row r="945" spans="1:1">
      <c r="A945" s="258"/>
    </row>
    <row r="946" spans="1:1">
      <c r="A946" s="258"/>
    </row>
    <row r="947" spans="1:1">
      <c r="A947" s="258"/>
    </row>
    <row r="948" spans="1:1">
      <c r="A948" s="258"/>
    </row>
    <row r="949" spans="1:1">
      <c r="A949" s="258"/>
    </row>
    <row r="950" spans="1:1">
      <c r="A950" s="258"/>
    </row>
    <row r="951" spans="1:1">
      <c r="A951" s="258"/>
    </row>
    <row r="952" spans="1:1">
      <c r="A952" s="258"/>
    </row>
    <row r="953" spans="1:1">
      <c r="A953" s="258"/>
    </row>
    <row r="954" spans="1:1">
      <c r="A954" s="258"/>
    </row>
    <row r="955" spans="1:1">
      <c r="A955" s="258"/>
    </row>
    <row r="956" spans="1:1">
      <c r="A956" s="258"/>
    </row>
    <row r="957" spans="1:1">
      <c r="A957" s="258"/>
    </row>
    <row r="958" spans="1:1">
      <c r="A958" s="258"/>
    </row>
    <row r="959" spans="1:1">
      <c r="A959" s="258"/>
    </row>
    <row r="960" spans="1:1">
      <c r="A960" s="258"/>
    </row>
    <row r="961" spans="1:1">
      <c r="A961" s="258"/>
    </row>
    <row r="962" spans="1:1">
      <c r="A962" s="258"/>
    </row>
    <row r="963" spans="1:1">
      <c r="A963" s="258"/>
    </row>
    <row r="964" spans="1:1">
      <c r="A964" s="258"/>
    </row>
    <row r="965" spans="1:1">
      <c r="A965" s="258"/>
    </row>
    <row r="966" spans="1:1">
      <c r="A966" s="258"/>
    </row>
    <row r="967" spans="1:1">
      <c r="A967" s="258"/>
    </row>
    <row r="968" spans="1:1">
      <c r="A968" s="258"/>
    </row>
    <row r="969" spans="1:1">
      <c r="A969" s="258"/>
    </row>
    <row r="970" spans="1:1">
      <c r="A970" s="258"/>
    </row>
    <row r="971" spans="1:1">
      <c r="A971" s="258"/>
    </row>
    <row r="972" spans="1:1">
      <c r="A972" s="258"/>
    </row>
    <row r="973" spans="1:1">
      <c r="A973" s="258"/>
    </row>
    <row r="974" spans="1:1">
      <c r="A974" s="258"/>
    </row>
    <row r="975" spans="1:1">
      <c r="A975" s="258"/>
    </row>
    <row r="976" spans="1:1">
      <c r="A976" s="258"/>
    </row>
    <row r="977" spans="1:1">
      <c r="A977" s="258"/>
    </row>
    <row r="978" spans="1:1">
      <c r="A978" s="258"/>
    </row>
    <row r="979" spans="1:1">
      <c r="A979" s="258"/>
    </row>
    <row r="980" spans="1:1">
      <c r="A980" s="258"/>
    </row>
    <row r="981" spans="1:1">
      <c r="A981" s="258"/>
    </row>
    <row r="982" spans="1:1">
      <c r="A982" s="258"/>
    </row>
    <row r="983" spans="1:1">
      <c r="A983" s="258"/>
    </row>
    <row r="984" spans="1:1">
      <c r="A984" s="258"/>
    </row>
    <row r="985" spans="1:1">
      <c r="A985" s="258"/>
    </row>
    <row r="986" spans="1:1">
      <c r="A986" s="258"/>
    </row>
    <row r="987" spans="1:1">
      <c r="A987" s="258"/>
    </row>
    <row r="988" spans="1:1">
      <c r="A988" s="258"/>
    </row>
    <row r="989" spans="1:1">
      <c r="A989" s="258"/>
    </row>
    <row r="990" spans="1:1">
      <c r="A990" s="258"/>
    </row>
    <row r="991" spans="1:1">
      <c r="A991" s="258"/>
    </row>
    <row r="992" spans="1:1">
      <c r="A992" s="258"/>
    </row>
    <row r="993" spans="1:1">
      <c r="A993" s="258"/>
    </row>
    <row r="994" spans="1:1">
      <c r="A994" s="258"/>
    </row>
    <row r="995" spans="1:1">
      <c r="A995" s="258"/>
    </row>
    <row r="996" spans="1:1">
      <c r="A996" s="258"/>
    </row>
    <row r="997" spans="1:1">
      <c r="A997" s="258"/>
    </row>
    <row r="998" spans="1:1">
      <c r="A998" s="258"/>
    </row>
    <row r="999" spans="1:1">
      <c r="A999" s="258"/>
    </row>
    <row r="1000" spans="1:1">
      <c r="A1000" s="258"/>
    </row>
    <row r="1001" spans="1:1">
      <c r="A1001" s="258"/>
    </row>
    <row r="1002" spans="1:1">
      <c r="A1002" s="258"/>
    </row>
    <row r="1003" spans="1:1">
      <c r="A1003" s="258"/>
    </row>
    <row r="1004" spans="1:1">
      <c r="A1004" s="258"/>
    </row>
    <row r="1005" spans="1:1">
      <c r="A1005" s="258"/>
    </row>
    <row r="1006" spans="1:1">
      <c r="A1006" s="258"/>
    </row>
    <row r="1007" spans="1:1">
      <c r="A1007" s="258"/>
    </row>
    <row r="1008" spans="1:1">
      <c r="A1008" s="258"/>
    </row>
    <row r="1009" spans="1:1">
      <c r="A1009" s="258"/>
    </row>
    <row r="1010" spans="1:1">
      <c r="A1010" s="258"/>
    </row>
    <row r="1011" spans="1:1">
      <c r="A1011" s="258"/>
    </row>
    <row r="1012" spans="1:1">
      <c r="A1012" s="258"/>
    </row>
    <row r="1013" spans="1:1">
      <c r="A1013" s="258"/>
    </row>
    <row r="1014" spans="1:1">
      <c r="A1014" s="258"/>
    </row>
    <row r="1015" spans="1:1">
      <c r="A1015" s="258"/>
    </row>
    <row r="1016" spans="1:1">
      <c r="A1016" s="258"/>
    </row>
    <row r="1017" spans="1:1">
      <c r="A1017" s="258"/>
    </row>
    <row r="1018" spans="1:1">
      <c r="A1018" s="258"/>
    </row>
    <row r="1019" spans="1:1">
      <c r="A1019" s="258"/>
    </row>
    <row r="1020" spans="1:1">
      <c r="A1020" s="258"/>
    </row>
    <row r="1021" spans="1:1">
      <c r="A1021" s="258"/>
    </row>
    <row r="1022" spans="1:1">
      <c r="A1022" s="258"/>
    </row>
    <row r="1023" spans="1:1">
      <c r="A1023" s="258"/>
    </row>
    <row r="1024" spans="1:1">
      <c r="A1024" s="258"/>
    </row>
    <row r="1025" spans="1:1">
      <c r="A1025" s="258"/>
    </row>
    <row r="1026" spans="1:1">
      <c r="A1026" s="258"/>
    </row>
    <row r="1027" spans="1:1">
      <c r="A1027" s="258"/>
    </row>
    <row r="1028" spans="1:1">
      <c r="A1028" s="258"/>
    </row>
    <row r="1029" spans="1:1">
      <c r="A1029" s="258"/>
    </row>
    <row r="1030" spans="1:1">
      <c r="A1030" s="258"/>
    </row>
    <row r="1031" spans="1:1">
      <c r="A1031" s="258"/>
    </row>
    <row r="1032" spans="1:1">
      <c r="A1032" s="258"/>
    </row>
    <row r="1033" spans="1:1">
      <c r="A1033" s="258"/>
    </row>
    <row r="1034" spans="1:1">
      <c r="A1034" s="258"/>
    </row>
    <row r="1035" spans="1:1">
      <c r="A1035" s="258"/>
    </row>
    <row r="1036" spans="1:1">
      <c r="A1036" s="258"/>
    </row>
    <row r="1037" spans="1:1">
      <c r="A1037" s="258"/>
    </row>
    <row r="1038" spans="1:1">
      <c r="A1038" s="258"/>
    </row>
    <row r="1039" spans="1:1">
      <c r="A1039" s="258"/>
    </row>
    <row r="1040" spans="1:1">
      <c r="A1040" s="258"/>
    </row>
    <row r="1041" spans="1:1">
      <c r="A1041" s="258"/>
    </row>
    <row r="1042" spans="1:1">
      <c r="A1042" s="258"/>
    </row>
    <row r="1043" spans="1:1">
      <c r="A1043" s="258"/>
    </row>
    <row r="1044" spans="1:1">
      <c r="A1044" s="258"/>
    </row>
    <row r="1045" spans="1:1">
      <c r="A1045" s="258"/>
    </row>
    <row r="1046" spans="1:1">
      <c r="A1046" s="258"/>
    </row>
    <row r="1047" spans="1:1">
      <c r="A1047" s="258"/>
    </row>
    <row r="1048" spans="1:1">
      <c r="A1048" s="258"/>
    </row>
    <row r="1049" spans="1:1">
      <c r="A1049" s="258"/>
    </row>
    <row r="1050" spans="1:1">
      <c r="A1050" s="258"/>
    </row>
    <row r="1051" spans="1:1">
      <c r="A1051" s="258"/>
    </row>
    <row r="1052" spans="1:1">
      <c r="A1052" s="258"/>
    </row>
    <row r="1053" spans="1:1">
      <c r="A1053" s="258"/>
    </row>
    <row r="1054" spans="1:1">
      <c r="A1054" s="258"/>
    </row>
    <row r="1055" spans="1:1">
      <c r="A1055" s="258"/>
    </row>
    <row r="1056" spans="1:1">
      <c r="A1056" s="258"/>
    </row>
    <row r="1057" spans="1:1">
      <c r="A1057" s="258"/>
    </row>
    <row r="1058" spans="1:1">
      <c r="A1058" s="258"/>
    </row>
    <row r="1059" spans="1:1">
      <c r="A1059" s="258"/>
    </row>
    <row r="1060" spans="1:1">
      <c r="A1060" s="258"/>
    </row>
    <row r="1061" spans="1:1">
      <c r="A1061" s="258"/>
    </row>
    <row r="1062" spans="1:1">
      <c r="A1062" s="258"/>
    </row>
    <row r="1063" spans="1:1">
      <c r="A1063" s="258"/>
    </row>
    <row r="1064" spans="1:1">
      <c r="A1064" s="258"/>
    </row>
    <row r="1065" spans="1:1">
      <c r="A1065" s="258"/>
    </row>
    <row r="1066" spans="1:1">
      <c r="A1066" s="258"/>
    </row>
    <row r="1067" spans="1:1">
      <c r="A1067" s="258"/>
    </row>
    <row r="1068" spans="1:1">
      <c r="A1068" s="258"/>
    </row>
    <row r="1069" spans="1:1">
      <c r="A1069" s="258"/>
    </row>
    <row r="1070" spans="1:1">
      <c r="A1070" s="258"/>
    </row>
    <row r="1071" spans="1:1">
      <c r="A1071" s="258"/>
    </row>
    <row r="1072" spans="1:1">
      <c r="A1072" s="258"/>
    </row>
    <row r="1073" spans="1:1">
      <c r="A1073" s="258"/>
    </row>
    <row r="1074" spans="1:1">
      <c r="A1074" s="258"/>
    </row>
    <row r="1075" spans="1:1">
      <c r="A1075" s="258"/>
    </row>
    <row r="1076" spans="1:1">
      <c r="A1076" s="258"/>
    </row>
    <row r="1077" spans="1:1">
      <c r="A1077" s="258"/>
    </row>
    <row r="1078" spans="1:1">
      <c r="A1078" s="258"/>
    </row>
    <row r="1079" spans="1:1">
      <c r="A1079" s="258"/>
    </row>
    <row r="1080" spans="1:1">
      <c r="A1080" s="258"/>
    </row>
    <row r="1081" spans="1:1">
      <c r="A1081" s="258"/>
    </row>
    <row r="1082" spans="1:1">
      <c r="A1082" s="258"/>
    </row>
    <row r="1083" spans="1:1">
      <c r="A1083" s="258"/>
    </row>
    <row r="1084" spans="1:1">
      <c r="A1084" s="258"/>
    </row>
    <row r="1085" spans="1:1">
      <c r="A1085" s="258"/>
    </row>
    <row r="1086" spans="1:1">
      <c r="A1086" s="258"/>
    </row>
    <row r="1087" spans="1:1">
      <c r="A1087" s="258"/>
    </row>
    <row r="1088" spans="1:1">
      <c r="A1088" s="258"/>
    </row>
    <row r="1089" spans="1:1">
      <c r="A1089" s="258"/>
    </row>
    <row r="1090" spans="1:1">
      <c r="A1090" s="258"/>
    </row>
    <row r="1091" spans="1:1">
      <c r="A1091" s="258"/>
    </row>
    <row r="1092" spans="1:1">
      <c r="A1092" s="258"/>
    </row>
    <row r="1093" spans="1:1">
      <c r="A1093" s="258"/>
    </row>
    <row r="1094" spans="1:1">
      <c r="A1094" s="258"/>
    </row>
    <row r="1095" spans="1:1">
      <c r="A1095" s="258"/>
    </row>
    <row r="1096" spans="1:1">
      <c r="A1096" s="258"/>
    </row>
    <row r="1097" spans="1:1">
      <c r="A1097" s="258"/>
    </row>
    <row r="1098" spans="1:1">
      <c r="A1098" s="258"/>
    </row>
    <row r="1099" spans="1:1">
      <c r="A1099" s="258"/>
    </row>
    <row r="1100" spans="1:1">
      <c r="A1100" s="258"/>
    </row>
    <row r="1101" spans="1:1">
      <c r="A1101" s="258"/>
    </row>
    <row r="1102" spans="1:1">
      <c r="A1102" s="258"/>
    </row>
    <row r="1103" spans="1:1">
      <c r="A1103" s="258"/>
    </row>
    <row r="1104" spans="1:1">
      <c r="A1104" s="258"/>
    </row>
    <row r="1105" spans="1:1">
      <c r="A1105" s="258"/>
    </row>
    <row r="1106" spans="1:1">
      <c r="A1106" s="258"/>
    </row>
    <row r="1107" spans="1:1">
      <c r="A1107" s="258"/>
    </row>
    <row r="1108" spans="1:1">
      <c r="A1108" s="258"/>
    </row>
    <row r="1109" spans="1:1">
      <c r="A1109" s="258"/>
    </row>
    <row r="1110" spans="1:1">
      <c r="A1110" s="258"/>
    </row>
    <row r="1111" spans="1:1">
      <c r="A1111" s="258"/>
    </row>
    <row r="1112" spans="1:1">
      <c r="A1112" s="258"/>
    </row>
    <row r="1113" spans="1:1">
      <c r="A1113" s="258"/>
    </row>
    <row r="1114" spans="1:1">
      <c r="A1114" s="258"/>
    </row>
    <row r="1115" spans="1:1">
      <c r="A1115" s="258"/>
    </row>
    <row r="1116" spans="1:1">
      <c r="A1116" s="258"/>
    </row>
    <row r="1117" spans="1:1">
      <c r="A1117" s="258"/>
    </row>
    <row r="1118" spans="1:1">
      <c r="A1118" s="258"/>
    </row>
    <row r="1119" spans="1:1">
      <c r="A1119" s="258"/>
    </row>
    <row r="1120" spans="1:1">
      <c r="A1120" s="258"/>
    </row>
    <row r="1121" spans="1:1">
      <c r="A1121" s="258"/>
    </row>
    <row r="1122" spans="1:1">
      <c r="A1122" s="258"/>
    </row>
    <row r="1123" spans="1:1">
      <c r="A1123" s="258"/>
    </row>
    <row r="1124" spans="1:1">
      <c r="A1124" s="258"/>
    </row>
    <row r="1125" spans="1:1">
      <c r="A1125" s="258"/>
    </row>
    <row r="1126" spans="1:1">
      <c r="A1126" s="258"/>
    </row>
    <row r="1127" spans="1:1">
      <c r="A1127" s="258"/>
    </row>
    <row r="1128" spans="1:1">
      <c r="A1128" s="258"/>
    </row>
    <row r="1129" spans="1:1">
      <c r="A1129" s="258"/>
    </row>
    <row r="1130" spans="1:1">
      <c r="A1130" s="258"/>
    </row>
    <row r="1131" spans="1:1">
      <c r="A1131" s="258"/>
    </row>
    <row r="1132" spans="1:1">
      <c r="A1132" s="258"/>
    </row>
    <row r="1133" spans="1:1">
      <c r="A1133" s="258"/>
    </row>
    <row r="1134" spans="1:1">
      <c r="A1134" s="258"/>
    </row>
    <row r="1135" spans="1:1">
      <c r="A1135" s="258"/>
    </row>
    <row r="1136" spans="1:1">
      <c r="A1136" s="258"/>
    </row>
    <row r="1137" spans="1:1">
      <c r="A1137" s="258"/>
    </row>
    <row r="1138" spans="1:1">
      <c r="A1138" s="258"/>
    </row>
    <row r="1139" spans="1:1">
      <c r="A1139" s="258"/>
    </row>
    <row r="1140" spans="1:1">
      <c r="A1140" s="258"/>
    </row>
    <row r="1141" spans="1:1">
      <c r="A1141" s="258"/>
    </row>
    <row r="1142" spans="1:1">
      <c r="A1142" s="258"/>
    </row>
    <row r="1143" spans="1:1">
      <c r="A1143" s="258"/>
    </row>
    <row r="1144" spans="1:1">
      <c r="A1144" s="258"/>
    </row>
    <row r="1145" spans="1:1">
      <c r="A1145" s="258"/>
    </row>
    <row r="1146" spans="1:1">
      <c r="A1146" s="258"/>
    </row>
    <row r="1147" spans="1:1">
      <c r="A1147" s="258"/>
    </row>
    <row r="1148" spans="1:1">
      <c r="A1148" s="258"/>
    </row>
    <row r="1149" spans="1:1">
      <c r="A1149" s="258"/>
    </row>
    <row r="1150" spans="1:1">
      <c r="A1150" s="258"/>
    </row>
    <row r="1151" spans="1:1">
      <c r="A1151" s="258"/>
    </row>
    <row r="1152" spans="1:1">
      <c r="A1152" s="258"/>
    </row>
    <row r="1153" spans="1:1">
      <c r="A1153" s="258"/>
    </row>
    <row r="1154" spans="1:1">
      <c r="A1154" s="258"/>
    </row>
    <row r="1155" spans="1:1">
      <c r="A1155" s="258"/>
    </row>
    <row r="1156" spans="1:1">
      <c r="A1156" s="258"/>
    </row>
    <row r="1157" spans="1:1">
      <c r="A1157" s="258"/>
    </row>
    <row r="1158" spans="1:1">
      <c r="A1158" s="258"/>
    </row>
    <row r="1159" spans="1:1">
      <c r="A1159" s="258"/>
    </row>
    <row r="1160" spans="1:1">
      <c r="A1160" s="258"/>
    </row>
    <row r="1161" spans="1:1">
      <c r="A1161" s="258"/>
    </row>
    <row r="1162" spans="1:1">
      <c r="A1162" s="258"/>
    </row>
    <row r="1163" spans="1:1">
      <c r="A1163" s="258"/>
    </row>
    <row r="1164" spans="1:1">
      <c r="A1164" s="258"/>
    </row>
    <row r="1165" spans="1:1">
      <c r="A1165" s="258"/>
    </row>
    <row r="1166" spans="1:1">
      <c r="A1166" s="258"/>
    </row>
    <row r="1167" spans="1:1">
      <c r="A1167" s="258"/>
    </row>
    <row r="1168" spans="1:1">
      <c r="A1168" s="258"/>
    </row>
    <row r="1169" spans="1:1">
      <c r="A1169" s="258"/>
    </row>
    <row r="1170" spans="1:1">
      <c r="A1170" s="258"/>
    </row>
    <row r="1171" spans="1:1">
      <c r="A1171" s="258"/>
    </row>
    <row r="1172" spans="1:1">
      <c r="A1172" s="258"/>
    </row>
    <row r="1173" spans="1:1">
      <c r="A1173" s="258"/>
    </row>
    <row r="1174" spans="1:1">
      <c r="A1174" s="258"/>
    </row>
    <row r="1175" spans="1:1">
      <c r="A1175" s="258"/>
    </row>
    <row r="1176" spans="1:1">
      <c r="A1176" s="258"/>
    </row>
    <row r="1177" spans="1:1">
      <c r="A1177" s="258"/>
    </row>
    <row r="1178" spans="1:1">
      <c r="A1178" s="258"/>
    </row>
    <row r="1179" spans="1:1">
      <c r="A1179" s="258"/>
    </row>
    <row r="1180" spans="1:1">
      <c r="A1180" s="258"/>
    </row>
    <row r="1181" spans="1:1">
      <c r="A1181" s="258"/>
    </row>
    <row r="1182" spans="1:1">
      <c r="A1182" s="258"/>
    </row>
    <row r="1183" spans="1:1">
      <c r="A1183" s="258"/>
    </row>
    <row r="1184" spans="1:1">
      <c r="A1184" s="258"/>
    </row>
    <row r="1185" spans="1:1">
      <c r="A1185" s="258"/>
    </row>
    <row r="1186" spans="1:1">
      <c r="A1186" s="258"/>
    </row>
    <row r="1187" spans="1:1">
      <c r="A1187" s="258"/>
    </row>
    <row r="1188" spans="1:1">
      <c r="A1188" s="258"/>
    </row>
    <row r="1189" spans="1:1">
      <c r="A1189" s="258"/>
    </row>
    <row r="1190" spans="1:1">
      <c r="A1190" s="258"/>
    </row>
    <row r="1191" spans="1:1">
      <c r="A1191" s="258"/>
    </row>
    <row r="1192" spans="1:1">
      <c r="A1192" s="258"/>
    </row>
    <row r="1193" spans="1:1">
      <c r="A1193" s="258"/>
    </row>
    <row r="1194" spans="1:1">
      <c r="A1194" s="258"/>
    </row>
    <row r="1195" spans="1:1">
      <c r="A1195" s="258"/>
    </row>
    <row r="1196" spans="1:1">
      <c r="A1196" s="258"/>
    </row>
    <row r="1197" spans="1:1">
      <c r="A1197" s="258"/>
    </row>
    <row r="1198" spans="1:1">
      <c r="A1198" s="258"/>
    </row>
    <row r="1199" spans="1:1">
      <c r="A1199" s="258"/>
    </row>
    <row r="1200" spans="1:1">
      <c r="A1200" s="258"/>
    </row>
    <row r="1201" spans="1:1">
      <c r="A1201" s="258"/>
    </row>
    <row r="1202" spans="1:1">
      <c r="A1202" s="258"/>
    </row>
    <row r="1203" spans="1:1">
      <c r="A1203" s="258"/>
    </row>
    <row r="1204" spans="1:1">
      <c r="A1204" s="258"/>
    </row>
    <row r="1205" spans="1:1">
      <c r="A1205" s="258"/>
    </row>
    <row r="1206" spans="1:1">
      <c r="A1206" s="258"/>
    </row>
    <row r="1207" spans="1:1">
      <c r="A1207" s="258"/>
    </row>
    <row r="1208" spans="1:1">
      <c r="A1208" s="258"/>
    </row>
    <row r="1209" spans="1:1">
      <c r="A1209" s="258"/>
    </row>
    <row r="1210" spans="1:1">
      <c r="A1210" s="258"/>
    </row>
    <row r="1211" spans="1:1">
      <c r="A1211" s="258"/>
    </row>
    <row r="1212" spans="1:1">
      <c r="A1212" s="258"/>
    </row>
    <row r="1213" spans="1:1">
      <c r="A1213" s="258"/>
    </row>
    <row r="1214" spans="1:1">
      <c r="A1214" s="258"/>
    </row>
    <row r="1215" spans="1:1">
      <c r="A1215" s="258"/>
    </row>
    <row r="1216" spans="1:1">
      <c r="A1216" s="258"/>
    </row>
    <row r="1217" spans="1:1">
      <c r="A1217" s="258"/>
    </row>
    <row r="1218" spans="1:1">
      <c r="A1218" s="258"/>
    </row>
    <row r="1219" spans="1:1">
      <c r="A1219" s="258"/>
    </row>
    <row r="1220" spans="1:1">
      <c r="A1220" s="258"/>
    </row>
    <row r="1221" spans="1:1">
      <c r="A1221" s="258"/>
    </row>
    <row r="1222" spans="1:1">
      <c r="A1222" s="258"/>
    </row>
    <row r="1223" spans="1:1">
      <c r="A1223" s="258"/>
    </row>
    <row r="1224" spans="1:1">
      <c r="A1224" s="258"/>
    </row>
    <row r="1225" spans="1:1">
      <c r="A1225" s="258"/>
    </row>
    <row r="1226" spans="1:1">
      <c r="A1226" s="258"/>
    </row>
    <row r="1227" spans="1:1">
      <c r="A1227" s="258"/>
    </row>
    <row r="1228" spans="1:1">
      <c r="A1228" s="258"/>
    </row>
    <row r="1229" spans="1:1">
      <c r="A1229" s="258"/>
    </row>
    <row r="1230" spans="1:1">
      <c r="A1230" s="258"/>
    </row>
    <row r="1231" spans="1:1">
      <c r="A1231" s="258"/>
    </row>
    <row r="1232" spans="1:1">
      <c r="A1232" s="258"/>
    </row>
    <row r="1233" spans="1:1">
      <c r="A1233" s="258"/>
    </row>
    <row r="1234" spans="1:1">
      <c r="A1234" s="258"/>
    </row>
    <row r="1235" spans="1:1">
      <c r="A1235" s="258"/>
    </row>
    <row r="1236" spans="1:1">
      <c r="A1236" s="258"/>
    </row>
    <row r="1237" spans="1:1">
      <c r="A1237" s="258"/>
    </row>
    <row r="1238" spans="1:1">
      <c r="A1238" s="258"/>
    </row>
    <row r="1239" spans="1:1">
      <c r="A1239" s="258"/>
    </row>
    <row r="1240" spans="1:1">
      <c r="A1240" s="258"/>
    </row>
    <row r="1241" spans="1:1">
      <c r="A1241" s="258"/>
    </row>
    <row r="1242" spans="1:1">
      <c r="A1242" s="258"/>
    </row>
    <row r="1243" spans="1:1">
      <c r="A1243" s="258"/>
    </row>
    <row r="1244" spans="1:1">
      <c r="A1244" s="258"/>
    </row>
    <row r="1245" spans="1:1">
      <c r="A1245" s="258"/>
    </row>
    <row r="1246" spans="1:1">
      <c r="A1246" s="258"/>
    </row>
    <row r="1247" spans="1:1">
      <c r="A1247" s="258"/>
    </row>
    <row r="1248" spans="1:1">
      <c r="A1248" s="258"/>
    </row>
    <row r="1249" spans="1:1">
      <c r="A1249" s="258"/>
    </row>
    <row r="1250" spans="1:1">
      <c r="A1250" s="258"/>
    </row>
    <row r="1251" spans="1:1">
      <c r="A1251" s="258"/>
    </row>
    <row r="1252" spans="1:1">
      <c r="A1252" s="258"/>
    </row>
    <row r="1253" spans="1:1">
      <c r="A1253" s="258"/>
    </row>
    <row r="1254" spans="1:1">
      <c r="A1254" s="258"/>
    </row>
    <row r="1255" spans="1:1">
      <c r="A1255" s="258"/>
    </row>
    <row r="1256" spans="1:1">
      <c r="A1256" s="258"/>
    </row>
    <row r="1257" spans="1:1">
      <c r="A1257" s="258"/>
    </row>
    <row r="1258" spans="1:1">
      <c r="A1258" s="258"/>
    </row>
    <row r="1259" spans="1:1">
      <c r="A1259" s="258"/>
    </row>
    <row r="1260" spans="1:1">
      <c r="A1260" s="258"/>
    </row>
    <row r="1261" spans="1:1">
      <c r="A1261" s="258"/>
    </row>
    <row r="1262" spans="1:1">
      <c r="A1262" s="258"/>
    </row>
    <row r="1263" spans="1:1">
      <c r="A1263" s="258"/>
    </row>
    <row r="1264" spans="1:1">
      <c r="A1264" s="258"/>
    </row>
    <row r="1265" spans="1:1">
      <c r="A1265" s="258"/>
    </row>
    <row r="1266" spans="1:1">
      <c r="A1266" s="258"/>
    </row>
    <row r="1267" spans="1:1">
      <c r="A1267" s="258"/>
    </row>
    <row r="1268" spans="1:1">
      <c r="A1268" s="258"/>
    </row>
    <row r="1269" spans="1:1">
      <c r="A1269" s="258"/>
    </row>
    <row r="1270" spans="1:1">
      <c r="A1270" s="258"/>
    </row>
    <row r="1271" spans="1:1">
      <c r="A1271" s="258"/>
    </row>
    <row r="1272" spans="1:1">
      <c r="A1272" s="258"/>
    </row>
    <row r="1273" spans="1:1">
      <c r="A1273" s="258"/>
    </row>
    <row r="1274" spans="1:1">
      <c r="A1274" s="258"/>
    </row>
    <row r="1275" spans="1:1">
      <c r="A1275" s="258"/>
    </row>
    <row r="1276" spans="1:1">
      <c r="A1276" s="258"/>
    </row>
    <row r="1277" spans="1:1">
      <c r="A1277" s="258"/>
    </row>
    <row r="1278" spans="1:1">
      <c r="A1278" s="258"/>
    </row>
    <row r="1279" spans="1:1">
      <c r="A1279" s="258"/>
    </row>
    <row r="1280" spans="1:1">
      <c r="A1280" s="258"/>
    </row>
    <row r="1281" spans="1:1">
      <c r="A1281" s="258"/>
    </row>
    <row r="1282" spans="1:1">
      <c r="A1282" s="258"/>
    </row>
    <row r="1283" spans="1:1">
      <c r="A1283" s="258"/>
    </row>
    <row r="1284" spans="1:1">
      <c r="A1284" s="258"/>
    </row>
    <row r="1285" spans="1:1">
      <c r="A1285" s="258"/>
    </row>
    <row r="1286" spans="1:1">
      <c r="A1286" s="258"/>
    </row>
    <row r="1287" spans="1:1">
      <c r="A1287" s="258"/>
    </row>
    <row r="1288" spans="1:1">
      <c r="A1288" s="258"/>
    </row>
    <row r="1289" spans="1:1">
      <c r="A1289" s="258"/>
    </row>
    <row r="1290" spans="1:1">
      <c r="A1290" s="258"/>
    </row>
    <row r="1291" spans="1:1">
      <c r="A1291" s="258"/>
    </row>
    <row r="1292" spans="1:1">
      <c r="A1292" s="258"/>
    </row>
    <row r="1293" spans="1:1">
      <c r="A1293" s="258"/>
    </row>
    <row r="1294" spans="1:1">
      <c r="A1294" s="258"/>
    </row>
    <row r="1295" spans="1:1">
      <c r="A1295" s="258"/>
    </row>
    <row r="1296" spans="1:1">
      <c r="A1296" s="258"/>
    </row>
    <row r="1297" spans="1:1">
      <c r="A1297" s="258"/>
    </row>
    <row r="1298" spans="1:1">
      <c r="A1298" s="258"/>
    </row>
    <row r="1299" spans="1:1">
      <c r="A1299" s="258"/>
    </row>
    <row r="1300" spans="1:1">
      <c r="A1300" s="258"/>
    </row>
    <row r="1301" spans="1:1">
      <c r="A1301" s="258"/>
    </row>
    <row r="1302" spans="1:1">
      <c r="A1302" s="258"/>
    </row>
    <row r="1303" spans="1:1">
      <c r="A1303" s="258"/>
    </row>
    <row r="1304" spans="1:1">
      <c r="A1304" s="258"/>
    </row>
    <row r="1305" spans="1:1">
      <c r="A1305" s="258"/>
    </row>
    <row r="1306" spans="1:1">
      <c r="A1306" s="258"/>
    </row>
    <row r="1307" spans="1:1">
      <c r="A1307" s="258"/>
    </row>
    <row r="1308" spans="1:1">
      <c r="A1308" s="258"/>
    </row>
    <row r="1309" spans="1:1">
      <c r="A1309" s="258"/>
    </row>
    <row r="1310" spans="1:1">
      <c r="A1310" s="258"/>
    </row>
    <row r="1311" spans="1:1">
      <c r="A1311" s="258"/>
    </row>
    <row r="1312" spans="1:1">
      <c r="A1312" s="258"/>
    </row>
    <row r="1313" spans="1:1">
      <c r="A1313" s="258"/>
    </row>
    <row r="1314" spans="1:1">
      <c r="A1314" s="258"/>
    </row>
    <row r="1315" spans="1:1">
      <c r="A1315" s="258"/>
    </row>
    <row r="1316" spans="1:1">
      <c r="A1316" s="258"/>
    </row>
    <row r="1317" spans="1:1">
      <c r="A1317" s="258"/>
    </row>
    <row r="1318" spans="1:1">
      <c r="A1318" s="258"/>
    </row>
    <row r="1319" spans="1:1">
      <c r="A1319" s="258"/>
    </row>
    <row r="1320" spans="1:1">
      <c r="A1320" s="258"/>
    </row>
    <row r="1321" spans="1:1">
      <c r="A1321" s="258"/>
    </row>
    <row r="1322" spans="1:1">
      <c r="A1322" s="258"/>
    </row>
    <row r="1323" spans="1:1">
      <c r="A1323" s="258"/>
    </row>
    <row r="1324" spans="1:1">
      <c r="A1324" s="258"/>
    </row>
    <row r="1325" spans="1:1">
      <c r="A1325" s="258"/>
    </row>
    <row r="1326" spans="1:1">
      <c r="A1326" s="258"/>
    </row>
    <row r="1327" spans="1:1">
      <c r="A1327" s="258"/>
    </row>
    <row r="1328" spans="1:1">
      <c r="A1328" s="258"/>
    </row>
    <row r="1329" spans="1:1">
      <c r="A1329" s="258"/>
    </row>
    <row r="1330" spans="1:1">
      <c r="A1330" s="258"/>
    </row>
    <row r="1331" spans="1:1">
      <c r="A1331" s="258"/>
    </row>
    <row r="1332" spans="1:1">
      <c r="A1332" s="258"/>
    </row>
    <row r="1333" spans="1:1">
      <c r="A1333" s="258"/>
    </row>
    <row r="1334" spans="1:1">
      <c r="A1334" s="258"/>
    </row>
    <row r="1335" spans="1:1">
      <c r="A1335" s="258"/>
    </row>
    <row r="1336" spans="1:1">
      <c r="A1336" s="258"/>
    </row>
    <row r="1337" spans="1:1">
      <c r="A1337" s="258"/>
    </row>
    <row r="1338" spans="1:1">
      <c r="A1338" s="258"/>
    </row>
    <row r="1339" spans="1:1">
      <c r="A1339" s="258"/>
    </row>
    <row r="1340" spans="1:1">
      <c r="A1340" s="258"/>
    </row>
    <row r="1341" spans="1:1">
      <c r="A1341" s="258"/>
    </row>
    <row r="1342" spans="1:1">
      <c r="A1342" s="258"/>
    </row>
    <row r="1343" spans="1:1">
      <c r="A1343" s="258"/>
    </row>
    <row r="1344" spans="1:1">
      <c r="A1344" s="258"/>
    </row>
    <row r="1345" spans="1:1">
      <c r="A1345" s="258"/>
    </row>
    <row r="1346" spans="1:1">
      <c r="A1346" s="258"/>
    </row>
    <row r="1347" spans="1:1">
      <c r="A1347" s="258"/>
    </row>
    <row r="1348" spans="1:1">
      <c r="A1348" s="258"/>
    </row>
    <row r="1349" spans="1:1">
      <c r="A1349" s="258"/>
    </row>
    <row r="1350" spans="1:1">
      <c r="A1350" s="258"/>
    </row>
    <row r="1351" spans="1:1">
      <c r="A1351" s="258"/>
    </row>
    <row r="1352" spans="1:1">
      <c r="A1352" s="258"/>
    </row>
    <row r="1353" spans="1:1">
      <c r="A1353" s="258"/>
    </row>
    <row r="1354" spans="1:1">
      <c r="A1354" s="258"/>
    </row>
    <row r="1355" spans="1:1">
      <c r="A1355" s="258"/>
    </row>
    <row r="1356" spans="1:1">
      <c r="A1356" s="258"/>
    </row>
    <row r="1357" spans="1:1">
      <c r="A1357" s="258"/>
    </row>
    <row r="1358" spans="1:1">
      <c r="A1358" s="258"/>
    </row>
    <row r="1359" spans="1:1">
      <c r="A1359" s="258"/>
    </row>
    <row r="1360" spans="1:1">
      <c r="A1360" s="258"/>
    </row>
    <row r="1361" spans="1:1">
      <c r="A1361" s="258"/>
    </row>
    <row r="1362" spans="1:1">
      <c r="A1362" s="258"/>
    </row>
    <row r="1363" spans="1:1">
      <c r="A1363" s="258"/>
    </row>
    <row r="1364" spans="1:1">
      <c r="A1364" s="258"/>
    </row>
    <row r="1365" spans="1:1">
      <c r="A1365" s="258"/>
    </row>
    <row r="1366" spans="1:1">
      <c r="A1366" s="258"/>
    </row>
    <row r="1367" spans="1:1">
      <c r="A1367" s="258"/>
    </row>
    <row r="1368" spans="1:1">
      <c r="A1368" s="258"/>
    </row>
    <row r="1369" spans="1:1">
      <c r="A1369" s="258"/>
    </row>
    <row r="1370" spans="1:1">
      <c r="A1370" s="258"/>
    </row>
    <row r="1371" spans="1:1">
      <c r="A1371" s="258"/>
    </row>
    <row r="1372" spans="1:1">
      <c r="A1372" s="258"/>
    </row>
    <row r="1373" spans="1:1">
      <c r="A1373" s="258"/>
    </row>
    <row r="1374" spans="1:1">
      <c r="A1374" s="258"/>
    </row>
    <row r="1375" spans="1:1">
      <c r="A1375" s="258"/>
    </row>
    <row r="1376" spans="1:1">
      <c r="A1376" s="258"/>
    </row>
    <row r="1377" spans="1:1">
      <c r="A1377" s="258"/>
    </row>
    <row r="1378" spans="1:1">
      <c r="A1378" s="258"/>
    </row>
    <row r="1379" spans="1:1">
      <c r="A1379" s="258"/>
    </row>
    <row r="1380" spans="1:1">
      <c r="A1380" s="258"/>
    </row>
    <row r="1381" spans="1:1">
      <c r="A1381" s="258"/>
    </row>
    <row r="1382" spans="1:1">
      <c r="A1382" s="258"/>
    </row>
    <row r="1383" spans="1:1">
      <c r="A1383" s="258"/>
    </row>
    <row r="1384" spans="1:1">
      <c r="A1384" s="258"/>
    </row>
    <row r="1385" spans="1:1">
      <c r="A1385" s="258"/>
    </row>
    <row r="1386" spans="1:1">
      <c r="A1386" s="258"/>
    </row>
    <row r="1387" spans="1:1">
      <c r="A1387" s="258"/>
    </row>
    <row r="1388" spans="1:1">
      <c r="A1388" s="258"/>
    </row>
    <row r="1389" spans="1:1">
      <c r="A1389" s="258"/>
    </row>
    <row r="1390" spans="1:1">
      <c r="A1390" s="258"/>
    </row>
    <row r="1391" spans="1:1">
      <c r="A1391" s="258"/>
    </row>
    <row r="1392" spans="1:1">
      <c r="A1392" s="258"/>
    </row>
    <row r="1393" spans="1:1">
      <c r="A1393" s="258"/>
    </row>
    <row r="1394" spans="1:1">
      <c r="A1394" s="258"/>
    </row>
    <row r="1395" spans="1:1">
      <c r="A1395" s="258"/>
    </row>
    <row r="1396" spans="1:1">
      <c r="A1396" s="258"/>
    </row>
    <row r="1397" spans="1:1">
      <c r="A1397" s="258"/>
    </row>
    <row r="1398" spans="1:1">
      <c r="A1398" s="258"/>
    </row>
    <row r="1399" spans="1:1">
      <c r="A1399" s="258"/>
    </row>
    <row r="1400" spans="1:1">
      <c r="A1400" s="258"/>
    </row>
    <row r="1401" spans="1:1">
      <c r="A1401" s="258"/>
    </row>
    <row r="1402" spans="1:1">
      <c r="A1402" s="258"/>
    </row>
    <row r="1403" spans="1:1">
      <c r="A1403" s="258"/>
    </row>
    <row r="1404" spans="1:1">
      <c r="A1404" s="258"/>
    </row>
    <row r="1405" spans="1:1">
      <c r="A1405" s="258"/>
    </row>
    <row r="1406" spans="1:1">
      <c r="A1406" s="258"/>
    </row>
    <row r="1407" spans="1:1">
      <c r="A1407" s="258"/>
    </row>
    <row r="1408" spans="1:1">
      <c r="A1408" s="258"/>
    </row>
    <row r="1409" spans="1:1">
      <c r="A1409" s="258"/>
    </row>
    <row r="1410" spans="1:1">
      <c r="A1410" s="258"/>
    </row>
    <row r="1411" spans="1:1">
      <c r="A1411" s="258"/>
    </row>
    <row r="1412" spans="1:1">
      <c r="A1412" s="258"/>
    </row>
    <row r="1413" spans="1:1">
      <c r="A1413" s="258"/>
    </row>
    <row r="1414" spans="1:1">
      <c r="A1414" s="258"/>
    </row>
    <row r="1415" spans="1:1">
      <c r="A1415" s="258"/>
    </row>
    <row r="1416" spans="1:1">
      <c r="A1416" s="258"/>
    </row>
    <row r="1417" spans="1:1">
      <c r="A1417" s="258"/>
    </row>
    <row r="1418" spans="1:1">
      <c r="A1418" s="258"/>
    </row>
    <row r="1419" spans="1:1">
      <c r="A1419" s="258"/>
    </row>
    <row r="1420" spans="1:1">
      <c r="A1420" s="258"/>
    </row>
    <row r="1421" spans="1:1">
      <c r="A1421" s="258"/>
    </row>
    <row r="1422" spans="1:1">
      <c r="A1422" s="258"/>
    </row>
    <row r="1423" spans="1:1">
      <c r="A1423" s="258"/>
    </row>
    <row r="1424" spans="1:1">
      <c r="A1424" s="258"/>
    </row>
    <row r="1425" spans="1:1">
      <c r="A1425" s="258"/>
    </row>
    <row r="1426" spans="1:1">
      <c r="A1426" s="258"/>
    </row>
    <row r="1427" spans="1:1">
      <c r="A1427" s="258"/>
    </row>
    <row r="1428" spans="1:1">
      <c r="A1428" s="258"/>
    </row>
    <row r="1429" spans="1:1">
      <c r="A1429" s="258"/>
    </row>
    <row r="1430" spans="1:1">
      <c r="A1430" s="258"/>
    </row>
    <row r="1431" spans="1:1">
      <c r="A1431" s="258"/>
    </row>
    <row r="1432" spans="1:1">
      <c r="A1432" s="258"/>
    </row>
    <row r="1433" spans="1:1">
      <c r="A1433" s="258"/>
    </row>
    <row r="1434" spans="1:1">
      <c r="A1434" s="258"/>
    </row>
    <row r="1435" spans="1:1">
      <c r="A1435" s="258"/>
    </row>
    <row r="1436" spans="1:1">
      <c r="A1436" s="258"/>
    </row>
    <row r="1437" spans="1:1">
      <c r="A1437" s="258"/>
    </row>
    <row r="1438" spans="1:1">
      <c r="A1438" s="258"/>
    </row>
    <row r="1439" spans="1:1">
      <c r="A1439" s="258"/>
    </row>
    <row r="1440" spans="1:1">
      <c r="A1440" s="258"/>
    </row>
    <row r="1441" spans="1:1">
      <c r="A1441" s="258"/>
    </row>
    <row r="1442" spans="1:1">
      <c r="A1442" s="258"/>
    </row>
    <row r="1443" spans="1:1">
      <c r="A1443" s="258"/>
    </row>
    <row r="1444" spans="1:1">
      <c r="A1444" s="258"/>
    </row>
    <row r="1445" spans="1:1">
      <c r="A1445" s="258"/>
    </row>
    <row r="1446" spans="1:1">
      <c r="A1446" s="258"/>
    </row>
    <row r="1447" spans="1:1">
      <c r="A1447" s="258"/>
    </row>
    <row r="1448" spans="1:1">
      <c r="A1448" s="258"/>
    </row>
    <row r="1449" spans="1:1">
      <c r="A1449" s="258"/>
    </row>
    <row r="1450" spans="1:1">
      <c r="A1450" s="258"/>
    </row>
    <row r="1451" spans="1:1">
      <c r="A1451" s="258"/>
    </row>
    <row r="1452" spans="1:1">
      <c r="A1452" s="258"/>
    </row>
    <row r="1453" spans="1:1">
      <c r="A1453" s="258"/>
    </row>
    <row r="1454" spans="1:1">
      <c r="A1454" s="258"/>
    </row>
    <row r="1455" spans="1:1">
      <c r="A1455" s="258"/>
    </row>
    <row r="1456" spans="1:1">
      <c r="A1456" s="258"/>
    </row>
    <row r="1457" spans="1:1">
      <c r="A1457" s="258"/>
    </row>
    <row r="1458" spans="1:1">
      <c r="A1458" s="258"/>
    </row>
    <row r="1459" spans="1:1">
      <c r="A1459" s="258"/>
    </row>
    <row r="1460" spans="1:1">
      <c r="A1460" s="258"/>
    </row>
    <row r="1461" spans="1:1">
      <c r="A1461" s="258"/>
    </row>
    <row r="1462" spans="1:1">
      <c r="A1462" s="258"/>
    </row>
    <row r="1463" spans="1:1">
      <c r="A1463" s="258"/>
    </row>
    <row r="1464" spans="1:1">
      <c r="A1464" s="258"/>
    </row>
    <row r="1465" spans="1:1">
      <c r="A1465" s="258"/>
    </row>
    <row r="1466" spans="1:1">
      <c r="A1466" s="258"/>
    </row>
    <row r="1467" spans="1:1">
      <c r="A1467" s="258"/>
    </row>
    <row r="1468" spans="1:1">
      <c r="A1468" s="258"/>
    </row>
    <row r="1469" spans="1:1">
      <c r="A1469" s="258"/>
    </row>
    <row r="1470" spans="1:1">
      <c r="A1470" s="258"/>
    </row>
    <row r="1471" spans="1:1">
      <c r="A1471" s="258"/>
    </row>
    <row r="1472" spans="1:1">
      <c r="A1472" s="258"/>
    </row>
    <row r="1473" spans="1:1">
      <c r="A1473" s="258"/>
    </row>
    <row r="1474" spans="1:1">
      <c r="A1474" s="258"/>
    </row>
    <row r="1475" spans="1:1">
      <c r="A1475" s="258"/>
    </row>
    <row r="1476" spans="1:1">
      <c r="A1476" s="258"/>
    </row>
    <row r="1477" spans="1:1">
      <c r="A1477" s="258"/>
    </row>
    <row r="1478" spans="1:1">
      <c r="A1478" s="258"/>
    </row>
    <row r="1479" spans="1:1">
      <c r="A1479" s="258"/>
    </row>
    <row r="1480" spans="1:1">
      <c r="A1480" s="258"/>
    </row>
    <row r="1481" spans="1:1">
      <c r="A1481" s="258"/>
    </row>
    <row r="1482" spans="1:1">
      <c r="A1482" s="258"/>
    </row>
    <row r="1483" spans="1:1">
      <c r="A1483" s="258"/>
    </row>
    <row r="1484" spans="1:1">
      <c r="A1484" s="258"/>
    </row>
    <row r="1485" spans="1:1">
      <c r="A1485" s="258"/>
    </row>
    <row r="1486" spans="1:1">
      <c r="A1486" s="258"/>
    </row>
    <row r="1487" spans="1:1">
      <c r="A1487" s="258"/>
    </row>
    <row r="1488" spans="1:1">
      <c r="A1488" s="258"/>
    </row>
    <row r="1489" spans="1:1">
      <c r="A1489" s="258"/>
    </row>
    <row r="1490" spans="1:1">
      <c r="A1490" s="258"/>
    </row>
    <row r="1491" spans="1:1">
      <c r="A1491" s="258"/>
    </row>
    <row r="1492" spans="1:1">
      <c r="A1492" s="258"/>
    </row>
    <row r="1493" spans="1:1">
      <c r="A1493" s="258"/>
    </row>
    <row r="1494" spans="1:1">
      <c r="A1494" s="258"/>
    </row>
    <row r="1495" spans="1:1">
      <c r="A1495" s="258"/>
    </row>
    <row r="1496" spans="1:1">
      <c r="A1496" s="258"/>
    </row>
    <row r="1497" spans="1:1">
      <c r="A1497" s="258"/>
    </row>
    <row r="1498" spans="1:1">
      <c r="A1498" s="258"/>
    </row>
    <row r="1499" spans="1:1">
      <c r="A1499" s="258"/>
    </row>
    <row r="1500" spans="1:1">
      <c r="A1500" s="258"/>
    </row>
    <row r="1501" spans="1:1">
      <c r="A1501" s="258"/>
    </row>
    <row r="1502" spans="1:1">
      <c r="A1502" s="258"/>
    </row>
    <row r="1503" spans="1:1">
      <c r="A1503" s="258"/>
    </row>
    <row r="1504" spans="1:1">
      <c r="A1504" s="258"/>
    </row>
    <row r="1505" spans="1:1">
      <c r="A1505" s="258"/>
    </row>
    <row r="1506" spans="1:1">
      <c r="A1506" s="258"/>
    </row>
    <row r="1507" spans="1:1">
      <c r="A1507" s="258"/>
    </row>
    <row r="1508" spans="1:1">
      <c r="A1508" s="258"/>
    </row>
    <row r="1509" spans="1:1">
      <c r="A1509" s="258"/>
    </row>
    <row r="1510" spans="1:1">
      <c r="A1510" s="258"/>
    </row>
    <row r="1511" spans="1:1">
      <c r="A1511" s="258"/>
    </row>
    <row r="1512" spans="1:1">
      <c r="A1512" s="258"/>
    </row>
    <row r="1513" spans="1:1">
      <c r="A1513" s="258"/>
    </row>
    <row r="1514" spans="1:1">
      <c r="A1514" s="258"/>
    </row>
    <row r="1515" spans="1:1">
      <c r="A1515" s="258"/>
    </row>
    <row r="1516" spans="1:1">
      <c r="A1516" s="258"/>
    </row>
    <row r="1517" spans="1:1">
      <c r="A1517" s="258"/>
    </row>
    <row r="1518" spans="1:1">
      <c r="A1518" s="258"/>
    </row>
    <row r="1519" spans="1:1">
      <c r="A1519" s="258"/>
    </row>
    <row r="1520" spans="1:1">
      <c r="A1520" s="258"/>
    </row>
    <row r="1521" spans="1:1">
      <c r="A1521" s="258"/>
    </row>
    <row r="1522" spans="1:1">
      <c r="A1522" s="258"/>
    </row>
    <row r="1523" spans="1:1">
      <c r="A1523" s="258"/>
    </row>
    <row r="1524" spans="1:1">
      <c r="A1524" s="258"/>
    </row>
    <row r="1525" spans="1:1">
      <c r="A1525" s="258"/>
    </row>
    <row r="1526" spans="1:1">
      <c r="A1526" s="258"/>
    </row>
    <row r="1527" spans="1:1">
      <c r="A1527" s="258"/>
    </row>
    <row r="1528" spans="1:1">
      <c r="A1528" s="258"/>
    </row>
    <row r="1529" spans="1:1">
      <c r="A1529" s="258"/>
    </row>
    <row r="1530" spans="1:1">
      <c r="A1530" s="258"/>
    </row>
    <row r="1531" spans="1:1">
      <c r="A1531" s="258"/>
    </row>
    <row r="1532" spans="1:1">
      <c r="A1532" s="258"/>
    </row>
    <row r="1533" spans="1:1">
      <c r="A1533" s="258"/>
    </row>
    <row r="1534" spans="1:1">
      <c r="A1534" s="258"/>
    </row>
    <row r="1535" spans="1:1">
      <c r="A1535" s="258"/>
    </row>
    <row r="1536" spans="1:1">
      <c r="A1536" s="258"/>
    </row>
    <row r="1537" spans="1:1">
      <c r="A1537" s="258"/>
    </row>
    <row r="1538" spans="1:1">
      <c r="A1538" s="258"/>
    </row>
    <row r="1539" spans="1:1">
      <c r="A1539" s="258"/>
    </row>
    <row r="1540" spans="1:1">
      <c r="A1540" s="258"/>
    </row>
    <row r="1541" spans="1:1">
      <c r="A1541" s="258"/>
    </row>
    <row r="1542" spans="1:1">
      <c r="A1542" s="258"/>
    </row>
    <row r="1543" spans="1:1">
      <c r="A1543" s="258"/>
    </row>
    <row r="1544" spans="1:1">
      <c r="A1544" s="258"/>
    </row>
    <row r="1545" spans="1:1">
      <c r="A1545" s="258"/>
    </row>
    <row r="1546" spans="1:1">
      <c r="A1546" s="258"/>
    </row>
    <row r="1547" spans="1:1">
      <c r="A1547" s="258"/>
    </row>
    <row r="1548" spans="1:1">
      <c r="A1548" s="258"/>
    </row>
    <row r="1549" spans="1:1">
      <c r="A1549" s="258"/>
    </row>
    <row r="1550" spans="1:1">
      <c r="A1550" s="258"/>
    </row>
    <row r="1551" spans="1:1">
      <c r="A1551" s="258"/>
    </row>
    <row r="1552" spans="1:1">
      <c r="A1552" s="258"/>
    </row>
    <row r="1553" spans="1:1">
      <c r="A1553" s="258"/>
    </row>
    <row r="1554" spans="1:1">
      <c r="A1554" s="258"/>
    </row>
    <row r="1555" spans="1:1">
      <c r="A1555" s="258"/>
    </row>
    <row r="1556" spans="1:1">
      <c r="A1556" s="258"/>
    </row>
    <row r="1557" spans="1:1">
      <c r="A1557" s="258"/>
    </row>
    <row r="1558" spans="1:1">
      <c r="A1558" s="258"/>
    </row>
    <row r="1559" spans="1:1">
      <c r="A1559" s="258"/>
    </row>
    <row r="1560" spans="1:1">
      <c r="A1560" s="258"/>
    </row>
    <row r="1561" spans="1:1">
      <c r="A1561" s="258"/>
    </row>
    <row r="1562" spans="1:1">
      <c r="A1562" s="258"/>
    </row>
    <row r="1563" spans="1:1">
      <c r="A1563" s="258"/>
    </row>
    <row r="1564" spans="1:1">
      <c r="A1564" s="258"/>
    </row>
    <row r="1565" spans="1:1">
      <c r="A1565" s="258"/>
    </row>
    <row r="1566" spans="1:1">
      <c r="A1566" s="258"/>
    </row>
    <row r="1567" spans="1:1">
      <c r="A1567" s="258"/>
    </row>
    <row r="1568" spans="1:1">
      <c r="A1568" s="258"/>
    </row>
    <row r="1569" spans="1:1">
      <c r="A1569" s="258"/>
    </row>
    <row r="1570" spans="1:1">
      <c r="A1570" s="258"/>
    </row>
    <row r="1571" spans="1:1">
      <c r="A1571" s="258"/>
    </row>
    <row r="1572" spans="1:1">
      <c r="A1572" s="258"/>
    </row>
    <row r="1573" spans="1:1">
      <c r="A1573" s="258"/>
    </row>
    <row r="1574" spans="1:1">
      <c r="A1574" s="258"/>
    </row>
    <row r="1575" spans="1:1">
      <c r="A1575" s="258"/>
    </row>
    <row r="1576" spans="1:1">
      <c r="A1576" s="258"/>
    </row>
    <row r="1577" spans="1:1">
      <c r="A1577" s="258"/>
    </row>
    <row r="1578" spans="1:1">
      <c r="A1578" s="258"/>
    </row>
    <row r="1579" spans="1:1">
      <c r="A1579" s="258"/>
    </row>
    <row r="1580" spans="1:1">
      <c r="A1580" s="258"/>
    </row>
    <row r="1581" spans="1:1">
      <c r="A1581" s="258"/>
    </row>
    <row r="1582" spans="1:1">
      <c r="A1582" s="258"/>
    </row>
    <row r="1583" spans="1:1">
      <c r="A1583" s="258"/>
    </row>
    <row r="1584" spans="1:1">
      <c r="A1584" s="258"/>
    </row>
    <row r="1585" spans="1:1">
      <c r="A1585" s="258"/>
    </row>
    <row r="1586" spans="1:1">
      <c r="A1586" s="258"/>
    </row>
    <row r="1587" spans="1:1">
      <c r="A1587" s="258"/>
    </row>
    <row r="1588" spans="1:1">
      <c r="A1588" s="258"/>
    </row>
    <row r="1589" spans="1:1">
      <c r="A1589" s="258"/>
    </row>
    <row r="1590" spans="1:1">
      <c r="A1590" s="258"/>
    </row>
    <row r="1591" spans="1:1">
      <c r="A1591" s="258"/>
    </row>
    <row r="1592" spans="1:1">
      <c r="A1592" s="258"/>
    </row>
    <row r="1593" spans="1:1">
      <c r="A1593" s="258"/>
    </row>
    <row r="1594" spans="1:1">
      <c r="A1594" s="258"/>
    </row>
    <row r="1595" spans="1:1">
      <c r="A1595" s="258"/>
    </row>
    <row r="1596" spans="1:1">
      <c r="A1596" s="258"/>
    </row>
    <row r="1597" spans="1:1">
      <c r="A1597" s="258"/>
    </row>
    <row r="1598" spans="1:1">
      <c r="A1598" s="258"/>
    </row>
    <row r="1599" spans="1:1">
      <c r="A1599" s="258"/>
    </row>
    <row r="1600" spans="1:1">
      <c r="A1600" s="258"/>
    </row>
    <row r="1601" spans="1:1">
      <c r="A1601" s="258"/>
    </row>
    <row r="1602" spans="1:1">
      <c r="A1602" s="258"/>
    </row>
    <row r="1603" spans="1:1">
      <c r="A1603" s="258"/>
    </row>
    <row r="1604" spans="1:1">
      <c r="A1604" s="258"/>
    </row>
    <row r="1605" spans="1:1">
      <c r="A1605" s="258"/>
    </row>
    <row r="1606" spans="1:1">
      <c r="A1606" s="258"/>
    </row>
    <row r="1607" spans="1:1">
      <c r="A1607" s="258"/>
    </row>
    <row r="1608" spans="1:1">
      <c r="A1608" s="258"/>
    </row>
    <row r="1609" spans="1:1">
      <c r="A1609" s="258"/>
    </row>
    <row r="1610" spans="1:1">
      <c r="A1610" s="258"/>
    </row>
    <row r="1611" spans="1:1">
      <c r="A1611" s="258"/>
    </row>
    <row r="1612" spans="1:1">
      <c r="A1612" s="258"/>
    </row>
    <row r="1613" spans="1:1">
      <c r="A1613" s="258"/>
    </row>
    <row r="1614" spans="1:1">
      <c r="A1614" s="258"/>
    </row>
    <row r="1615" spans="1:1">
      <c r="A1615" s="258"/>
    </row>
    <row r="1616" spans="1:1">
      <c r="A1616" s="258"/>
    </row>
    <row r="1617" spans="1:1">
      <c r="A1617" s="258"/>
    </row>
    <row r="1618" spans="1:1">
      <c r="A1618" s="258"/>
    </row>
    <row r="1619" spans="1:1">
      <c r="A1619" s="258"/>
    </row>
    <row r="1620" spans="1:1">
      <c r="A1620" s="258"/>
    </row>
    <row r="1621" spans="1:1">
      <c r="A1621" s="258"/>
    </row>
    <row r="1622" spans="1:1">
      <c r="A1622" s="258"/>
    </row>
    <row r="1623" spans="1:1">
      <c r="A1623" s="258"/>
    </row>
    <row r="1624" spans="1:1">
      <c r="A1624" s="258"/>
    </row>
    <row r="1625" spans="1:1">
      <c r="A1625" s="258"/>
    </row>
    <row r="1626" spans="1:1">
      <c r="A1626" s="258"/>
    </row>
    <row r="1627" spans="1:1">
      <c r="A1627" s="258"/>
    </row>
    <row r="1628" spans="1:1">
      <c r="A1628" s="258"/>
    </row>
    <row r="1629" spans="1:1">
      <c r="A1629" s="258"/>
    </row>
    <row r="1630" spans="1:1">
      <c r="A1630" s="258"/>
    </row>
    <row r="1631" spans="1:1">
      <c r="A1631" s="258"/>
    </row>
    <row r="1632" spans="1:1">
      <c r="A1632" s="258"/>
    </row>
    <row r="1633" spans="1:1">
      <c r="A1633" s="258"/>
    </row>
    <row r="1634" spans="1:1">
      <c r="A1634" s="258"/>
    </row>
    <row r="1635" spans="1:1">
      <c r="A1635" s="258"/>
    </row>
    <row r="1636" spans="1:1">
      <c r="A1636" s="258"/>
    </row>
    <row r="1637" spans="1:1">
      <c r="A1637" s="258"/>
    </row>
    <row r="1638" spans="1:1">
      <c r="A1638" s="258"/>
    </row>
    <row r="1639" spans="1:1">
      <c r="A1639" s="258"/>
    </row>
    <row r="1640" spans="1:1">
      <c r="A1640" s="258"/>
    </row>
    <row r="1641" spans="1:1">
      <c r="A1641" s="258"/>
    </row>
    <row r="1642" spans="1:1">
      <c r="A1642" s="258"/>
    </row>
    <row r="1643" spans="1:1">
      <c r="A1643" s="258"/>
    </row>
    <row r="1644" spans="1:1">
      <c r="A1644" s="258"/>
    </row>
    <row r="1645" spans="1:1">
      <c r="A1645" s="258"/>
    </row>
    <row r="1646" spans="1:1">
      <c r="A1646" s="258"/>
    </row>
    <row r="1647" spans="1:1">
      <c r="A1647" s="258"/>
    </row>
    <row r="1648" spans="1:1">
      <c r="A1648" s="258"/>
    </row>
    <row r="1649" spans="1:1">
      <c r="A1649" s="258"/>
    </row>
    <row r="1650" spans="1:1">
      <c r="A1650" s="258"/>
    </row>
    <row r="1651" spans="1:1">
      <c r="A1651" s="258"/>
    </row>
    <row r="1652" spans="1:1">
      <c r="A1652" s="258"/>
    </row>
    <row r="1653" spans="1:1">
      <c r="A1653" s="258"/>
    </row>
    <row r="1654" spans="1:1">
      <c r="A1654" s="258"/>
    </row>
    <row r="1655" spans="1:1">
      <c r="A1655" s="258"/>
    </row>
    <row r="1656" spans="1:1">
      <c r="A1656" s="258"/>
    </row>
    <row r="1657" spans="1:1">
      <c r="A1657" s="258"/>
    </row>
    <row r="1658" spans="1:1">
      <c r="A1658" s="258"/>
    </row>
    <row r="1659" spans="1:1">
      <c r="A1659" s="258"/>
    </row>
    <row r="1660" spans="1:1">
      <c r="A1660" s="258"/>
    </row>
    <row r="1661" spans="1:1">
      <c r="A1661" s="258"/>
    </row>
    <row r="1662" spans="1:1">
      <c r="A1662" s="258"/>
    </row>
    <row r="1663" spans="1:1">
      <c r="A1663" s="258"/>
    </row>
    <row r="1664" spans="1:1">
      <c r="A1664" s="258"/>
    </row>
    <row r="1665" spans="1:1">
      <c r="A1665" s="258"/>
    </row>
    <row r="1666" spans="1:1">
      <c r="A1666" s="258"/>
    </row>
    <row r="1667" spans="1:1">
      <c r="A1667" s="258"/>
    </row>
    <row r="1668" spans="1:1">
      <c r="A1668" s="258"/>
    </row>
    <row r="1669" spans="1:1">
      <c r="A1669" s="258"/>
    </row>
    <row r="1670" spans="1:1">
      <c r="A1670" s="258"/>
    </row>
    <row r="1671" spans="1:1">
      <c r="A1671" s="258"/>
    </row>
    <row r="1672" spans="1:1">
      <c r="A1672" s="258"/>
    </row>
    <row r="1673" spans="1:1">
      <c r="A1673" s="258"/>
    </row>
    <row r="1674" spans="1:1">
      <c r="A1674" s="258"/>
    </row>
    <row r="1675" spans="1:1">
      <c r="A1675" s="258"/>
    </row>
    <row r="1676" spans="1:1">
      <c r="A1676" s="258"/>
    </row>
    <row r="1677" spans="1:1">
      <c r="A1677" s="258"/>
    </row>
    <row r="1678" spans="1:1">
      <c r="A1678" s="258"/>
    </row>
    <row r="1679" spans="1:1">
      <c r="A1679" s="258"/>
    </row>
    <row r="1680" spans="1:1">
      <c r="A1680" s="258"/>
    </row>
    <row r="1681" spans="1:1">
      <c r="A1681" s="258"/>
    </row>
    <row r="1682" spans="1:1">
      <c r="A1682" s="258"/>
    </row>
    <row r="1683" spans="1:1">
      <c r="A1683" s="258"/>
    </row>
    <row r="1684" spans="1:1">
      <c r="A1684" s="258"/>
    </row>
    <row r="1685" spans="1:1">
      <c r="A1685" s="258"/>
    </row>
    <row r="1686" spans="1:1">
      <c r="A1686" s="258"/>
    </row>
    <row r="1687" spans="1:1">
      <c r="A1687" s="258"/>
    </row>
    <row r="1688" spans="1:1">
      <c r="A1688" s="258"/>
    </row>
    <row r="1689" spans="1:1">
      <c r="A1689" s="258"/>
    </row>
    <row r="1690" spans="1:1">
      <c r="A1690" s="258"/>
    </row>
    <row r="1691" spans="1:1">
      <c r="A1691" s="258"/>
    </row>
    <row r="1692" spans="1:1">
      <c r="A1692" s="258"/>
    </row>
    <row r="1693" spans="1:1">
      <c r="A1693" s="258"/>
    </row>
    <row r="1694" spans="1:1">
      <c r="A1694" s="258"/>
    </row>
    <row r="1695" spans="1:1">
      <c r="A1695" s="258"/>
    </row>
    <row r="1696" spans="1:1">
      <c r="A1696" s="258"/>
    </row>
    <row r="1697" spans="1:1">
      <c r="A1697" s="258"/>
    </row>
    <row r="1698" spans="1:1">
      <c r="A1698" s="258"/>
    </row>
    <row r="1699" spans="1:1">
      <c r="A1699" s="258"/>
    </row>
    <row r="1700" spans="1:1">
      <c r="A1700" s="258"/>
    </row>
    <row r="1701" spans="1:1">
      <c r="A1701" s="258"/>
    </row>
    <row r="1702" spans="1:1">
      <c r="A1702" s="258"/>
    </row>
    <row r="1703" spans="1:1">
      <c r="A1703" s="258"/>
    </row>
    <row r="1704" spans="1:1">
      <c r="A1704" s="258"/>
    </row>
    <row r="1705" spans="1:1">
      <c r="A1705" s="258"/>
    </row>
    <row r="1706" spans="1:1">
      <c r="A1706" s="258"/>
    </row>
    <row r="1707" spans="1:1">
      <c r="A1707" s="258"/>
    </row>
    <row r="1708" spans="1:1">
      <c r="A1708" s="258"/>
    </row>
    <row r="1709" spans="1:1">
      <c r="A1709" s="258"/>
    </row>
    <row r="1710" spans="1:1">
      <c r="A1710" s="258"/>
    </row>
    <row r="1711" spans="1:1">
      <c r="A1711" s="258"/>
    </row>
    <row r="1712" spans="1:1">
      <c r="A1712" s="258"/>
    </row>
    <row r="1713" spans="1:1">
      <c r="A1713" s="258"/>
    </row>
    <row r="1714" spans="1:1">
      <c r="A1714" s="258"/>
    </row>
    <row r="1715" spans="1:1">
      <c r="A1715" s="258"/>
    </row>
    <row r="1716" spans="1:1">
      <c r="A1716" s="258"/>
    </row>
    <row r="1717" spans="1:1">
      <c r="A1717" s="258"/>
    </row>
    <row r="1718" spans="1:1">
      <c r="A1718" s="258"/>
    </row>
    <row r="1719" spans="1:1">
      <c r="A1719" s="258"/>
    </row>
    <row r="1720" spans="1:1">
      <c r="A1720" s="258"/>
    </row>
    <row r="1721" spans="1:1">
      <c r="A1721" s="258"/>
    </row>
    <row r="1722" spans="1:1">
      <c r="A1722" s="258"/>
    </row>
    <row r="1723" spans="1:1">
      <c r="A1723" s="258"/>
    </row>
    <row r="1724" spans="1:1">
      <c r="A1724" s="258"/>
    </row>
    <row r="1725" spans="1:1">
      <c r="A1725" s="258"/>
    </row>
    <row r="1726" spans="1:1">
      <c r="A1726" s="258"/>
    </row>
    <row r="1727" spans="1:1">
      <c r="A1727" s="258"/>
    </row>
    <row r="1728" spans="1:1">
      <c r="A1728" s="258"/>
    </row>
    <row r="1729" spans="1:1">
      <c r="A1729" s="258"/>
    </row>
    <row r="1730" spans="1:1">
      <c r="A1730" s="258"/>
    </row>
    <row r="1731" spans="1:1">
      <c r="A1731" s="258"/>
    </row>
    <row r="1732" spans="1:1">
      <c r="A1732" s="258"/>
    </row>
    <row r="1733" spans="1:1">
      <c r="A1733" s="258"/>
    </row>
    <row r="1734" spans="1:1">
      <c r="A1734" s="258"/>
    </row>
    <row r="1735" spans="1:1">
      <c r="A1735" s="258"/>
    </row>
    <row r="1736" spans="1:1">
      <c r="A1736" s="258"/>
    </row>
    <row r="1737" spans="1:1">
      <c r="A1737" s="258"/>
    </row>
    <row r="1738" spans="1:1">
      <c r="A1738" s="258"/>
    </row>
    <row r="1739" spans="1:1">
      <c r="A1739" s="258"/>
    </row>
    <row r="1740" spans="1:1">
      <c r="A1740" s="258"/>
    </row>
    <row r="1741" spans="1:1">
      <c r="A1741" s="258"/>
    </row>
    <row r="1742" spans="1:1">
      <c r="A1742" s="258"/>
    </row>
    <row r="1743" spans="1:1">
      <c r="A1743" s="258"/>
    </row>
    <row r="1744" spans="1:1">
      <c r="A1744" s="258"/>
    </row>
    <row r="1745" spans="1:1">
      <c r="A1745" s="258"/>
    </row>
    <row r="1746" spans="1:1">
      <c r="A1746" s="258"/>
    </row>
    <row r="1747" spans="1:1">
      <c r="A1747" s="258"/>
    </row>
    <row r="1748" spans="1:1">
      <c r="A1748" s="258"/>
    </row>
    <row r="1749" spans="1:1">
      <c r="A1749" s="258"/>
    </row>
    <row r="1750" spans="1:1">
      <c r="A1750" s="258"/>
    </row>
    <row r="1751" spans="1:1">
      <c r="A1751" s="258"/>
    </row>
    <row r="1752" spans="1:1">
      <c r="A1752" s="258"/>
    </row>
    <row r="1753" spans="1:1">
      <c r="A1753" s="258"/>
    </row>
    <row r="1754" spans="1:1">
      <c r="A1754" s="258"/>
    </row>
    <row r="1755" spans="1:1">
      <c r="A1755" s="258"/>
    </row>
    <row r="1756" spans="1:1">
      <c r="A1756" s="258"/>
    </row>
    <row r="1757" spans="1:1">
      <c r="A1757" s="258"/>
    </row>
    <row r="1758" spans="1:1">
      <c r="A1758" s="258"/>
    </row>
    <row r="1759" spans="1:1">
      <c r="A1759" s="258"/>
    </row>
    <row r="1760" spans="1:1">
      <c r="A1760" s="258"/>
    </row>
    <row r="1761" spans="1:1">
      <c r="A1761" s="258"/>
    </row>
    <row r="1762" spans="1:1">
      <c r="A1762" s="258"/>
    </row>
    <row r="1763" spans="1:1">
      <c r="A1763" s="258"/>
    </row>
    <row r="1764" spans="1:1">
      <c r="A1764" s="258"/>
    </row>
    <row r="1765" spans="1:1">
      <c r="A1765" s="258"/>
    </row>
    <row r="1766" spans="1:1">
      <c r="A1766" s="258"/>
    </row>
    <row r="1767" spans="1:1">
      <c r="A1767" s="258"/>
    </row>
    <row r="1768" spans="1:1">
      <c r="A1768" s="258"/>
    </row>
    <row r="1769" spans="1:1">
      <c r="A1769" s="258"/>
    </row>
    <row r="1770" spans="1:1">
      <c r="A1770" s="258"/>
    </row>
    <row r="1771" spans="1:1">
      <c r="A1771" s="258"/>
    </row>
    <row r="1772" spans="1:1">
      <c r="A1772" s="258"/>
    </row>
    <row r="1773" spans="1:1">
      <c r="A1773" s="258"/>
    </row>
    <row r="1774" spans="1:1">
      <c r="A1774" s="258"/>
    </row>
    <row r="1775" spans="1:1">
      <c r="A1775" s="258"/>
    </row>
    <row r="1776" spans="1:1">
      <c r="A1776" s="258"/>
    </row>
    <row r="1777" spans="1:1">
      <c r="A1777" s="258"/>
    </row>
    <row r="1778" spans="1:1">
      <c r="A1778" s="258"/>
    </row>
    <row r="1779" spans="1:1">
      <c r="A1779" s="258"/>
    </row>
    <row r="1780" spans="1:1">
      <c r="A1780" s="258"/>
    </row>
    <row r="1781" spans="1:1">
      <c r="A1781" s="258"/>
    </row>
    <row r="1782" spans="1:1">
      <c r="A1782" s="258"/>
    </row>
    <row r="1783" spans="1:1">
      <c r="A1783" s="258"/>
    </row>
    <row r="1784" spans="1:1">
      <c r="A1784" s="258"/>
    </row>
    <row r="1785" spans="1:1">
      <c r="A1785" s="258"/>
    </row>
    <row r="1786" spans="1:1">
      <c r="A1786" s="258"/>
    </row>
    <row r="1787" spans="1:1">
      <c r="A1787" s="258"/>
    </row>
    <row r="1788" spans="1:1">
      <c r="A1788" s="258"/>
    </row>
    <row r="1789" spans="1:1">
      <c r="A1789" s="258"/>
    </row>
    <row r="1790" spans="1:1">
      <c r="A1790" s="258"/>
    </row>
    <row r="1791" spans="1:1">
      <c r="A1791" s="258"/>
    </row>
    <row r="1792" spans="1:1">
      <c r="A1792" s="258"/>
    </row>
    <row r="1793" spans="1:1">
      <c r="A1793" s="258"/>
    </row>
    <row r="1794" spans="1:1">
      <c r="A1794" s="258"/>
    </row>
    <row r="1795" spans="1:1">
      <c r="A1795" s="258"/>
    </row>
    <row r="1796" spans="1:1">
      <c r="A1796" s="258"/>
    </row>
    <row r="1797" spans="1:1">
      <c r="A1797" s="258"/>
    </row>
    <row r="1798" spans="1:1">
      <c r="A1798" s="258"/>
    </row>
    <row r="1799" spans="1:1">
      <c r="A1799" s="258"/>
    </row>
    <row r="1800" spans="1:1">
      <c r="A1800" s="258"/>
    </row>
    <row r="1801" spans="1:1">
      <c r="A1801" s="258"/>
    </row>
    <row r="1802" spans="1:1">
      <c r="A1802" s="258"/>
    </row>
    <row r="1803" spans="1:1">
      <c r="A1803" s="258"/>
    </row>
    <row r="1804" spans="1:1">
      <c r="A1804" s="258"/>
    </row>
    <row r="1805" spans="1:1">
      <c r="A1805" s="258"/>
    </row>
    <row r="1806" spans="1:1">
      <c r="A1806" s="258"/>
    </row>
    <row r="1807" spans="1:1">
      <c r="A1807" s="258"/>
    </row>
    <row r="1808" spans="1:1">
      <c r="A1808" s="258"/>
    </row>
    <row r="1809" spans="1:1">
      <c r="A1809" s="258"/>
    </row>
    <row r="1810" spans="1:1">
      <c r="A1810" s="258"/>
    </row>
    <row r="1811" spans="1:1">
      <c r="A1811" s="258"/>
    </row>
    <row r="1812" spans="1:1">
      <c r="A1812" s="258"/>
    </row>
    <row r="1813" spans="1:1">
      <c r="A1813" s="258"/>
    </row>
    <row r="1814" spans="1:1">
      <c r="A1814" s="258"/>
    </row>
    <row r="1815" spans="1:1">
      <c r="A1815" s="258"/>
    </row>
    <row r="1816" spans="1:1">
      <c r="A1816" s="258"/>
    </row>
    <row r="1817" spans="1:1">
      <c r="A1817" s="258"/>
    </row>
    <row r="1818" spans="1:1">
      <c r="A1818" s="258"/>
    </row>
    <row r="1819" spans="1:1">
      <c r="A1819" s="258"/>
    </row>
    <row r="1820" spans="1:1">
      <c r="A1820" s="258"/>
    </row>
    <row r="1821" spans="1:1">
      <c r="A1821" s="258"/>
    </row>
    <row r="1822" spans="1:1">
      <c r="A1822" s="258"/>
    </row>
    <row r="1823" spans="1:1">
      <c r="A1823" s="258"/>
    </row>
    <row r="1824" spans="1:1">
      <c r="A1824" s="258"/>
    </row>
    <row r="1825" spans="1:1">
      <c r="A1825" s="258"/>
    </row>
    <row r="1826" spans="1:1">
      <c r="A1826" s="258"/>
    </row>
    <row r="1827" spans="1:1">
      <c r="A1827" s="258"/>
    </row>
    <row r="1828" spans="1:1">
      <c r="A1828" s="258"/>
    </row>
    <row r="1829" spans="1:1">
      <c r="A1829" s="258"/>
    </row>
    <row r="1830" spans="1:1">
      <c r="A1830" s="258"/>
    </row>
    <row r="1831" spans="1:1">
      <c r="A1831" s="258"/>
    </row>
    <row r="1832" spans="1:1">
      <c r="A1832" s="258"/>
    </row>
    <row r="1833" spans="1:1">
      <c r="A1833" s="258"/>
    </row>
    <row r="1834" spans="1:1">
      <c r="A1834" s="258"/>
    </row>
    <row r="1835" spans="1:1">
      <c r="A1835" s="258"/>
    </row>
    <row r="1836" spans="1:1">
      <c r="A1836" s="258"/>
    </row>
    <row r="1837" spans="1:1">
      <c r="A1837" s="258"/>
    </row>
    <row r="1838" spans="1:1">
      <c r="A1838" s="258"/>
    </row>
    <row r="1839" spans="1:1">
      <c r="A1839" s="258"/>
    </row>
    <row r="1840" spans="1:1">
      <c r="A1840" s="258"/>
    </row>
    <row r="1841" spans="1:1">
      <c r="A1841" s="258"/>
    </row>
    <row r="1842" spans="1:1">
      <c r="A1842" s="258"/>
    </row>
    <row r="1843" spans="1:1">
      <c r="A1843" s="258"/>
    </row>
    <row r="1844" spans="1:1">
      <c r="A1844" s="258"/>
    </row>
    <row r="1845" spans="1:1">
      <c r="A1845" s="258"/>
    </row>
    <row r="1846" spans="1:1">
      <c r="A1846" s="258"/>
    </row>
    <row r="1847" spans="1:1">
      <c r="A1847" s="258"/>
    </row>
    <row r="1848" spans="1:1">
      <c r="A1848" s="258"/>
    </row>
    <row r="1849" spans="1:1">
      <c r="A1849" s="258"/>
    </row>
    <row r="1850" spans="1:1">
      <c r="A1850" s="258"/>
    </row>
    <row r="1851" spans="1:1">
      <c r="A1851" s="258"/>
    </row>
    <row r="1852" spans="1:1">
      <c r="A1852" s="258"/>
    </row>
    <row r="1853" spans="1:1">
      <c r="A1853" s="258"/>
    </row>
    <row r="1854" spans="1:1">
      <c r="A1854" s="258"/>
    </row>
    <row r="1855" spans="1:1">
      <c r="A1855" s="258"/>
    </row>
    <row r="1856" spans="1:1">
      <c r="A1856" s="258"/>
    </row>
    <row r="1857" spans="1:1">
      <c r="A1857" s="258"/>
    </row>
    <row r="1858" spans="1:1">
      <c r="A1858" s="258"/>
    </row>
    <row r="1859" spans="1:1">
      <c r="A1859" s="258"/>
    </row>
    <row r="1860" spans="1:1">
      <c r="A1860" s="258"/>
    </row>
    <row r="1861" spans="1:1">
      <c r="A1861" s="258"/>
    </row>
    <row r="1862" spans="1:1">
      <c r="A1862" s="258"/>
    </row>
    <row r="1863" spans="1:1">
      <c r="A1863" s="258"/>
    </row>
    <row r="1864" spans="1:1">
      <c r="A1864" s="258"/>
    </row>
    <row r="1865" spans="1:1">
      <c r="A1865" s="258"/>
    </row>
    <row r="1866" spans="1:1">
      <c r="A1866" s="258"/>
    </row>
    <row r="1867" spans="1:1">
      <c r="A1867" s="258"/>
    </row>
    <row r="1868" spans="1:1">
      <c r="A1868" s="258"/>
    </row>
    <row r="1869" spans="1:1">
      <c r="A1869" s="258"/>
    </row>
    <row r="1870" spans="1:1">
      <c r="A1870" s="258"/>
    </row>
    <row r="1871" spans="1:1">
      <c r="A1871" s="258"/>
    </row>
    <row r="1872" spans="1:1">
      <c r="A1872" s="258"/>
    </row>
    <row r="1873" spans="1:1">
      <c r="A1873" s="258"/>
    </row>
    <row r="1874" spans="1:1">
      <c r="A1874" s="258"/>
    </row>
    <row r="1875" spans="1:1">
      <c r="A1875" s="258"/>
    </row>
    <row r="1876" spans="1:1">
      <c r="A1876" s="258"/>
    </row>
    <row r="1877" spans="1:1">
      <c r="A1877" s="258"/>
    </row>
    <row r="1878" spans="1:1">
      <c r="A1878" s="258"/>
    </row>
    <row r="1879" spans="1:1">
      <c r="A1879" s="258"/>
    </row>
    <row r="1880" spans="1:1">
      <c r="A1880" s="258"/>
    </row>
    <row r="1881" spans="1:1">
      <c r="A1881" s="258"/>
    </row>
    <row r="1882" spans="1:1">
      <c r="A1882" s="258"/>
    </row>
    <row r="1883" spans="1:1">
      <c r="A1883" s="258"/>
    </row>
    <row r="1884" spans="1:1">
      <c r="A1884" s="258"/>
    </row>
    <row r="1885" spans="1:1">
      <c r="A1885" s="258"/>
    </row>
    <row r="1886" spans="1:1">
      <c r="A1886" s="258"/>
    </row>
    <row r="1887" spans="1:1">
      <c r="A1887" s="258"/>
    </row>
    <row r="1888" spans="1:1">
      <c r="A1888" s="258"/>
    </row>
    <row r="1889" spans="1:1">
      <c r="A1889" s="258"/>
    </row>
    <row r="1890" spans="1:1">
      <c r="A1890" s="258"/>
    </row>
    <row r="1891" spans="1:1">
      <c r="A1891" s="258"/>
    </row>
    <row r="1892" spans="1:1">
      <c r="A1892" s="258"/>
    </row>
    <row r="1893" spans="1:1">
      <c r="A1893" s="258"/>
    </row>
    <row r="1894" spans="1:1">
      <c r="A1894" s="258"/>
    </row>
    <row r="1895" spans="1:1">
      <c r="A1895" s="258"/>
    </row>
    <row r="1896" spans="1:1">
      <c r="A1896" s="258"/>
    </row>
    <row r="1897" spans="1:1">
      <c r="A1897" s="258"/>
    </row>
    <row r="1898" spans="1:1">
      <c r="A1898" s="258"/>
    </row>
    <row r="1899" spans="1:1">
      <c r="A1899" s="258"/>
    </row>
    <row r="1900" spans="1:1">
      <c r="A1900" s="258"/>
    </row>
    <row r="1901" spans="1:1">
      <c r="A1901" s="258"/>
    </row>
    <row r="1902" spans="1:1">
      <c r="A1902" s="258"/>
    </row>
    <row r="1903" spans="1:1">
      <c r="A1903" s="258"/>
    </row>
    <row r="1904" spans="1:1">
      <c r="A1904" s="258"/>
    </row>
    <row r="1905" spans="1:1">
      <c r="A1905" s="258"/>
    </row>
    <row r="1906" spans="1:1">
      <c r="A1906" s="258"/>
    </row>
    <row r="1907" spans="1:1">
      <c r="A1907" s="258"/>
    </row>
    <row r="1908" spans="1:1">
      <c r="A1908" s="258"/>
    </row>
    <row r="1909" spans="1:1">
      <c r="A1909" s="258"/>
    </row>
    <row r="1910" spans="1:1">
      <c r="A1910" s="258"/>
    </row>
    <row r="1911" spans="1:1">
      <c r="A1911" s="258"/>
    </row>
    <row r="1912" spans="1:1">
      <c r="A1912" s="258"/>
    </row>
    <row r="1913" spans="1:1">
      <c r="A1913" s="258"/>
    </row>
    <row r="1914" spans="1:1">
      <c r="A1914" s="258"/>
    </row>
    <row r="1915" spans="1:1">
      <c r="A1915" s="258"/>
    </row>
    <row r="1916" spans="1:1">
      <c r="A1916" s="258"/>
    </row>
    <row r="1917" spans="1:1">
      <c r="A1917" s="258"/>
    </row>
    <row r="1918" spans="1:1">
      <c r="A1918" s="258"/>
    </row>
    <row r="1919" spans="1:1">
      <c r="A1919" s="258"/>
    </row>
    <row r="1920" spans="1:1">
      <c r="A1920" s="258"/>
    </row>
    <row r="1921" spans="1:1">
      <c r="A1921" s="258"/>
    </row>
    <row r="1922" spans="1:1">
      <c r="A1922" s="258"/>
    </row>
    <row r="1923" spans="1:1">
      <c r="A1923" s="258"/>
    </row>
    <row r="1924" spans="1:1">
      <c r="A1924" s="258"/>
    </row>
    <row r="1925" spans="1:1">
      <c r="A1925" s="258"/>
    </row>
    <row r="1926" spans="1:1">
      <c r="A1926" s="258"/>
    </row>
    <row r="1927" spans="1:1">
      <c r="A1927" s="258"/>
    </row>
    <row r="1928" spans="1:1">
      <c r="A1928" s="258"/>
    </row>
    <row r="1929" spans="1:1">
      <c r="A1929" s="258"/>
    </row>
    <row r="1930" spans="1:1">
      <c r="A1930" s="258"/>
    </row>
    <row r="1931" spans="1:1">
      <c r="A1931" s="258"/>
    </row>
    <row r="1932" spans="1:1">
      <c r="A1932" s="258"/>
    </row>
    <row r="1933" spans="1:1">
      <c r="A1933" s="258"/>
    </row>
    <row r="1934" spans="1:1">
      <c r="A1934" s="258"/>
    </row>
    <row r="1935" spans="1:1">
      <c r="A1935" s="258"/>
    </row>
    <row r="1936" spans="1:1">
      <c r="A1936" s="258"/>
    </row>
    <row r="1937" spans="1:1">
      <c r="A1937" s="258"/>
    </row>
    <row r="1938" spans="1:1">
      <c r="A1938" s="258"/>
    </row>
    <row r="1939" spans="1:1">
      <c r="A1939" s="258"/>
    </row>
    <row r="1940" spans="1:1">
      <c r="A1940" s="258"/>
    </row>
    <row r="1941" spans="1:1">
      <c r="A1941" s="258"/>
    </row>
    <row r="1942" spans="1:1">
      <c r="A1942" s="258"/>
    </row>
    <row r="1943" spans="1:1">
      <c r="A1943" s="258"/>
    </row>
    <row r="1944" spans="1:1">
      <c r="A1944" s="258"/>
    </row>
    <row r="1945" spans="1:1">
      <c r="A1945" s="258"/>
    </row>
    <row r="1946" spans="1:1">
      <c r="A1946" s="258"/>
    </row>
    <row r="1947" spans="1:1">
      <c r="A1947" s="258"/>
    </row>
    <row r="1948" spans="1:1">
      <c r="A1948" s="258"/>
    </row>
    <row r="1949" spans="1:1">
      <c r="A1949" s="258"/>
    </row>
    <row r="1950" spans="1:1">
      <c r="A1950" s="258"/>
    </row>
    <row r="1951" spans="1:1">
      <c r="A1951" s="258"/>
    </row>
    <row r="1952" spans="1:1">
      <c r="A1952" s="258"/>
    </row>
    <row r="1953" spans="1:1">
      <c r="A1953" s="258"/>
    </row>
    <row r="1954" spans="1:1">
      <c r="A1954" s="258"/>
    </row>
    <row r="1955" spans="1:1">
      <c r="A1955" s="258"/>
    </row>
    <row r="1956" spans="1:1">
      <c r="A1956" s="258"/>
    </row>
    <row r="1957" spans="1:1">
      <c r="A1957" s="258"/>
    </row>
    <row r="1958" spans="1:1">
      <c r="A1958" s="258"/>
    </row>
    <row r="1959" spans="1:1">
      <c r="A1959" s="258"/>
    </row>
    <row r="1960" spans="1:1">
      <c r="A1960" s="258"/>
    </row>
    <row r="1961" spans="1:1">
      <c r="A1961" s="258"/>
    </row>
    <row r="1962" spans="1:1">
      <c r="A1962" s="258"/>
    </row>
    <row r="1963" spans="1:1">
      <c r="A1963" s="258"/>
    </row>
    <row r="1964" spans="1:1">
      <c r="A1964" s="258"/>
    </row>
    <row r="1965" spans="1:1">
      <c r="A1965" s="258"/>
    </row>
    <row r="1966" spans="1:1">
      <c r="A1966" s="258"/>
    </row>
    <row r="1967" spans="1:1">
      <c r="A1967" s="258"/>
    </row>
    <row r="1968" spans="1:1">
      <c r="A1968" s="258"/>
    </row>
    <row r="1969" spans="1:1">
      <c r="A1969" s="258"/>
    </row>
    <row r="1970" spans="1:1">
      <c r="A1970" s="258"/>
    </row>
    <row r="1971" spans="1:1">
      <c r="A1971" s="258"/>
    </row>
    <row r="1972" spans="1:1">
      <c r="A1972" s="258"/>
    </row>
    <row r="1973" spans="1:1">
      <c r="A1973" s="258"/>
    </row>
    <row r="1974" spans="1:1">
      <c r="A1974" s="258"/>
    </row>
    <row r="1975" spans="1:1">
      <c r="A1975" s="258"/>
    </row>
    <row r="1976" spans="1:1">
      <c r="A1976" s="258"/>
    </row>
    <row r="1977" spans="1:1">
      <c r="A1977" s="258"/>
    </row>
    <row r="1978" spans="1:1">
      <c r="A1978" s="258"/>
    </row>
    <row r="1979" spans="1:1">
      <c r="A1979" s="258"/>
    </row>
    <row r="1980" spans="1:1">
      <c r="A1980" s="258"/>
    </row>
    <row r="1981" spans="1:1">
      <c r="A1981" s="258"/>
    </row>
    <row r="1982" spans="1:1">
      <c r="A1982" s="258"/>
    </row>
    <row r="1983" spans="1:1">
      <c r="A1983" s="258"/>
    </row>
    <row r="1984" spans="1:1">
      <c r="A1984" s="258"/>
    </row>
    <row r="1985" spans="1:1">
      <c r="A1985" s="258"/>
    </row>
    <row r="1986" spans="1:1">
      <c r="A1986" s="258"/>
    </row>
    <row r="1987" spans="1:1">
      <c r="A1987" s="258"/>
    </row>
    <row r="1988" spans="1:1">
      <c r="A1988" s="258"/>
    </row>
    <row r="1989" spans="1:1">
      <c r="A1989" s="258"/>
    </row>
    <row r="1990" spans="1:1">
      <c r="A1990" s="258"/>
    </row>
    <row r="1991" spans="1:1">
      <c r="A1991" s="258"/>
    </row>
    <row r="1992" spans="1:1">
      <c r="A1992" s="258"/>
    </row>
    <row r="1993" spans="1:1">
      <c r="A1993" s="258"/>
    </row>
    <row r="1994" spans="1:1">
      <c r="A1994" s="258"/>
    </row>
    <row r="1995" spans="1:1">
      <c r="A1995" s="258"/>
    </row>
    <row r="1996" spans="1:1">
      <c r="A1996" s="258"/>
    </row>
    <row r="1997" spans="1:1">
      <c r="A1997" s="258"/>
    </row>
    <row r="1998" spans="1:1">
      <c r="A1998" s="258"/>
    </row>
    <row r="1999" spans="1:1">
      <c r="A1999" s="258"/>
    </row>
    <row r="2000" spans="1:1">
      <c r="A2000" s="258"/>
    </row>
    <row r="2001" spans="1:1">
      <c r="A2001" s="258"/>
    </row>
    <row r="2002" spans="1:1">
      <c r="A2002" s="258"/>
    </row>
    <row r="2003" spans="1:1">
      <c r="A2003" s="258"/>
    </row>
    <row r="2004" spans="1:1">
      <c r="A2004" s="258"/>
    </row>
    <row r="2005" spans="1:1">
      <c r="A2005" s="258"/>
    </row>
    <row r="2006" spans="1:1">
      <c r="A2006" s="258"/>
    </row>
    <row r="2007" spans="1:1">
      <c r="A2007" s="258"/>
    </row>
    <row r="2008" spans="1:1">
      <c r="A2008" s="258"/>
    </row>
    <row r="2009" spans="1:1">
      <c r="A2009" s="258"/>
    </row>
    <row r="2010" spans="1:1">
      <c r="A2010" s="258"/>
    </row>
    <row r="2011" spans="1:1">
      <c r="A2011" s="258"/>
    </row>
    <row r="2012" spans="1:1">
      <c r="A2012" s="258"/>
    </row>
    <row r="2013" spans="1:1">
      <c r="A2013" s="258"/>
    </row>
    <row r="2014" spans="1:1">
      <c r="A2014" s="258"/>
    </row>
    <row r="2015" spans="1:1">
      <c r="A2015" s="258"/>
    </row>
    <row r="2016" spans="1:1">
      <c r="A2016" s="258"/>
    </row>
    <row r="2017" spans="1:1">
      <c r="A2017" s="258"/>
    </row>
    <row r="2018" spans="1:1">
      <c r="A2018" s="258"/>
    </row>
    <row r="2019" spans="1:1">
      <c r="A2019" s="258"/>
    </row>
    <row r="2020" spans="1:1">
      <c r="A2020" s="258"/>
    </row>
    <row r="2021" spans="1:1">
      <c r="A2021" s="258"/>
    </row>
    <row r="2022" spans="1:1">
      <c r="A2022" s="258"/>
    </row>
    <row r="2023" spans="1:1">
      <c r="A2023" s="258"/>
    </row>
    <row r="2024" spans="1:1">
      <c r="A2024" s="258"/>
    </row>
    <row r="2025" spans="1:1">
      <c r="A2025" s="258"/>
    </row>
    <row r="2026" spans="1:1">
      <c r="A2026" s="258"/>
    </row>
    <row r="2027" spans="1:1">
      <c r="A2027" s="258"/>
    </row>
    <row r="2028" spans="1:1">
      <c r="A2028" s="258"/>
    </row>
    <row r="2029" spans="1:1">
      <c r="A2029" s="258"/>
    </row>
    <row r="2030" spans="1:1">
      <c r="A2030" s="258"/>
    </row>
    <row r="2031" spans="1:1">
      <c r="A2031" s="258"/>
    </row>
    <row r="2032" spans="1:1">
      <c r="A2032" s="258"/>
    </row>
    <row r="2033" spans="1:1">
      <c r="A2033" s="258"/>
    </row>
    <row r="2034" spans="1:1">
      <c r="A2034" s="258"/>
    </row>
    <row r="2035" spans="1:1">
      <c r="A2035" s="258"/>
    </row>
    <row r="2036" spans="1:1">
      <c r="A2036" s="258"/>
    </row>
    <row r="2037" spans="1:1">
      <c r="A2037" s="258"/>
    </row>
    <row r="2038" spans="1:1">
      <c r="A2038" s="258"/>
    </row>
    <row r="2039" spans="1:1">
      <c r="A2039" s="258"/>
    </row>
    <row r="2040" spans="1:1">
      <c r="A2040" s="258"/>
    </row>
    <row r="2041" spans="1:1">
      <c r="A2041" s="258"/>
    </row>
    <row r="2042" spans="1:1">
      <c r="A2042" s="258"/>
    </row>
    <row r="2043" spans="1:1">
      <c r="A2043" s="258"/>
    </row>
    <row r="2044" spans="1:1">
      <c r="A2044" s="258"/>
    </row>
    <row r="2045" spans="1:1">
      <c r="A2045" s="258"/>
    </row>
    <row r="2046" spans="1:1">
      <c r="A2046" s="258"/>
    </row>
    <row r="2047" spans="1:1">
      <c r="A2047" s="258"/>
    </row>
    <row r="2048" spans="1:1">
      <c r="A2048" s="258"/>
    </row>
    <row r="2049" spans="1:1">
      <c r="A2049" s="258"/>
    </row>
    <row r="2050" spans="1:1">
      <c r="A2050" s="258"/>
    </row>
    <row r="2051" spans="1:1">
      <c r="A2051" s="258"/>
    </row>
    <row r="2052" spans="1:1">
      <c r="A2052" s="258"/>
    </row>
    <row r="2053" spans="1:1">
      <c r="A2053" s="258"/>
    </row>
    <row r="2054" spans="1:1">
      <c r="A2054" s="258"/>
    </row>
    <row r="2055" spans="1:1">
      <c r="A2055" s="258"/>
    </row>
    <row r="2056" spans="1:1">
      <c r="A2056" s="258"/>
    </row>
    <row r="2057" spans="1:1">
      <c r="A2057" s="258"/>
    </row>
    <row r="2058" spans="1:1">
      <c r="A2058" s="258"/>
    </row>
    <row r="2059" spans="1:1">
      <c r="A2059" s="258"/>
    </row>
    <row r="2060" spans="1:1">
      <c r="A2060" s="258"/>
    </row>
    <row r="2061" spans="1:1">
      <c r="A2061" s="258"/>
    </row>
    <row r="2062" spans="1:1">
      <c r="A2062" s="258"/>
    </row>
    <row r="2063" spans="1:1">
      <c r="A2063" s="258"/>
    </row>
    <row r="2064" spans="1:1">
      <c r="A2064" s="258"/>
    </row>
    <row r="2065" spans="1:1">
      <c r="A2065" s="258"/>
    </row>
    <row r="2066" spans="1:1">
      <c r="A2066" s="258"/>
    </row>
    <row r="2067" spans="1:1">
      <c r="A2067" s="258"/>
    </row>
    <row r="2068" spans="1:1">
      <c r="A2068" s="258"/>
    </row>
    <row r="2069" spans="1:1">
      <c r="A2069" s="258"/>
    </row>
    <row r="2070" spans="1:1">
      <c r="A2070" s="258"/>
    </row>
    <row r="2071" spans="1:1">
      <c r="A2071" s="258"/>
    </row>
    <row r="2072" spans="1:1">
      <c r="A2072" s="258"/>
    </row>
    <row r="2073" spans="1:1">
      <c r="A2073" s="258"/>
    </row>
    <row r="2074" spans="1:1">
      <c r="A2074" s="258"/>
    </row>
    <row r="2075" spans="1:1">
      <c r="A2075" s="258"/>
    </row>
    <row r="2076" spans="1:1">
      <c r="A2076" s="258"/>
    </row>
    <row r="2077" spans="1:1">
      <c r="A2077" s="258"/>
    </row>
    <row r="2078" spans="1:1">
      <c r="A2078" s="258"/>
    </row>
    <row r="2079" spans="1:1">
      <c r="A2079" s="258"/>
    </row>
    <row r="2080" spans="1:1">
      <c r="A2080" s="258"/>
    </row>
    <row r="2081" spans="1:1">
      <c r="A2081" s="258"/>
    </row>
    <row r="2082" spans="1:1">
      <c r="A2082" s="258"/>
    </row>
    <row r="2083" spans="1:1">
      <c r="A2083" s="258"/>
    </row>
    <row r="2084" spans="1:1">
      <c r="A2084" s="258"/>
    </row>
    <row r="2085" spans="1:1">
      <c r="A2085" s="258"/>
    </row>
    <row r="2086" spans="1:1">
      <c r="A2086" s="258"/>
    </row>
    <row r="2087" spans="1:1">
      <c r="A2087" s="258"/>
    </row>
    <row r="2088" spans="1:1">
      <c r="A2088" s="258"/>
    </row>
    <row r="2089" spans="1:1">
      <c r="A2089" s="258"/>
    </row>
    <row r="2090" spans="1:1">
      <c r="A2090" s="258"/>
    </row>
    <row r="2091" spans="1:1">
      <c r="A2091" s="258"/>
    </row>
    <row r="2092" spans="1:1">
      <c r="A2092" s="258"/>
    </row>
    <row r="2093" spans="1:1">
      <c r="A2093" s="258"/>
    </row>
    <row r="2094" spans="1:1">
      <c r="A2094" s="258"/>
    </row>
    <row r="2095" spans="1:1">
      <c r="A2095" s="258"/>
    </row>
    <row r="2096" spans="1:1">
      <c r="A2096" s="258"/>
    </row>
    <row r="2097" spans="1:1">
      <c r="A2097" s="258"/>
    </row>
    <row r="2098" spans="1:1">
      <c r="A2098" s="258"/>
    </row>
    <row r="2099" spans="1:1">
      <c r="A2099" s="258"/>
    </row>
    <row r="2100" spans="1:1">
      <c r="A2100" s="258"/>
    </row>
    <row r="2101" spans="1:1">
      <c r="A2101" s="258"/>
    </row>
    <row r="2102" spans="1:1">
      <c r="A2102" s="258"/>
    </row>
    <row r="2103" spans="1:1">
      <c r="A2103" s="258"/>
    </row>
    <row r="2104" spans="1:1">
      <c r="A2104" s="258"/>
    </row>
    <row r="2105" spans="1:1">
      <c r="A2105" s="258"/>
    </row>
    <row r="2106" spans="1:1">
      <c r="A2106" s="258"/>
    </row>
    <row r="2107" spans="1:1">
      <c r="A2107" s="258"/>
    </row>
    <row r="2108" spans="1:1">
      <c r="A2108" s="258"/>
    </row>
    <row r="2109" spans="1:1">
      <c r="A2109" s="258"/>
    </row>
    <row r="2110" spans="1:1">
      <c r="A2110" s="258"/>
    </row>
    <row r="2111" spans="1:1">
      <c r="A2111" s="258"/>
    </row>
    <row r="2112" spans="1:1">
      <c r="A2112" s="258"/>
    </row>
    <row r="2113" spans="1:1">
      <c r="A2113" s="258"/>
    </row>
    <row r="2114" spans="1:1">
      <c r="A2114" s="258"/>
    </row>
    <row r="2115" spans="1:1">
      <c r="A2115" s="258"/>
    </row>
    <row r="2116" spans="1:1">
      <c r="A2116" s="258"/>
    </row>
    <row r="2117" spans="1:1">
      <c r="A2117" s="258"/>
    </row>
    <row r="2118" spans="1:1">
      <c r="A2118" s="258"/>
    </row>
    <row r="2119" spans="1:1">
      <c r="A2119" s="258"/>
    </row>
    <row r="2120" spans="1:1">
      <c r="A2120" s="258"/>
    </row>
    <row r="2121" spans="1:1">
      <c r="A2121" s="258"/>
    </row>
    <row r="2122" spans="1:1">
      <c r="A2122" s="258"/>
    </row>
    <row r="2123" spans="1:1">
      <c r="A2123" s="258"/>
    </row>
    <row r="2124" spans="1:1">
      <c r="A2124" s="258"/>
    </row>
    <row r="2125" spans="1:1">
      <c r="A2125" s="258"/>
    </row>
    <row r="2126" spans="1:1">
      <c r="A2126" s="258"/>
    </row>
    <row r="2127" spans="1:1">
      <c r="A2127" s="258"/>
    </row>
    <row r="2128" spans="1:1">
      <c r="A2128" s="258"/>
    </row>
    <row r="2129" spans="1:1">
      <c r="A2129" s="258"/>
    </row>
    <row r="2130" spans="1:1">
      <c r="A2130" s="258"/>
    </row>
    <row r="2131" spans="1:1">
      <c r="A2131" s="258"/>
    </row>
    <row r="2132" spans="1:1">
      <c r="A2132" s="258"/>
    </row>
    <row r="2133" spans="1:1">
      <c r="A2133" s="258"/>
    </row>
    <row r="2134" spans="1:1">
      <c r="A2134" s="258"/>
    </row>
    <row r="2135" spans="1:1">
      <c r="A2135" s="258"/>
    </row>
    <row r="2136" spans="1:1">
      <c r="A2136" s="258"/>
    </row>
    <row r="2137" spans="1:1">
      <c r="A2137" s="258"/>
    </row>
    <row r="2138" spans="1:1">
      <c r="A2138" s="258"/>
    </row>
    <row r="2139" spans="1:1">
      <c r="A2139" s="258"/>
    </row>
    <row r="2140" spans="1:1">
      <c r="A2140" s="258"/>
    </row>
    <row r="2141" spans="1:1">
      <c r="A2141" s="258"/>
    </row>
    <row r="2142" spans="1:1">
      <c r="A2142" s="258"/>
    </row>
    <row r="2143" spans="1:1">
      <c r="A2143" s="258"/>
    </row>
    <row r="2144" spans="1:1">
      <c r="A2144" s="258"/>
    </row>
    <row r="2145" spans="1:1">
      <c r="A2145" s="258"/>
    </row>
    <row r="2146" spans="1:1">
      <c r="A2146" s="258"/>
    </row>
    <row r="2147" spans="1:1">
      <c r="A2147" s="258"/>
    </row>
    <row r="2148" spans="1:1">
      <c r="A2148" s="258"/>
    </row>
    <row r="2149" spans="1:1">
      <c r="A2149" s="258"/>
    </row>
    <row r="2150" spans="1:1">
      <c r="A2150" s="258"/>
    </row>
    <row r="2151" spans="1:1">
      <c r="A2151" s="258"/>
    </row>
    <row r="2152" spans="1:1">
      <c r="A2152" s="258"/>
    </row>
    <row r="2153" spans="1:1">
      <c r="A2153" s="258"/>
    </row>
    <row r="2154" spans="1:1">
      <c r="A2154" s="258"/>
    </row>
    <row r="2155" spans="1:1">
      <c r="A2155" s="258"/>
    </row>
    <row r="2156" spans="1:1">
      <c r="A2156" s="258"/>
    </row>
    <row r="2157" spans="1:1">
      <c r="A2157" s="258"/>
    </row>
    <row r="2158" spans="1:1">
      <c r="A2158" s="258"/>
    </row>
    <row r="2159" spans="1:1">
      <c r="A2159" s="258"/>
    </row>
    <row r="2160" spans="1:1">
      <c r="A2160" s="258"/>
    </row>
    <row r="2161" spans="1:1">
      <c r="A2161" s="258"/>
    </row>
    <row r="2162" spans="1:1">
      <c r="A2162" s="258"/>
    </row>
    <row r="2163" spans="1:1">
      <c r="A2163" s="258"/>
    </row>
    <row r="2164" spans="1:1">
      <c r="A2164" s="258"/>
    </row>
    <row r="2165" spans="1:1">
      <c r="A2165" s="258"/>
    </row>
    <row r="2166" spans="1:1">
      <c r="A2166" s="258"/>
    </row>
    <row r="2167" spans="1:1">
      <c r="A2167" s="258"/>
    </row>
    <row r="2168" spans="1:1">
      <c r="A2168" s="258"/>
    </row>
    <row r="2169" spans="1:1">
      <c r="A2169" s="258"/>
    </row>
    <row r="2170" spans="1:1">
      <c r="A2170" s="258"/>
    </row>
    <row r="2171" spans="1:1">
      <c r="A2171" s="258"/>
    </row>
    <row r="2172" spans="1:1">
      <c r="A2172" s="258"/>
    </row>
    <row r="2173" spans="1:1">
      <c r="A2173" s="258"/>
    </row>
    <row r="2174" spans="1:1">
      <c r="A2174" s="258"/>
    </row>
    <row r="2175" spans="1:1">
      <c r="A2175" s="258"/>
    </row>
    <row r="2176" spans="1:1">
      <c r="A2176" s="258"/>
    </row>
    <row r="2177" spans="1:1">
      <c r="A2177" s="258"/>
    </row>
    <row r="2178" spans="1:1">
      <c r="A2178" s="258"/>
    </row>
    <row r="2179" spans="1:1">
      <c r="A2179" s="258"/>
    </row>
    <row r="2180" spans="1:1">
      <c r="A2180" s="258"/>
    </row>
    <row r="2181" spans="1:1">
      <c r="A2181" s="258"/>
    </row>
    <row r="2182" spans="1:1">
      <c r="A2182" s="258"/>
    </row>
    <row r="2183" spans="1:1">
      <c r="A2183" s="258"/>
    </row>
    <row r="2184" spans="1:1">
      <c r="A2184" s="258"/>
    </row>
    <row r="2185" spans="1:1">
      <c r="A2185" s="258"/>
    </row>
    <row r="2186" spans="1:1">
      <c r="A2186" s="258"/>
    </row>
    <row r="2187" spans="1:1">
      <c r="A2187" s="258"/>
    </row>
    <row r="2188" spans="1:1">
      <c r="A2188" s="258"/>
    </row>
    <row r="2189" spans="1:1">
      <c r="A2189" s="258"/>
    </row>
    <row r="2190" spans="1:1">
      <c r="A2190" s="258"/>
    </row>
    <row r="2191" spans="1:1">
      <c r="A2191" s="258"/>
    </row>
    <row r="2192" spans="1:1">
      <c r="A2192" s="258"/>
    </row>
    <row r="2193" spans="1:1">
      <c r="A2193" s="258"/>
    </row>
    <row r="2194" spans="1:1">
      <c r="A2194" s="258"/>
    </row>
    <row r="2195" spans="1:1">
      <c r="A2195" s="258"/>
    </row>
    <row r="2196" spans="1:1">
      <c r="A2196" s="258"/>
    </row>
    <row r="2197" spans="1:1">
      <c r="A2197" s="258"/>
    </row>
    <row r="2198" spans="1:1">
      <c r="A2198" s="258"/>
    </row>
    <row r="2199" spans="1:1">
      <c r="A2199" s="258"/>
    </row>
    <row r="2200" spans="1:1">
      <c r="A2200" s="258"/>
    </row>
    <row r="2201" spans="1:1">
      <c r="A2201" s="258"/>
    </row>
    <row r="2202" spans="1:1">
      <c r="A2202" s="258"/>
    </row>
    <row r="2203" spans="1:1">
      <c r="A2203" s="258"/>
    </row>
    <row r="2204" spans="1:1">
      <c r="A2204" s="258"/>
    </row>
    <row r="2205" spans="1:1">
      <c r="A2205" s="258"/>
    </row>
    <row r="2206" spans="1:1">
      <c r="A2206" s="258"/>
    </row>
    <row r="2207" spans="1:1">
      <c r="A2207" s="258"/>
    </row>
    <row r="2208" spans="1:1">
      <c r="A2208" s="258"/>
    </row>
    <row r="2209" spans="1:1">
      <c r="A2209" s="258"/>
    </row>
    <row r="2210" spans="1:1">
      <c r="A2210" s="258"/>
    </row>
    <row r="2211" spans="1:1">
      <c r="A2211" s="258"/>
    </row>
    <row r="2212" spans="1:1">
      <c r="A2212" s="258"/>
    </row>
    <row r="2213" spans="1:1">
      <c r="A2213" s="258"/>
    </row>
    <row r="2214" spans="1:1">
      <c r="A2214" s="258"/>
    </row>
    <row r="2215" spans="1:1">
      <c r="A2215" s="258"/>
    </row>
    <row r="2216" spans="1:1">
      <c r="A2216" s="258"/>
    </row>
    <row r="2217" spans="1:1">
      <c r="A2217" s="258"/>
    </row>
    <row r="2218" spans="1:1">
      <c r="A2218" s="258"/>
    </row>
    <row r="2219" spans="1:1">
      <c r="A2219" s="258"/>
    </row>
    <row r="2220" spans="1:1">
      <c r="A2220" s="258"/>
    </row>
    <row r="2221" spans="1:1">
      <c r="A2221" s="258"/>
    </row>
    <row r="2222" spans="1:1">
      <c r="A2222" s="258"/>
    </row>
    <row r="2223" spans="1:1">
      <c r="A2223" s="258"/>
    </row>
    <row r="2224" spans="1:1">
      <c r="A2224" s="258"/>
    </row>
    <row r="2225" spans="1:1">
      <c r="A2225" s="258"/>
    </row>
    <row r="2226" spans="1:1">
      <c r="A2226" s="258"/>
    </row>
    <row r="2227" spans="1:1">
      <c r="A2227" s="258"/>
    </row>
    <row r="2228" spans="1:1">
      <c r="A2228" s="258"/>
    </row>
    <row r="2229" spans="1:1">
      <c r="A2229" s="258"/>
    </row>
    <row r="2230" spans="1:1">
      <c r="A2230" s="258"/>
    </row>
    <row r="2231" spans="1:1">
      <c r="A2231" s="258"/>
    </row>
    <row r="2232" spans="1:1">
      <c r="A2232" s="258"/>
    </row>
    <row r="2233" spans="1:1">
      <c r="A2233" s="258"/>
    </row>
    <row r="2234" spans="1:1">
      <c r="A2234" s="258"/>
    </row>
    <row r="2235" spans="1:1">
      <c r="A2235" s="258"/>
    </row>
    <row r="2236" spans="1:1">
      <c r="A2236" s="258"/>
    </row>
    <row r="2237" spans="1:1">
      <c r="A2237" s="258"/>
    </row>
    <row r="2238" spans="1:1">
      <c r="A2238" s="258"/>
    </row>
    <row r="2239" spans="1:1">
      <c r="A2239" s="258"/>
    </row>
    <row r="2240" spans="1:1">
      <c r="A2240" s="258"/>
    </row>
    <row r="2241" spans="1:1">
      <c r="A2241" s="258"/>
    </row>
    <row r="2242" spans="1:1">
      <c r="A2242" s="258"/>
    </row>
    <row r="2243" spans="1:1">
      <c r="A2243" s="258"/>
    </row>
    <row r="2244" spans="1:1">
      <c r="A2244" s="258"/>
    </row>
    <row r="2245" spans="1:1">
      <c r="A2245" s="258"/>
    </row>
    <row r="2246" spans="1:1">
      <c r="A2246" s="258"/>
    </row>
    <row r="2247" spans="1:1">
      <c r="A2247" s="258"/>
    </row>
    <row r="2248" spans="1:1">
      <c r="A2248" s="258"/>
    </row>
    <row r="2249" spans="1:1">
      <c r="A2249" s="258"/>
    </row>
    <row r="2250" spans="1:1">
      <c r="A2250" s="258"/>
    </row>
    <row r="2251" spans="1:1">
      <c r="A2251" s="258"/>
    </row>
    <row r="2252" spans="1:1">
      <c r="A2252" s="258"/>
    </row>
    <row r="2253" spans="1:1">
      <c r="A2253" s="258"/>
    </row>
  </sheetData>
  <mergeCells count="4">
    <mergeCell ref="A1:I1"/>
    <mergeCell ref="A2:I2"/>
    <mergeCell ref="B76:K76"/>
    <mergeCell ref="C78:K78"/>
  </mergeCells>
  <printOptions horizontalCentered="1"/>
  <pageMargins left="0.5" right="0.33" top="0.5" bottom="0.5" header="0.5" footer="0.5"/>
  <pageSetup scale="44" orientation="portrait"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I77"/>
  <sheetViews>
    <sheetView view="pageBreakPreview" topLeftCell="A11" zoomScale="80" zoomScaleNormal="85" zoomScaleSheetLayoutView="80" workbookViewId="0">
      <selection activeCell="L80" sqref="L80"/>
    </sheetView>
  </sheetViews>
  <sheetFormatPr defaultColWidth="8.90625" defaultRowHeight="15.65"/>
  <cols>
    <col min="1" max="1" width="6.36328125" style="2" customWidth="1"/>
    <col min="2" max="2" width="9" style="2" customWidth="1"/>
    <col min="3" max="3" width="1.1796875" style="2" customWidth="1"/>
    <col min="4" max="4" width="50.81640625" style="2" customWidth="1"/>
    <col min="5" max="5" width="1.453125" style="2" customWidth="1"/>
    <col min="6" max="6" width="15.81640625" style="2" customWidth="1"/>
    <col min="7" max="7" width="3.6328125" style="2" customWidth="1"/>
    <col min="8" max="8" width="12.90625" style="2" bestFit="1" customWidth="1"/>
    <col min="9" max="16384" width="8.90625" style="2"/>
  </cols>
  <sheetData>
    <row r="1" spans="1:6">
      <c r="F1" s="814" t="s">
        <v>1017</v>
      </c>
    </row>
    <row r="2" spans="1:6">
      <c r="F2" s="814" t="s">
        <v>224</v>
      </c>
    </row>
    <row r="3" spans="1:6">
      <c r="F3" s="815" t="str">
        <f>'Attachment 1 - Sched 1A'!$J$3</f>
        <v>For the 12 months ended 12/31/2019</v>
      </c>
    </row>
    <row r="4" spans="1:6">
      <c r="F4" s="814"/>
    </row>
    <row r="5" spans="1:6">
      <c r="B5" s="902" t="s">
        <v>1018</v>
      </c>
      <c r="C5" s="903"/>
      <c r="D5" s="903"/>
      <c r="F5" s="815"/>
    </row>
    <row r="7" spans="1:6" ht="31.3">
      <c r="A7" s="904" t="s">
        <v>1019</v>
      </c>
      <c r="B7" s="905" t="s">
        <v>1020</v>
      </c>
      <c r="D7" s="906" t="s">
        <v>1021</v>
      </c>
      <c r="F7" s="907" t="s">
        <v>1022</v>
      </c>
    </row>
    <row r="8" spans="1:6">
      <c r="B8" s="906"/>
      <c r="D8" s="906"/>
      <c r="F8" s="908"/>
    </row>
    <row r="9" spans="1:6" ht="16.3">
      <c r="A9" s="1">
        <v>82</v>
      </c>
      <c r="B9" s="1"/>
      <c r="D9" s="909" t="s">
        <v>1023</v>
      </c>
      <c r="F9" s="910"/>
    </row>
    <row r="10" spans="1:6">
      <c r="A10" s="1">
        <v>83</v>
      </c>
      <c r="B10" s="1">
        <v>560</v>
      </c>
      <c r="D10" s="2" t="s">
        <v>1024</v>
      </c>
      <c r="F10" s="911">
        <v>106246</v>
      </c>
    </row>
    <row r="11" spans="1:6">
      <c r="A11" s="1">
        <v>84</v>
      </c>
      <c r="B11" s="1"/>
      <c r="F11" s="912"/>
    </row>
    <row r="12" spans="1:6">
      <c r="A12" s="1">
        <v>85</v>
      </c>
      <c r="B12" s="1">
        <v>561.1</v>
      </c>
      <c r="D12" s="2" t="s">
        <v>1025</v>
      </c>
      <c r="F12" s="911">
        <v>1025166</v>
      </c>
    </row>
    <row r="13" spans="1:6">
      <c r="A13" s="1">
        <v>86</v>
      </c>
      <c r="B13" s="1">
        <v>561.20000000000005</v>
      </c>
      <c r="D13" s="2" t="s">
        <v>1026</v>
      </c>
      <c r="F13" s="911">
        <v>232814</v>
      </c>
    </row>
    <row r="14" spans="1:6">
      <c r="A14" s="1">
        <v>87</v>
      </c>
      <c r="B14" s="1">
        <v>561.29999999999995</v>
      </c>
      <c r="D14" s="2" t="s">
        <v>1027</v>
      </c>
      <c r="F14" s="911">
        <v>0</v>
      </c>
    </row>
    <row r="15" spans="1:6">
      <c r="A15" s="1">
        <v>88</v>
      </c>
      <c r="B15" s="1">
        <v>561.4</v>
      </c>
      <c r="D15" s="2" t="s">
        <v>1028</v>
      </c>
      <c r="F15" s="911">
        <v>48493</v>
      </c>
    </row>
    <row r="16" spans="1:6">
      <c r="A16" s="1">
        <v>89</v>
      </c>
      <c r="B16" s="1">
        <v>561.5</v>
      </c>
      <c r="D16" s="2" t="s">
        <v>1029</v>
      </c>
      <c r="F16" s="911">
        <v>180774</v>
      </c>
    </row>
    <row r="17" spans="1:6">
      <c r="A17" s="1">
        <v>90</v>
      </c>
      <c r="B17" s="1">
        <v>561.6</v>
      </c>
      <c r="D17" s="2" t="s">
        <v>1030</v>
      </c>
      <c r="F17" s="911">
        <v>21519</v>
      </c>
    </row>
    <row r="18" spans="1:6">
      <c r="A18" s="1">
        <v>91</v>
      </c>
      <c r="B18" s="1">
        <v>561.70000000000005</v>
      </c>
      <c r="D18" s="2" t="s">
        <v>1031</v>
      </c>
      <c r="F18" s="911">
        <v>-50322</v>
      </c>
    </row>
    <row r="19" spans="1:6">
      <c r="A19" s="1">
        <v>92</v>
      </c>
      <c r="B19" s="1">
        <v>561.79999999999995</v>
      </c>
      <c r="D19" s="2" t="s">
        <v>1032</v>
      </c>
      <c r="F19" s="911">
        <v>0</v>
      </c>
    </row>
    <row r="20" spans="1:6">
      <c r="A20" s="1">
        <v>93</v>
      </c>
      <c r="B20" s="8">
        <v>562</v>
      </c>
      <c r="D20" s="2" t="s">
        <v>1033</v>
      </c>
      <c r="F20" s="911">
        <v>1526267</v>
      </c>
    </row>
    <row r="21" spans="1:6">
      <c r="A21" s="1">
        <v>94</v>
      </c>
      <c r="B21" s="8">
        <v>563</v>
      </c>
      <c r="D21" s="2" t="s">
        <v>1034</v>
      </c>
      <c r="F21" s="911">
        <v>745054</v>
      </c>
    </row>
    <row r="22" spans="1:6">
      <c r="A22" s="1">
        <v>95</v>
      </c>
      <c r="B22" s="8">
        <v>564</v>
      </c>
      <c r="D22" s="2" t="s">
        <v>1035</v>
      </c>
      <c r="F22" s="911"/>
    </row>
    <row r="23" spans="1:6">
      <c r="A23" s="1">
        <v>96</v>
      </c>
      <c r="B23" s="8">
        <v>565</v>
      </c>
      <c r="D23" s="2" t="s">
        <v>1247</v>
      </c>
      <c r="F23" s="911"/>
    </row>
    <row r="24" spans="1:6">
      <c r="A24" s="1">
        <v>97</v>
      </c>
      <c r="B24" s="8">
        <v>566</v>
      </c>
      <c r="D24" s="2" t="s">
        <v>1036</v>
      </c>
      <c r="F24" s="911">
        <v>7650763</v>
      </c>
    </row>
    <row r="25" spans="1:6">
      <c r="A25" s="1">
        <v>98</v>
      </c>
      <c r="B25" s="8">
        <v>567</v>
      </c>
      <c r="D25" s="2" t="s">
        <v>1037</v>
      </c>
      <c r="F25" s="911">
        <v>6514696</v>
      </c>
    </row>
    <row r="26" spans="1:6">
      <c r="A26" s="1">
        <v>99</v>
      </c>
      <c r="B26" s="8"/>
      <c r="D26" s="2" t="s">
        <v>1038</v>
      </c>
      <c r="F26" s="913">
        <f>SUM(F10,F12:F25)</f>
        <v>18001470</v>
      </c>
    </row>
    <row r="27" spans="1:6" ht="16.3">
      <c r="A27" s="1">
        <v>100</v>
      </c>
      <c r="B27" s="8"/>
      <c r="D27" s="909" t="s">
        <v>1039</v>
      </c>
      <c r="F27" s="912"/>
    </row>
    <row r="28" spans="1:6">
      <c r="A28" s="1">
        <v>101</v>
      </c>
      <c r="B28" s="8">
        <v>568</v>
      </c>
      <c r="D28" s="2" t="s">
        <v>1040</v>
      </c>
      <c r="F28" s="911">
        <v>4086857</v>
      </c>
    </row>
    <row r="29" spans="1:6">
      <c r="A29" s="1">
        <v>102</v>
      </c>
      <c r="B29" s="8">
        <v>569</v>
      </c>
      <c r="D29" s="2" t="s">
        <v>1041</v>
      </c>
      <c r="F29" s="911"/>
    </row>
    <row r="30" spans="1:6">
      <c r="A30" s="1">
        <v>103</v>
      </c>
      <c r="B30" s="914">
        <v>569.1</v>
      </c>
      <c r="D30" s="2" t="s">
        <v>1042</v>
      </c>
      <c r="F30" s="911">
        <v>3935</v>
      </c>
    </row>
    <row r="31" spans="1:6">
      <c r="A31" s="1">
        <v>104</v>
      </c>
      <c r="B31" s="914">
        <v>569.20000000000005</v>
      </c>
      <c r="D31" s="2" t="s">
        <v>1043</v>
      </c>
      <c r="F31" s="911">
        <v>69928</v>
      </c>
    </row>
    <row r="32" spans="1:6">
      <c r="A32" s="1">
        <v>105</v>
      </c>
      <c r="B32" s="914">
        <v>569.29999999999995</v>
      </c>
      <c r="D32" s="2" t="s">
        <v>1044</v>
      </c>
      <c r="F32" s="911">
        <v>3091</v>
      </c>
    </row>
    <row r="33" spans="1:6">
      <c r="A33" s="1">
        <v>106</v>
      </c>
      <c r="B33" s="914">
        <v>569.4</v>
      </c>
      <c r="D33" s="2" t="s">
        <v>1045</v>
      </c>
      <c r="F33" s="911"/>
    </row>
    <row r="34" spans="1:6">
      <c r="A34" s="1">
        <v>107</v>
      </c>
      <c r="B34" s="1">
        <v>570</v>
      </c>
      <c r="D34" s="2" t="s">
        <v>1046</v>
      </c>
      <c r="F34" s="911">
        <v>8825075</v>
      </c>
    </row>
    <row r="35" spans="1:6">
      <c r="A35" s="1">
        <v>108</v>
      </c>
      <c r="B35" s="1">
        <v>571</v>
      </c>
      <c r="D35" s="2" t="s">
        <v>1047</v>
      </c>
      <c r="F35" s="911">
        <v>36746729</v>
      </c>
    </row>
    <row r="36" spans="1:6">
      <c r="A36" s="1">
        <v>109</v>
      </c>
      <c r="B36" s="1">
        <v>572</v>
      </c>
      <c r="D36" s="2" t="s">
        <v>1048</v>
      </c>
      <c r="F36" s="911"/>
    </row>
    <row r="37" spans="1:6">
      <c r="A37" s="1">
        <v>110</v>
      </c>
      <c r="B37" s="1">
        <v>573</v>
      </c>
      <c r="D37" s="2" t="s">
        <v>1049</v>
      </c>
      <c r="F37" s="915">
        <v>326795</v>
      </c>
    </row>
    <row r="38" spans="1:6">
      <c r="A38" s="1">
        <v>111</v>
      </c>
      <c r="B38" s="1"/>
      <c r="D38" s="2" t="s">
        <v>1050</v>
      </c>
      <c r="F38" s="916">
        <f>SUM(F28:F37)</f>
        <v>50062410</v>
      </c>
    </row>
    <row r="39" spans="1:6" ht="16.3" thickBot="1">
      <c r="A39" s="1">
        <v>112</v>
      </c>
      <c r="B39" s="914"/>
      <c r="D39" s="906" t="s">
        <v>1051</v>
      </c>
      <c r="F39" s="917">
        <f>F26+F38</f>
        <v>68063880</v>
      </c>
    </row>
    <row r="40" spans="1:6" ht="16.3" thickTop="1">
      <c r="A40" s="4"/>
      <c r="B40" s="918"/>
      <c r="D40" s="906"/>
      <c r="F40" s="919"/>
    </row>
    <row r="41" spans="1:6">
      <c r="A41" s="4" t="s">
        <v>261</v>
      </c>
      <c r="B41" s="918"/>
      <c r="D41" s="906"/>
      <c r="F41" s="919"/>
    </row>
    <row r="42" spans="1:6">
      <c r="A42" s="1" t="s">
        <v>1052</v>
      </c>
      <c r="B42" s="918" t="s">
        <v>1053</v>
      </c>
      <c r="D42" s="906"/>
      <c r="F42" s="919"/>
    </row>
    <row r="43" spans="1:6">
      <c r="A43" s="1" t="s">
        <v>1054</v>
      </c>
      <c r="B43" s="918" t="s">
        <v>1055</v>
      </c>
      <c r="D43" s="906"/>
      <c r="F43" s="919"/>
    </row>
    <row r="44" spans="1:6">
      <c r="A44" s="1" t="s">
        <v>1056</v>
      </c>
      <c r="B44" s="918" t="s">
        <v>1057</v>
      </c>
      <c r="D44" s="906"/>
      <c r="F44" s="814"/>
    </row>
    <row r="45" spans="1:6">
      <c r="A45" s="1"/>
      <c r="B45" s="918" t="s">
        <v>1201</v>
      </c>
      <c r="D45" s="906"/>
      <c r="F45" s="814"/>
    </row>
    <row r="46" spans="1:6">
      <c r="A46" s="4"/>
      <c r="B46" s="918"/>
      <c r="D46" s="906"/>
      <c r="F46" s="814" t="s">
        <v>1017</v>
      </c>
    </row>
    <row r="47" spans="1:6">
      <c r="A47" s="4"/>
      <c r="B47" s="918"/>
      <c r="D47" s="906"/>
      <c r="F47" s="814" t="s">
        <v>227</v>
      </c>
    </row>
    <row r="48" spans="1:6">
      <c r="B48" s="918"/>
      <c r="F48" s="815" t="str">
        <f>F3</f>
        <v>For the 12 months ended 12/31/2019</v>
      </c>
    </row>
    <row r="50" spans="1:8">
      <c r="B50" s="902" t="s">
        <v>1058</v>
      </c>
      <c r="C50" s="903"/>
      <c r="D50" s="903"/>
      <c r="E50" s="903"/>
    </row>
    <row r="52" spans="1:8" ht="31.3">
      <c r="A52" s="904" t="s">
        <v>1059</v>
      </c>
      <c r="B52" s="905" t="s">
        <v>1020</v>
      </c>
      <c r="D52" s="906" t="s">
        <v>1021</v>
      </c>
      <c r="F52" s="907" t="s">
        <v>1060</v>
      </c>
    </row>
    <row r="53" spans="1:8">
      <c r="B53" s="906"/>
      <c r="D53" s="906"/>
      <c r="F53" s="920"/>
    </row>
    <row r="54" spans="1:8" ht="16.3">
      <c r="A54" s="1">
        <v>180</v>
      </c>
      <c r="B54" s="866"/>
      <c r="D54" s="909" t="s">
        <v>1023</v>
      </c>
      <c r="F54" s="920"/>
    </row>
    <row r="55" spans="1:8">
      <c r="A55" s="1">
        <v>181</v>
      </c>
      <c r="B55" s="8">
        <v>920</v>
      </c>
      <c r="D55" s="2" t="s">
        <v>1061</v>
      </c>
      <c r="F55" s="911"/>
    </row>
    <row r="56" spans="1:8">
      <c r="A56" s="1">
        <v>182</v>
      </c>
      <c r="B56" s="8">
        <v>921</v>
      </c>
      <c r="D56" s="2" t="s">
        <v>1062</v>
      </c>
      <c r="F56" s="911">
        <v>3268</v>
      </c>
    </row>
    <row r="57" spans="1:8">
      <c r="A57" s="1">
        <v>183</v>
      </c>
      <c r="B57" s="921" t="s">
        <v>1063</v>
      </c>
      <c r="D57" s="2" t="s">
        <v>1064</v>
      </c>
      <c r="F57" s="911"/>
    </row>
    <row r="58" spans="1:8">
      <c r="A58" s="1">
        <v>184</v>
      </c>
      <c r="B58" s="8">
        <v>923</v>
      </c>
      <c r="D58" s="2" t="s">
        <v>1065</v>
      </c>
      <c r="F58" s="911">
        <v>5892830</v>
      </c>
      <c r="G58" s="1249"/>
      <c r="H58" s="984"/>
    </row>
    <row r="59" spans="1:8">
      <c r="A59" s="1">
        <v>185</v>
      </c>
      <c r="B59" s="8">
        <v>924</v>
      </c>
      <c r="D59" s="2" t="s">
        <v>1066</v>
      </c>
      <c r="F59" s="911">
        <v>83880</v>
      </c>
    </row>
    <row r="60" spans="1:8">
      <c r="A60" s="1">
        <v>186</v>
      </c>
      <c r="B60" s="8">
        <v>925</v>
      </c>
      <c r="D60" s="2" t="s">
        <v>1067</v>
      </c>
      <c r="F60" s="911">
        <v>580594</v>
      </c>
    </row>
    <row r="61" spans="1:8">
      <c r="A61" s="1">
        <v>187</v>
      </c>
      <c r="B61" s="8">
        <v>926</v>
      </c>
      <c r="D61" s="2" t="s">
        <v>1068</v>
      </c>
      <c r="F61" s="911">
        <v>5980105</v>
      </c>
    </row>
    <row r="62" spans="1:8">
      <c r="A62" s="1">
        <v>188</v>
      </c>
      <c r="B62" s="8">
        <v>927</v>
      </c>
      <c r="D62" s="2" t="s">
        <v>1069</v>
      </c>
      <c r="F62" s="911"/>
    </row>
    <row r="63" spans="1:8">
      <c r="A63" s="1">
        <v>189</v>
      </c>
      <c r="B63" s="8">
        <v>928</v>
      </c>
      <c r="D63" s="2" t="s">
        <v>1070</v>
      </c>
      <c r="F63" s="911"/>
    </row>
    <row r="64" spans="1:8">
      <c r="A64" s="1">
        <v>190</v>
      </c>
      <c r="B64" s="8" t="s">
        <v>1071</v>
      </c>
      <c r="D64" s="2" t="s">
        <v>1072</v>
      </c>
      <c r="F64" s="911"/>
    </row>
    <row r="65" spans="1:9">
      <c r="A65" s="1">
        <v>191</v>
      </c>
      <c r="B65" s="914">
        <v>930.1</v>
      </c>
      <c r="D65" s="2" t="s">
        <v>1073</v>
      </c>
      <c r="F65" s="911">
        <v>95169</v>
      </c>
      <c r="G65" s="1249"/>
      <c r="H65" s="1249"/>
      <c r="I65" s="1249"/>
    </row>
    <row r="66" spans="1:9">
      <c r="A66" s="1">
        <v>192</v>
      </c>
      <c r="B66" s="914">
        <v>930.2</v>
      </c>
      <c r="D66" s="2" t="s">
        <v>1074</v>
      </c>
      <c r="F66" s="911">
        <v>35269</v>
      </c>
    </row>
    <row r="67" spans="1:9">
      <c r="A67" s="1">
        <v>193</v>
      </c>
      <c r="B67" s="8">
        <v>931</v>
      </c>
      <c r="D67" s="2" t="s">
        <v>1037</v>
      </c>
      <c r="F67" s="911">
        <v>244328</v>
      </c>
    </row>
    <row r="68" spans="1:9">
      <c r="A68" s="1">
        <v>194</v>
      </c>
      <c r="B68" s="914"/>
      <c r="D68" s="906" t="s">
        <v>1075</v>
      </c>
      <c r="F68" s="913">
        <f>SUM(F55:F67)</f>
        <v>12915443</v>
      </c>
    </row>
    <row r="69" spans="1:9" ht="16.3">
      <c r="A69" s="1">
        <v>195</v>
      </c>
      <c r="B69" s="866"/>
      <c r="D69" s="909" t="s">
        <v>1039</v>
      </c>
      <c r="F69" s="922"/>
    </row>
    <row r="70" spans="1:9">
      <c r="A70" s="1">
        <v>196</v>
      </c>
      <c r="B70" s="8">
        <v>935</v>
      </c>
      <c r="D70" s="2" t="s">
        <v>1248</v>
      </c>
      <c r="F70" s="915">
        <v>1901093</v>
      </c>
    </row>
    <row r="71" spans="1:9" ht="16.3" thickBot="1">
      <c r="A71" s="1">
        <v>197</v>
      </c>
      <c r="B71" s="866"/>
      <c r="D71" s="906" t="s">
        <v>1076</v>
      </c>
      <c r="F71" s="917">
        <f>F68+F70</f>
        <v>14816536</v>
      </c>
    </row>
    <row r="72" spans="1:9" ht="16.3" thickTop="1"/>
    <row r="73" spans="1:9">
      <c r="A73" s="4" t="s">
        <v>261</v>
      </c>
      <c r="B73" s="918"/>
    </row>
    <row r="74" spans="1:9">
      <c r="A74" s="1" t="s">
        <v>1077</v>
      </c>
      <c r="B74" s="918" t="s">
        <v>1078</v>
      </c>
    </row>
    <row r="75" spans="1:9">
      <c r="A75" s="1" t="s">
        <v>1079</v>
      </c>
      <c r="B75" s="918" t="s">
        <v>1055</v>
      </c>
    </row>
    <row r="76" spans="1:9">
      <c r="A76" s="1" t="s">
        <v>1080</v>
      </c>
      <c r="B76" s="918" t="s">
        <v>1081</v>
      </c>
    </row>
    <row r="77" spans="1:9">
      <c r="B77" s="918" t="s">
        <v>1201</v>
      </c>
    </row>
  </sheetData>
  <pageMargins left="0.7" right="0.7" top="0.75" bottom="0.75" header="0.3" footer="0.3"/>
  <pageSetup scale="89" orientation="portrait" r:id="rId1"/>
  <rowBreaks count="1" manualBreakCount="1">
    <brk id="45" max="5" man="1"/>
  </rowBreak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L29"/>
  <sheetViews>
    <sheetView view="pageBreakPreview" zoomScale="85" zoomScaleNormal="85" zoomScaleSheetLayoutView="85" workbookViewId="0">
      <selection activeCell="L80" sqref="L80"/>
    </sheetView>
  </sheetViews>
  <sheetFormatPr defaultColWidth="8.6328125" defaultRowHeight="15.65"/>
  <cols>
    <col min="1" max="1" width="3.1796875" style="2" customWidth="1"/>
    <col min="2" max="4" width="8.6328125" style="2"/>
    <col min="5" max="5" width="11.36328125" style="2" customWidth="1"/>
    <col min="6" max="7" width="8.6328125" style="2"/>
    <col min="8" max="8" width="16.1796875" style="2" customWidth="1"/>
    <col min="9" max="9" width="15" style="2" customWidth="1"/>
    <col min="10" max="10" width="3.6328125" style="2" customWidth="1"/>
    <col min="11" max="11" width="15.6328125" style="2" customWidth="1"/>
    <col min="12" max="12" width="8.6328125" style="2"/>
    <col min="13" max="13" width="10.1796875" style="2" bestFit="1" customWidth="1"/>
    <col min="14" max="16384" width="8.6328125" style="2"/>
  </cols>
  <sheetData>
    <row r="1" spans="1:12">
      <c r="K1" s="6" t="s">
        <v>1190</v>
      </c>
      <c r="L1" s="6"/>
    </row>
    <row r="2" spans="1:12">
      <c r="K2" s="6" t="s">
        <v>221</v>
      </c>
      <c r="L2" s="6"/>
    </row>
    <row r="3" spans="1:12">
      <c r="B3" s="902"/>
      <c r="C3" s="902"/>
      <c r="D3" s="902"/>
      <c r="K3" s="9" t="str">
        <f>'Attachment 1 - Sched 1A'!$J$3</f>
        <v>For the 12 months ended 12/31/2019</v>
      </c>
      <c r="L3" s="9"/>
    </row>
    <row r="4" spans="1:12">
      <c r="B4" s="902"/>
      <c r="C4" s="902"/>
      <c r="D4" s="902"/>
      <c r="F4" s="902" t="s">
        <v>1181</v>
      </c>
      <c r="G4" s="902"/>
      <c r="H4" s="902"/>
      <c r="L4" s="9"/>
    </row>
    <row r="5" spans="1:12">
      <c r="B5" s="902"/>
      <c r="C5" s="902"/>
      <c r="D5" s="902"/>
      <c r="F5" s="2" t="s">
        <v>1249</v>
      </c>
      <c r="L5" s="9"/>
    </row>
    <row r="6" spans="1:12">
      <c r="B6" s="902"/>
      <c r="C6" s="902"/>
      <c r="D6" s="902"/>
      <c r="L6" s="9"/>
    </row>
    <row r="7" spans="1:12" ht="34.450000000000003" customHeight="1">
      <c r="A7" s="982"/>
      <c r="B7" s="982"/>
      <c r="C7" s="982"/>
      <c r="D7" s="982"/>
      <c r="E7" s="982"/>
      <c r="F7" s="982"/>
      <c r="G7" s="982"/>
      <c r="H7" s="982"/>
      <c r="I7" s="987" t="s">
        <v>1403</v>
      </c>
      <c r="J7" s="982"/>
    </row>
    <row r="8" spans="1:12">
      <c r="A8" s="986" t="s">
        <v>1196</v>
      </c>
      <c r="B8" s="2" t="s">
        <v>1182</v>
      </c>
      <c r="F8" s="2" t="s">
        <v>1214</v>
      </c>
      <c r="I8" s="988" t="s">
        <v>1197</v>
      </c>
      <c r="K8" s="2" t="s">
        <v>1183</v>
      </c>
    </row>
    <row r="10" spans="1:12" ht="17.55">
      <c r="A10" s="2" t="s">
        <v>736</v>
      </c>
      <c r="C10" s="45" t="s">
        <v>1331</v>
      </c>
      <c r="D10" s="45"/>
      <c r="E10" s="45"/>
      <c r="F10" s="45"/>
      <c r="G10" s="45"/>
      <c r="H10" s="45"/>
      <c r="I10" s="1248">
        <v>408</v>
      </c>
    </row>
    <row r="11" spans="1:12">
      <c r="A11" s="2" t="s">
        <v>745</v>
      </c>
      <c r="C11" s="2" t="s">
        <v>1198</v>
      </c>
      <c r="I11" s="1247">
        <f>SUM(I10:I10)</f>
        <v>408</v>
      </c>
    </row>
    <row r="12" spans="1:12">
      <c r="I12" s="3"/>
    </row>
    <row r="13" spans="1:12">
      <c r="A13" s="986" t="s">
        <v>739</v>
      </c>
      <c r="B13" s="2" t="s">
        <v>1184</v>
      </c>
      <c r="F13" s="2" t="s">
        <v>1185</v>
      </c>
      <c r="I13" s="3"/>
      <c r="K13" s="2" t="s">
        <v>1186</v>
      </c>
    </row>
    <row r="14" spans="1:12">
      <c r="I14" s="3"/>
    </row>
    <row r="15" spans="1:12">
      <c r="A15" s="2" t="s">
        <v>640</v>
      </c>
      <c r="C15" s="997" t="s">
        <v>1244</v>
      </c>
      <c r="D15" s="997"/>
      <c r="E15" s="997"/>
      <c r="F15" s="997"/>
      <c r="G15" s="997"/>
      <c r="H15" s="997"/>
      <c r="I15" s="1246">
        <v>1998563</v>
      </c>
    </row>
    <row r="16" spans="1:12" ht="17.55">
      <c r="A16" s="2" t="s">
        <v>641</v>
      </c>
      <c r="C16" s="997" t="s">
        <v>1245</v>
      </c>
      <c r="D16" s="997"/>
      <c r="E16" s="997"/>
      <c r="F16" s="997"/>
      <c r="G16" s="997"/>
      <c r="H16" s="997"/>
      <c r="I16" s="1248">
        <v>1762524</v>
      </c>
    </row>
    <row r="17" spans="1:11">
      <c r="A17" s="2" t="s">
        <v>746</v>
      </c>
      <c r="C17" s="2" t="s">
        <v>1199</v>
      </c>
      <c r="I17" s="1247">
        <f>SUM(I15:I16)</f>
        <v>3761087</v>
      </c>
    </row>
    <row r="18" spans="1:11">
      <c r="I18" s="3"/>
    </row>
    <row r="19" spans="1:11">
      <c r="A19" s="986" t="s">
        <v>245</v>
      </c>
      <c r="B19" s="2" t="s">
        <v>1187</v>
      </c>
      <c r="F19" s="2" t="s">
        <v>1246</v>
      </c>
      <c r="I19" s="3"/>
      <c r="K19" s="2" t="s">
        <v>1188</v>
      </c>
    </row>
    <row r="20" spans="1:11">
      <c r="I20" s="3"/>
    </row>
    <row r="21" spans="1:11">
      <c r="A21" s="2" t="s">
        <v>840</v>
      </c>
      <c r="C21" s="997" t="s">
        <v>1257</v>
      </c>
      <c r="D21" s="997"/>
      <c r="E21" s="997"/>
      <c r="F21" s="997"/>
      <c r="G21" s="997"/>
      <c r="H21" s="997"/>
      <c r="I21" s="1246">
        <v>1174414</v>
      </c>
      <c r="K21" s="3"/>
    </row>
    <row r="22" spans="1:11" ht="17.55">
      <c r="A22" s="2" t="s">
        <v>740</v>
      </c>
      <c r="C22" s="997" t="s">
        <v>1372</v>
      </c>
      <c r="D22" s="997"/>
      <c r="E22" s="997"/>
      <c r="F22" s="997"/>
      <c r="G22" s="997"/>
      <c r="H22" s="997"/>
      <c r="I22" s="1248">
        <v>266000</v>
      </c>
      <c r="K22" s="3"/>
    </row>
    <row r="23" spans="1:11">
      <c r="A23" s="2" t="s">
        <v>747</v>
      </c>
      <c r="C23" s="2" t="s">
        <v>1200</v>
      </c>
      <c r="I23" s="1247">
        <f>SUM(I21:I22)</f>
        <v>1440414</v>
      </c>
      <c r="K23" s="3"/>
    </row>
    <row r="29" spans="1:11">
      <c r="B29" s="2" t="s">
        <v>1189</v>
      </c>
    </row>
  </sheetData>
  <pageMargins left="0.7" right="0.7" top="0.75" bottom="0.75" header="0.3" footer="0.3"/>
  <pageSetup scale="66"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1"/>
  <dimension ref="A1:L69"/>
  <sheetViews>
    <sheetView view="pageBreakPreview" topLeftCell="A16" zoomScale="70" zoomScaleNormal="85" zoomScaleSheetLayoutView="70" workbookViewId="0">
      <selection activeCell="L80" sqref="L80"/>
    </sheetView>
  </sheetViews>
  <sheetFormatPr defaultColWidth="8.90625" defaultRowHeight="20.05" customHeight="1"/>
  <cols>
    <col min="1" max="1" width="2.81640625" style="52" customWidth="1"/>
    <col min="2" max="2" width="10.81640625" style="46" customWidth="1"/>
    <col min="3" max="3" width="8.90625" style="46"/>
    <col min="4" max="4" width="2.81640625" style="46" customWidth="1"/>
    <col min="5" max="5" width="12.81640625" style="52" customWidth="1"/>
    <col min="6" max="6" width="15.54296875" style="52" bestFit="1" customWidth="1"/>
    <col min="7" max="8" width="12.81640625" style="52" customWidth="1"/>
    <col min="9" max="10" width="15" style="52" bestFit="1" customWidth="1"/>
    <col min="11" max="11" width="5.81640625" style="52" customWidth="1"/>
    <col min="12" max="12" width="15.08984375" style="46" bestFit="1" customWidth="1"/>
    <col min="13" max="13" width="15.453125" style="46" customWidth="1"/>
    <col min="14" max="14" width="13.54296875" style="46" bestFit="1" customWidth="1"/>
    <col min="15" max="16384" width="8.90625" style="46"/>
  </cols>
  <sheetData>
    <row r="1" spans="1:12" ht="20.05" customHeight="1">
      <c r="A1" s="808"/>
      <c r="E1" s="808"/>
      <c r="F1" s="808"/>
      <c r="G1" s="808"/>
      <c r="H1" s="808"/>
      <c r="I1" s="808"/>
      <c r="J1" s="808"/>
      <c r="K1" s="808"/>
      <c r="L1" s="6" t="s">
        <v>786</v>
      </c>
    </row>
    <row r="2" spans="1:12" ht="20.05" customHeight="1">
      <c r="A2" s="808"/>
      <c r="E2" s="808"/>
      <c r="F2" s="808"/>
      <c r="G2" s="808"/>
      <c r="H2" s="808"/>
      <c r="I2" s="808"/>
      <c r="J2" s="808"/>
      <c r="K2" s="808"/>
      <c r="L2" s="6" t="s">
        <v>221</v>
      </c>
    </row>
    <row r="3" spans="1:12" ht="20.05" customHeight="1">
      <c r="A3" s="808"/>
      <c r="E3" s="808"/>
      <c r="F3" s="808"/>
      <c r="G3" s="809" t="s">
        <v>788</v>
      </c>
      <c r="H3" s="808"/>
      <c r="I3" s="808"/>
      <c r="J3" s="808"/>
      <c r="K3" s="808"/>
      <c r="L3" s="9" t="str">
        <f>'Attachment 1 - Sched 1A'!$J$3</f>
        <v>For the 12 months ended 12/31/2019</v>
      </c>
    </row>
    <row r="4" spans="1:12" ht="20.05" customHeight="1">
      <c r="A4" s="55"/>
    </row>
    <row r="5" spans="1:12" ht="20.05" customHeight="1">
      <c r="A5" s="61"/>
      <c r="B5" s="135"/>
      <c r="C5" s="135"/>
      <c r="D5" s="135"/>
      <c r="E5" s="810" t="s">
        <v>718</v>
      </c>
      <c r="F5" s="810" t="s">
        <v>719</v>
      </c>
      <c r="G5" s="810" t="s">
        <v>720</v>
      </c>
      <c r="H5" s="810" t="s">
        <v>721</v>
      </c>
      <c r="I5" s="810" t="s">
        <v>722</v>
      </c>
      <c r="J5" s="810" t="s">
        <v>723</v>
      </c>
      <c r="K5" s="811"/>
      <c r="L5" s="810" t="s">
        <v>724</v>
      </c>
    </row>
    <row r="6" spans="1:12" ht="20.05" customHeight="1">
      <c r="A6" s="61"/>
      <c r="B6" s="135"/>
      <c r="C6" s="135"/>
      <c r="D6" s="135"/>
      <c r="E6" s="62" t="s">
        <v>251</v>
      </c>
      <c r="F6" s="62" t="s">
        <v>28</v>
      </c>
      <c r="G6" s="62" t="s">
        <v>252</v>
      </c>
      <c r="H6" s="62" t="s">
        <v>254</v>
      </c>
      <c r="I6" s="62" t="s">
        <v>253</v>
      </c>
      <c r="J6" s="62" t="s">
        <v>255</v>
      </c>
      <c r="K6" s="135"/>
      <c r="L6" s="62" t="s">
        <v>10</v>
      </c>
    </row>
    <row r="7" spans="1:12" ht="20.05" customHeight="1">
      <c r="A7" s="61"/>
      <c r="B7" s="135"/>
      <c r="C7" s="135"/>
      <c r="D7" s="850"/>
      <c r="E7" s="323"/>
      <c r="F7" s="323"/>
      <c r="G7" s="323"/>
      <c r="H7" s="323"/>
      <c r="I7" s="323"/>
      <c r="J7" s="279"/>
      <c r="K7" s="135"/>
      <c r="L7" s="135"/>
    </row>
    <row r="8" spans="1:12" ht="20.05" customHeight="1">
      <c r="A8" s="279">
        <v>1</v>
      </c>
      <c r="B8" s="135" t="s">
        <v>234</v>
      </c>
      <c r="C8" s="49">
        <v>2018</v>
      </c>
      <c r="D8" s="135"/>
      <c r="E8" s="129">
        <f t="shared" ref="E8:J8" si="0">E27-E48</f>
        <v>0</v>
      </c>
      <c r="F8" s="129">
        <f t="shared" si="0"/>
        <v>1426897299.9400001</v>
      </c>
      <c r="G8" s="129">
        <f t="shared" si="0"/>
        <v>0</v>
      </c>
      <c r="H8" s="129">
        <f t="shared" si="0"/>
        <v>16674358.52</v>
      </c>
      <c r="I8" s="129">
        <f t="shared" si="0"/>
        <v>26562925.769999996</v>
      </c>
      <c r="J8" s="129">
        <f t="shared" si="0"/>
        <v>0</v>
      </c>
      <c r="K8" s="852"/>
      <c r="L8" s="852">
        <f t="shared" ref="L8:L20" si="1">SUM(E8:J8)</f>
        <v>1470134584.23</v>
      </c>
    </row>
    <row r="9" spans="1:12" ht="20.05" customHeight="1">
      <c r="A9" s="279">
        <v>2</v>
      </c>
      <c r="B9" s="135" t="s">
        <v>235</v>
      </c>
      <c r="C9" s="122">
        <f>C8+1</f>
        <v>2019</v>
      </c>
      <c r="D9" s="135"/>
      <c r="E9" s="129">
        <f t="shared" ref="E9:E20" si="2">E28-E49</f>
        <v>0</v>
      </c>
      <c r="F9" s="129">
        <f t="shared" ref="F9:J20" si="3">F28-F49</f>
        <v>1429037109.51</v>
      </c>
      <c r="G9" s="129">
        <f t="shared" si="3"/>
        <v>0</v>
      </c>
      <c r="H9" s="129">
        <f t="shared" si="3"/>
        <v>16723295.009999994</v>
      </c>
      <c r="I9" s="129">
        <f t="shared" si="3"/>
        <v>27823533.169999994</v>
      </c>
      <c r="J9" s="129">
        <f t="shared" si="3"/>
        <v>0</v>
      </c>
      <c r="K9" s="852"/>
      <c r="L9" s="852">
        <f t="shared" si="1"/>
        <v>1473583937.6900001</v>
      </c>
    </row>
    <row r="10" spans="1:12" ht="20.05" customHeight="1">
      <c r="A10" s="279">
        <v>3</v>
      </c>
      <c r="B10" s="135" t="s">
        <v>236</v>
      </c>
      <c r="C10" s="122">
        <f>C9</f>
        <v>2019</v>
      </c>
      <c r="D10" s="135"/>
      <c r="E10" s="129">
        <f t="shared" si="2"/>
        <v>0</v>
      </c>
      <c r="F10" s="129">
        <f t="shared" si="3"/>
        <v>1442818909.3099999</v>
      </c>
      <c r="G10" s="129">
        <f t="shared" si="3"/>
        <v>0</v>
      </c>
      <c r="H10" s="129">
        <f t="shared" si="3"/>
        <v>17191531.449999996</v>
      </c>
      <c r="I10" s="129">
        <f t="shared" si="3"/>
        <v>27922011.099999994</v>
      </c>
      <c r="J10" s="129">
        <f t="shared" si="3"/>
        <v>0</v>
      </c>
      <c r="K10" s="852"/>
      <c r="L10" s="852">
        <f t="shared" si="1"/>
        <v>1487932451.8599999</v>
      </c>
    </row>
    <row r="11" spans="1:12" ht="20.05" customHeight="1">
      <c r="A11" s="279">
        <v>4</v>
      </c>
      <c r="B11" s="135" t="s">
        <v>237</v>
      </c>
      <c r="C11" s="122">
        <f t="shared" ref="C11:C20" si="4">C10</f>
        <v>2019</v>
      </c>
      <c r="D11" s="135"/>
      <c r="E11" s="129">
        <f t="shared" si="2"/>
        <v>0</v>
      </c>
      <c r="F11" s="129">
        <f t="shared" si="3"/>
        <v>1527590836.9399998</v>
      </c>
      <c r="G11" s="129">
        <f t="shared" si="3"/>
        <v>0</v>
      </c>
      <c r="H11" s="129">
        <f t="shared" si="3"/>
        <v>17437360.049999997</v>
      </c>
      <c r="I11" s="129">
        <f t="shared" si="3"/>
        <v>28878618.189999994</v>
      </c>
      <c r="J11" s="129">
        <f t="shared" si="3"/>
        <v>0</v>
      </c>
      <c r="K11" s="852"/>
      <c r="L11" s="852">
        <f t="shared" si="1"/>
        <v>1573906815.1799998</v>
      </c>
    </row>
    <row r="12" spans="1:12" ht="20.05" customHeight="1">
      <c r="A12" s="279">
        <v>5</v>
      </c>
      <c r="B12" s="135" t="s">
        <v>238</v>
      </c>
      <c r="C12" s="122">
        <f t="shared" si="4"/>
        <v>2019</v>
      </c>
      <c r="D12" s="135"/>
      <c r="E12" s="129">
        <f t="shared" si="2"/>
        <v>0</v>
      </c>
      <c r="F12" s="129">
        <f t="shared" si="3"/>
        <v>1537171327.5699999</v>
      </c>
      <c r="G12" s="129">
        <f t="shared" si="3"/>
        <v>0</v>
      </c>
      <c r="H12" s="129">
        <f t="shared" si="3"/>
        <v>17635998.199999996</v>
      </c>
      <c r="I12" s="129">
        <f t="shared" si="3"/>
        <v>28807760.609999996</v>
      </c>
      <c r="J12" s="129">
        <f t="shared" si="3"/>
        <v>0</v>
      </c>
      <c r="K12" s="852"/>
      <c r="L12" s="852">
        <f t="shared" si="1"/>
        <v>1583615086.3799999</v>
      </c>
    </row>
    <row r="13" spans="1:12" ht="20.05" customHeight="1">
      <c r="A13" s="279">
        <v>6</v>
      </c>
      <c r="B13" s="135" t="s">
        <v>239</v>
      </c>
      <c r="C13" s="122">
        <f t="shared" si="4"/>
        <v>2019</v>
      </c>
      <c r="D13" s="135"/>
      <c r="E13" s="129">
        <f t="shared" si="2"/>
        <v>0</v>
      </c>
      <c r="F13" s="129">
        <f t="shared" si="3"/>
        <v>1581088764.74</v>
      </c>
      <c r="G13" s="129">
        <f t="shared" si="3"/>
        <v>0</v>
      </c>
      <c r="H13" s="129">
        <f t="shared" si="3"/>
        <v>17956251.229999997</v>
      </c>
      <c r="I13" s="129">
        <f t="shared" si="3"/>
        <v>30082861.729999993</v>
      </c>
      <c r="J13" s="129">
        <f t="shared" si="3"/>
        <v>0</v>
      </c>
      <c r="K13" s="852"/>
      <c r="L13" s="852">
        <f t="shared" si="1"/>
        <v>1629127877.7</v>
      </c>
    </row>
    <row r="14" spans="1:12" ht="20.05" customHeight="1">
      <c r="A14" s="279">
        <v>7</v>
      </c>
      <c r="B14" s="135" t="s">
        <v>250</v>
      </c>
      <c r="C14" s="122">
        <f t="shared" si="4"/>
        <v>2019</v>
      </c>
      <c r="D14" s="135"/>
      <c r="E14" s="129">
        <f t="shared" si="2"/>
        <v>0</v>
      </c>
      <c r="F14" s="129">
        <f t="shared" si="3"/>
        <v>1613368401.4799998</v>
      </c>
      <c r="G14" s="129">
        <f t="shared" si="3"/>
        <v>0</v>
      </c>
      <c r="H14" s="129">
        <f t="shared" si="3"/>
        <v>18030337.309999995</v>
      </c>
      <c r="I14" s="129">
        <f t="shared" si="3"/>
        <v>30541266.759999994</v>
      </c>
      <c r="J14" s="129">
        <f t="shared" si="3"/>
        <v>0</v>
      </c>
      <c r="K14" s="852"/>
      <c r="L14" s="852">
        <f t="shared" si="1"/>
        <v>1661940005.5499997</v>
      </c>
    </row>
    <row r="15" spans="1:12" ht="20.05" customHeight="1">
      <c r="A15" s="279">
        <v>8</v>
      </c>
      <c r="B15" s="135" t="s">
        <v>240</v>
      </c>
      <c r="C15" s="122">
        <f t="shared" si="4"/>
        <v>2019</v>
      </c>
      <c r="D15" s="135"/>
      <c r="E15" s="129">
        <f t="shared" si="2"/>
        <v>0</v>
      </c>
      <c r="F15" s="129">
        <f t="shared" si="3"/>
        <v>1626810149.8099999</v>
      </c>
      <c r="G15" s="129">
        <f t="shared" si="3"/>
        <v>0</v>
      </c>
      <c r="H15" s="129">
        <f t="shared" si="3"/>
        <v>18190016.819999997</v>
      </c>
      <c r="I15" s="129">
        <f t="shared" si="3"/>
        <v>37950486.75999999</v>
      </c>
      <c r="J15" s="129">
        <f t="shared" si="3"/>
        <v>0</v>
      </c>
      <c r="K15" s="852"/>
      <c r="L15" s="852">
        <f t="shared" si="1"/>
        <v>1682950653.3899999</v>
      </c>
    </row>
    <row r="16" spans="1:12" ht="20.05" customHeight="1">
      <c r="A16" s="279">
        <v>9</v>
      </c>
      <c r="B16" s="135" t="s">
        <v>241</v>
      </c>
      <c r="C16" s="122">
        <f t="shared" si="4"/>
        <v>2019</v>
      </c>
      <c r="D16" s="135"/>
      <c r="E16" s="129">
        <f t="shared" si="2"/>
        <v>0</v>
      </c>
      <c r="F16" s="129">
        <f t="shared" si="3"/>
        <v>1648520966.3099999</v>
      </c>
      <c r="G16" s="129">
        <f t="shared" si="3"/>
        <v>0</v>
      </c>
      <c r="H16" s="129">
        <f t="shared" si="3"/>
        <v>18290526.439999998</v>
      </c>
      <c r="I16" s="129">
        <f t="shared" si="3"/>
        <v>39717325.459999993</v>
      </c>
      <c r="J16" s="129">
        <f t="shared" si="3"/>
        <v>0</v>
      </c>
      <c r="K16" s="852"/>
      <c r="L16" s="852">
        <f t="shared" si="1"/>
        <v>1706528818.21</v>
      </c>
    </row>
    <row r="17" spans="1:12" ht="20.05" customHeight="1">
      <c r="A17" s="279">
        <v>10</v>
      </c>
      <c r="B17" s="135" t="s">
        <v>242</v>
      </c>
      <c r="C17" s="122">
        <f t="shared" si="4"/>
        <v>2019</v>
      </c>
      <c r="D17" s="135"/>
      <c r="E17" s="129">
        <f t="shared" si="2"/>
        <v>0</v>
      </c>
      <c r="F17" s="129">
        <f t="shared" si="3"/>
        <v>1659552153.2199998</v>
      </c>
      <c r="G17" s="129">
        <f t="shared" si="3"/>
        <v>0</v>
      </c>
      <c r="H17" s="129">
        <f t="shared" si="3"/>
        <v>19042164.009999998</v>
      </c>
      <c r="I17" s="129">
        <f t="shared" si="3"/>
        <v>54670255.519999996</v>
      </c>
      <c r="J17" s="129">
        <f t="shared" si="3"/>
        <v>0</v>
      </c>
      <c r="K17" s="852"/>
      <c r="L17" s="852">
        <f t="shared" si="1"/>
        <v>1733264572.7499998</v>
      </c>
    </row>
    <row r="18" spans="1:12" ht="20.05" customHeight="1">
      <c r="A18" s="279">
        <v>11</v>
      </c>
      <c r="B18" s="135" t="s">
        <v>244</v>
      </c>
      <c r="C18" s="122">
        <f t="shared" si="4"/>
        <v>2019</v>
      </c>
      <c r="D18" s="135"/>
      <c r="E18" s="129">
        <f t="shared" si="2"/>
        <v>0</v>
      </c>
      <c r="F18" s="129">
        <f t="shared" si="3"/>
        <v>1671062123.0899999</v>
      </c>
      <c r="G18" s="129">
        <f t="shared" si="3"/>
        <v>0</v>
      </c>
      <c r="H18" s="129">
        <f t="shared" si="3"/>
        <v>19221952.469999999</v>
      </c>
      <c r="I18" s="129">
        <f t="shared" si="3"/>
        <v>55567692.019999996</v>
      </c>
      <c r="J18" s="129">
        <f t="shared" si="3"/>
        <v>0</v>
      </c>
      <c r="K18" s="852"/>
      <c r="L18" s="852">
        <f t="shared" si="1"/>
        <v>1745851767.5799999</v>
      </c>
    </row>
    <row r="19" spans="1:12" ht="20.05" customHeight="1">
      <c r="A19" s="279">
        <v>12</v>
      </c>
      <c r="B19" s="135" t="s">
        <v>243</v>
      </c>
      <c r="C19" s="122">
        <f t="shared" si="4"/>
        <v>2019</v>
      </c>
      <c r="D19" s="135"/>
      <c r="E19" s="129">
        <f t="shared" si="2"/>
        <v>0</v>
      </c>
      <c r="F19" s="129">
        <f t="shared" si="3"/>
        <v>1686576578.73</v>
      </c>
      <c r="G19" s="129">
        <f t="shared" si="3"/>
        <v>0</v>
      </c>
      <c r="H19" s="129">
        <f t="shared" si="3"/>
        <v>19312720.759999998</v>
      </c>
      <c r="I19" s="129">
        <f t="shared" si="3"/>
        <v>56332165.659999996</v>
      </c>
      <c r="J19" s="129">
        <f t="shared" si="3"/>
        <v>0</v>
      </c>
      <c r="K19" s="852"/>
      <c r="L19" s="852">
        <f t="shared" si="1"/>
        <v>1762221465.1500001</v>
      </c>
    </row>
    <row r="20" spans="1:12" ht="20.05" customHeight="1">
      <c r="A20" s="279">
        <v>13</v>
      </c>
      <c r="B20" s="135" t="s">
        <v>234</v>
      </c>
      <c r="C20" s="122">
        <f t="shared" si="4"/>
        <v>2019</v>
      </c>
      <c r="D20" s="135"/>
      <c r="E20" s="129">
        <f t="shared" si="2"/>
        <v>0</v>
      </c>
      <c r="F20" s="129">
        <f t="shared" si="3"/>
        <v>1748514164.0499995</v>
      </c>
      <c r="G20" s="129">
        <f t="shared" si="3"/>
        <v>0</v>
      </c>
      <c r="H20" s="129">
        <f t="shared" si="3"/>
        <v>34200858.219999999</v>
      </c>
      <c r="I20" s="129">
        <f t="shared" si="3"/>
        <v>60203719.869999997</v>
      </c>
      <c r="J20" s="129">
        <f t="shared" si="3"/>
        <v>0</v>
      </c>
      <c r="K20" s="852"/>
      <c r="L20" s="852">
        <f t="shared" si="1"/>
        <v>1842918742.1399994</v>
      </c>
    </row>
    <row r="21" spans="1:12" ht="20.05" customHeight="1">
      <c r="A21" s="61"/>
      <c r="B21" s="135"/>
      <c r="C21" s="135"/>
      <c r="D21" s="135"/>
      <c r="E21" s="129"/>
      <c r="F21" s="129"/>
      <c r="G21" s="129"/>
      <c r="H21" s="129"/>
      <c r="I21" s="129"/>
      <c r="J21" s="129"/>
      <c r="K21" s="852"/>
      <c r="L21" s="852"/>
    </row>
    <row r="22" spans="1:12" s="57" customFormat="1" ht="20.05" customHeight="1">
      <c r="A22" s="280">
        <v>14</v>
      </c>
      <c r="B22" s="853" t="s">
        <v>259</v>
      </c>
      <c r="C22" s="853"/>
      <c r="D22" s="854" t="s">
        <v>897</v>
      </c>
      <c r="E22" s="855">
        <f t="shared" ref="E22:J22" si="5">SUM(E8:E20)/13</f>
        <v>0</v>
      </c>
      <c r="F22" s="1271">
        <f t="shared" si="5"/>
        <v>1584539137.284615</v>
      </c>
      <c r="G22" s="855">
        <f t="shared" si="5"/>
        <v>0</v>
      </c>
      <c r="H22" s="1271">
        <f t="shared" si="5"/>
        <v>19223643.883846149</v>
      </c>
      <c r="I22" s="1271">
        <f t="shared" si="5"/>
        <v>38850817.124615379</v>
      </c>
      <c r="J22" s="855">
        <f t="shared" si="5"/>
        <v>0</v>
      </c>
      <c r="K22" s="855"/>
      <c r="L22" s="1271">
        <f>SUM(L8:L20)/13</f>
        <v>1642613598.2930768</v>
      </c>
    </row>
    <row r="23" spans="1:12" ht="20.05" customHeight="1">
      <c r="C23" s="135"/>
    </row>
    <row r="24" spans="1:12" ht="20.05" customHeight="1">
      <c r="E24" s="54" t="s">
        <v>251</v>
      </c>
      <c r="F24" s="54" t="s">
        <v>28</v>
      </c>
      <c r="G24" s="54" t="s">
        <v>252</v>
      </c>
      <c r="H24" s="54" t="s">
        <v>254</v>
      </c>
      <c r="I24" s="54" t="s">
        <v>253</v>
      </c>
      <c r="J24" s="54" t="s">
        <v>255</v>
      </c>
      <c r="K24" s="46"/>
      <c r="L24" s="54" t="s">
        <v>10</v>
      </c>
    </row>
    <row r="25" spans="1:12" ht="20.05" customHeight="1">
      <c r="E25" s="54"/>
      <c r="F25" s="54"/>
      <c r="G25" s="54"/>
      <c r="H25" s="54"/>
      <c r="I25" s="54"/>
      <c r="J25" s="54"/>
      <c r="K25" s="46"/>
    </row>
    <row r="26" spans="1:12" ht="20.05" customHeight="1">
      <c r="D26" s="50" t="s">
        <v>274</v>
      </c>
      <c r="E26" s="53" t="s">
        <v>152</v>
      </c>
      <c r="F26" s="53" t="s">
        <v>256</v>
      </c>
      <c r="G26" s="53" t="s">
        <v>153</v>
      </c>
      <c r="H26" s="53" t="s">
        <v>257</v>
      </c>
      <c r="I26" s="53" t="s">
        <v>258</v>
      </c>
      <c r="J26" s="56">
        <v>356.1</v>
      </c>
      <c r="K26" s="46"/>
    </row>
    <row r="27" spans="1:12" ht="20.05" customHeight="1">
      <c r="A27" s="56">
        <v>15</v>
      </c>
      <c r="B27" s="46" t="s">
        <v>234</v>
      </c>
      <c r="C27" s="122">
        <f>C8</f>
        <v>2018</v>
      </c>
      <c r="E27" s="123"/>
      <c r="F27" s="123">
        <v>1426908954.4000001</v>
      </c>
      <c r="G27" s="123"/>
      <c r="H27" s="123">
        <v>16674358.52</v>
      </c>
      <c r="I27" s="123">
        <v>26562925.769999996</v>
      </c>
      <c r="J27" s="123"/>
      <c r="K27" s="124"/>
      <c r="L27" s="124">
        <f t="shared" ref="L27:L39" si="6">SUM(E27:J27)</f>
        <v>1470146238.6900001</v>
      </c>
    </row>
    <row r="28" spans="1:12" ht="20.05" customHeight="1">
      <c r="A28" s="56">
        <v>16</v>
      </c>
      <c r="B28" s="46" t="s">
        <v>235</v>
      </c>
      <c r="C28" s="48">
        <f>C27+1</f>
        <v>2019</v>
      </c>
      <c r="E28" s="123"/>
      <c r="F28" s="123">
        <v>1429048763.97</v>
      </c>
      <c r="G28" s="123"/>
      <c r="H28" s="123">
        <v>16723295.009999994</v>
      </c>
      <c r="I28" s="123">
        <v>27823533.169999994</v>
      </c>
      <c r="J28" s="123"/>
      <c r="K28" s="124"/>
      <c r="L28" s="124">
        <f t="shared" si="6"/>
        <v>1473595592.1500001</v>
      </c>
    </row>
    <row r="29" spans="1:12" ht="20.05" customHeight="1">
      <c r="A29" s="56">
        <v>17</v>
      </c>
      <c r="B29" s="46" t="s">
        <v>236</v>
      </c>
      <c r="C29" s="48">
        <f>C28</f>
        <v>2019</v>
      </c>
      <c r="E29" s="123"/>
      <c r="F29" s="123">
        <v>1442830563.77</v>
      </c>
      <c r="G29" s="123"/>
      <c r="H29" s="123">
        <v>17191531.449999996</v>
      </c>
      <c r="I29" s="123">
        <v>27922011.099999994</v>
      </c>
      <c r="J29" s="123"/>
      <c r="K29" s="124"/>
      <c r="L29" s="124">
        <f t="shared" si="6"/>
        <v>1487944106.3199999</v>
      </c>
    </row>
    <row r="30" spans="1:12" ht="20.05" customHeight="1">
      <c r="A30" s="56">
        <v>18</v>
      </c>
      <c r="B30" s="46" t="s">
        <v>237</v>
      </c>
      <c r="C30" s="48">
        <f t="shared" ref="C30:C39" si="7">C29</f>
        <v>2019</v>
      </c>
      <c r="E30" s="123"/>
      <c r="F30" s="123">
        <v>1527602491.3999999</v>
      </c>
      <c r="G30" s="123"/>
      <c r="H30" s="123">
        <v>17437360.049999997</v>
      </c>
      <c r="I30" s="123">
        <v>28878618.189999994</v>
      </c>
      <c r="J30" s="123"/>
      <c r="K30" s="124"/>
      <c r="L30" s="124">
        <f t="shared" si="6"/>
        <v>1573918469.6399999</v>
      </c>
    </row>
    <row r="31" spans="1:12" ht="20.05" customHeight="1">
      <c r="A31" s="56">
        <v>19</v>
      </c>
      <c r="B31" s="46" t="s">
        <v>238</v>
      </c>
      <c r="C31" s="48">
        <f t="shared" si="7"/>
        <v>2019</v>
      </c>
      <c r="E31" s="123"/>
      <c r="F31" s="123">
        <v>1537182982.03</v>
      </c>
      <c r="G31" s="123"/>
      <c r="H31" s="123">
        <v>17635998.199999996</v>
      </c>
      <c r="I31" s="123">
        <v>28807760.609999996</v>
      </c>
      <c r="J31" s="123"/>
      <c r="K31" s="124"/>
      <c r="L31" s="124">
        <f t="shared" si="6"/>
        <v>1583626740.8399999</v>
      </c>
    </row>
    <row r="32" spans="1:12" ht="20.05" customHeight="1">
      <c r="A32" s="56">
        <v>20</v>
      </c>
      <c r="B32" s="46" t="s">
        <v>239</v>
      </c>
      <c r="C32" s="48">
        <f t="shared" si="7"/>
        <v>2019</v>
      </c>
      <c r="E32" s="123"/>
      <c r="F32" s="123">
        <v>1581100419.2</v>
      </c>
      <c r="G32" s="123"/>
      <c r="H32" s="123">
        <v>17956251.229999997</v>
      </c>
      <c r="I32" s="123">
        <v>30082861.729999993</v>
      </c>
      <c r="J32" s="123"/>
      <c r="K32" s="124"/>
      <c r="L32" s="124">
        <f t="shared" si="6"/>
        <v>1629139532.1600001</v>
      </c>
    </row>
    <row r="33" spans="1:12" ht="20.05" customHeight="1">
      <c r="A33" s="56">
        <v>21</v>
      </c>
      <c r="B33" s="46" t="s">
        <v>250</v>
      </c>
      <c r="C33" s="48">
        <f t="shared" si="7"/>
        <v>2019</v>
      </c>
      <c r="E33" s="123"/>
      <c r="F33" s="123">
        <v>1613380055.9399998</v>
      </c>
      <c r="G33" s="123"/>
      <c r="H33" s="123">
        <v>18030337.309999995</v>
      </c>
      <c r="I33" s="123">
        <v>30541266.759999994</v>
      </c>
      <c r="J33" s="123"/>
      <c r="K33" s="124"/>
      <c r="L33" s="124">
        <f t="shared" si="6"/>
        <v>1661951660.0099998</v>
      </c>
    </row>
    <row r="34" spans="1:12" ht="20.05" customHeight="1">
      <c r="A34" s="56">
        <v>22</v>
      </c>
      <c r="B34" s="46" t="s">
        <v>240</v>
      </c>
      <c r="C34" s="48">
        <f t="shared" si="7"/>
        <v>2019</v>
      </c>
      <c r="E34" s="123"/>
      <c r="F34" s="123">
        <v>1626821804.27</v>
      </c>
      <c r="G34" s="123"/>
      <c r="H34" s="123">
        <v>18190016.819999997</v>
      </c>
      <c r="I34" s="123">
        <v>37950486.75999999</v>
      </c>
      <c r="J34" s="123"/>
      <c r="K34" s="124"/>
      <c r="L34" s="124">
        <f t="shared" si="6"/>
        <v>1682962307.8499999</v>
      </c>
    </row>
    <row r="35" spans="1:12" ht="20.05" customHeight="1">
      <c r="A35" s="56">
        <v>23</v>
      </c>
      <c r="B35" s="46" t="s">
        <v>241</v>
      </c>
      <c r="C35" s="48">
        <f t="shared" si="7"/>
        <v>2019</v>
      </c>
      <c r="E35" s="123"/>
      <c r="F35" s="123">
        <v>1648532620.77</v>
      </c>
      <c r="G35" s="123"/>
      <c r="H35" s="123">
        <v>18290526.439999998</v>
      </c>
      <c r="I35" s="123">
        <v>39717325.459999993</v>
      </c>
      <c r="J35" s="123"/>
      <c r="K35" s="124"/>
      <c r="L35" s="124">
        <f t="shared" si="6"/>
        <v>1706540472.6700001</v>
      </c>
    </row>
    <row r="36" spans="1:12" ht="20.05" customHeight="1">
      <c r="A36" s="56">
        <v>24</v>
      </c>
      <c r="B36" s="46" t="s">
        <v>242</v>
      </c>
      <c r="C36" s="48">
        <f t="shared" si="7"/>
        <v>2019</v>
      </c>
      <c r="E36" s="123"/>
      <c r="F36" s="123">
        <v>1659563807.6799998</v>
      </c>
      <c r="G36" s="123"/>
      <c r="H36" s="123">
        <v>19042164.009999998</v>
      </c>
      <c r="I36" s="123">
        <v>54670255.519999996</v>
      </c>
      <c r="J36" s="123"/>
      <c r="K36" s="124"/>
      <c r="L36" s="124">
        <f t="shared" si="6"/>
        <v>1733276227.2099998</v>
      </c>
    </row>
    <row r="37" spans="1:12" ht="20.05" customHeight="1">
      <c r="A37" s="56">
        <v>25</v>
      </c>
      <c r="B37" s="46" t="s">
        <v>244</v>
      </c>
      <c r="C37" s="48">
        <f t="shared" si="7"/>
        <v>2019</v>
      </c>
      <c r="E37" s="123"/>
      <c r="F37" s="123">
        <v>1671073777.55</v>
      </c>
      <c r="G37" s="123"/>
      <c r="H37" s="123">
        <v>19221952.469999999</v>
      </c>
      <c r="I37" s="123">
        <v>55567692.019999996</v>
      </c>
      <c r="J37" s="123"/>
      <c r="K37" s="124"/>
      <c r="L37" s="124">
        <f t="shared" si="6"/>
        <v>1745863422.04</v>
      </c>
    </row>
    <row r="38" spans="1:12" ht="20.05" customHeight="1">
      <c r="A38" s="56">
        <v>26</v>
      </c>
      <c r="B38" s="46" t="s">
        <v>243</v>
      </c>
      <c r="C38" s="48">
        <f t="shared" si="7"/>
        <v>2019</v>
      </c>
      <c r="E38" s="123"/>
      <c r="F38" s="123">
        <v>1686588233.1900001</v>
      </c>
      <c r="G38" s="123"/>
      <c r="H38" s="123">
        <v>19312720.759999998</v>
      </c>
      <c r="I38" s="123">
        <v>56332165.659999996</v>
      </c>
      <c r="J38" s="123"/>
      <c r="K38" s="124"/>
      <c r="L38" s="124">
        <f t="shared" si="6"/>
        <v>1762233119.6100001</v>
      </c>
    </row>
    <row r="39" spans="1:12" ht="20.05" customHeight="1">
      <c r="A39" s="56">
        <v>27</v>
      </c>
      <c r="B39" s="46" t="s">
        <v>234</v>
      </c>
      <c r="C39" s="48">
        <f t="shared" si="7"/>
        <v>2019</v>
      </c>
      <c r="E39" s="123"/>
      <c r="F39" s="123">
        <v>1748525818.5099995</v>
      </c>
      <c r="G39" s="123"/>
      <c r="H39" s="123">
        <v>34200858.219999999</v>
      </c>
      <c r="I39" s="123">
        <v>60203719.869999997</v>
      </c>
      <c r="J39" s="123"/>
      <c r="K39" s="124"/>
      <c r="L39" s="124">
        <f t="shared" si="6"/>
        <v>1842930396.5999994</v>
      </c>
    </row>
    <row r="40" spans="1:12" ht="20.05" customHeight="1">
      <c r="E40" s="125"/>
      <c r="F40" s="125"/>
      <c r="G40" s="125"/>
      <c r="H40" s="125"/>
      <c r="I40" s="125"/>
      <c r="J40" s="125"/>
      <c r="K40" s="124"/>
      <c r="L40" s="124"/>
    </row>
    <row r="41" spans="1:12" ht="20.05" customHeight="1">
      <c r="A41" s="56">
        <v>28</v>
      </c>
      <c r="B41" s="46" t="s">
        <v>259</v>
      </c>
      <c r="E41" s="125">
        <f t="shared" ref="E41:G41" si="8">SUM(E27:E39)/13</f>
        <v>0</v>
      </c>
      <c r="F41" s="1272">
        <f>SUM(F27:F39)/13</f>
        <v>1584550791.7446151</v>
      </c>
      <c r="G41" s="125">
        <f t="shared" si="8"/>
        <v>0</v>
      </c>
      <c r="H41" s="1272">
        <f>SUM(H27:H39)/13</f>
        <v>19223643.883846149</v>
      </c>
      <c r="I41" s="1272">
        <f>SUM(I27:I39)/13</f>
        <v>38850817.124615379</v>
      </c>
      <c r="J41" s="125">
        <f>SUM(J27:J39)/13</f>
        <v>0</v>
      </c>
      <c r="K41" s="125"/>
      <c r="L41" s="1272">
        <f>SUM(L27:L39)/13</f>
        <v>1642625252.7530768</v>
      </c>
    </row>
    <row r="44" spans="1:12" ht="20.05" customHeight="1">
      <c r="B44" s="69" t="s">
        <v>898</v>
      </c>
      <c r="C44" s="70"/>
      <c r="D44" s="70"/>
      <c r="E44" s="71"/>
      <c r="F44" s="71"/>
      <c r="G44" s="70"/>
      <c r="H44" s="825"/>
      <c r="I44" s="831"/>
      <c r="J44" s="833"/>
      <c r="K44" s="46"/>
      <c r="L44" s="1002"/>
    </row>
    <row r="45" spans="1:12" ht="20.05" customHeight="1">
      <c r="B45" s="72"/>
      <c r="C45" s="73"/>
      <c r="D45" s="73"/>
      <c r="E45" s="824" t="s">
        <v>251</v>
      </c>
      <c r="F45" s="74" t="s">
        <v>28</v>
      </c>
      <c r="G45" s="824" t="s">
        <v>252</v>
      </c>
      <c r="H45" s="824" t="s">
        <v>254</v>
      </c>
      <c r="I45" s="74" t="s">
        <v>253</v>
      </c>
      <c r="J45" s="827" t="s">
        <v>255</v>
      </c>
      <c r="K45" s="46"/>
      <c r="L45" s="1002"/>
    </row>
    <row r="46" spans="1:12" ht="20.05" customHeight="1">
      <c r="B46" s="72"/>
      <c r="C46" s="73"/>
      <c r="D46" s="73"/>
      <c r="E46" s="73"/>
      <c r="F46" s="74"/>
      <c r="G46" s="73"/>
      <c r="H46" s="46"/>
      <c r="I46" s="73"/>
      <c r="J46" s="75"/>
      <c r="K46" s="46"/>
    </row>
    <row r="47" spans="1:12" ht="20.05" customHeight="1">
      <c r="B47" s="72"/>
      <c r="C47" s="73"/>
      <c r="D47" s="76" t="s">
        <v>274</v>
      </c>
      <c r="E47" s="77" t="s">
        <v>993</v>
      </c>
      <c r="F47" s="77" t="s">
        <v>292</v>
      </c>
      <c r="G47" s="77" t="s">
        <v>992</v>
      </c>
      <c r="H47" s="77" t="s">
        <v>426</v>
      </c>
      <c r="I47" s="77" t="s">
        <v>994</v>
      </c>
      <c r="J47" s="896" t="s">
        <v>426</v>
      </c>
      <c r="K47" s="46"/>
    </row>
    <row r="48" spans="1:12" ht="20.05" customHeight="1">
      <c r="A48" s="56">
        <v>29</v>
      </c>
      <c r="B48" s="72" t="s">
        <v>234</v>
      </c>
      <c r="C48" s="596">
        <f>C8</f>
        <v>2018</v>
      </c>
      <c r="D48" s="73"/>
      <c r="E48" s="832"/>
      <c r="F48" s="1010">
        <v>11654.46</v>
      </c>
      <c r="G48" s="832"/>
      <c r="H48" s="826"/>
      <c r="I48" s="832"/>
      <c r="J48" s="828"/>
      <c r="K48" s="46"/>
    </row>
    <row r="49" spans="1:11" ht="20.05" customHeight="1">
      <c r="A49" s="56">
        <v>30</v>
      </c>
      <c r="B49" s="72" t="s">
        <v>235</v>
      </c>
      <c r="C49" s="78">
        <f>C48+1</f>
        <v>2019</v>
      </c>
      <c r="D49" s="73"/>
      <c r="E49" s="832"/>
      <c r="F49" s="1010">
        <v>11654.46</v>
      </c>
      <c r="G49" s="832"/>
      <c r="H49" s="826"/>
      <c r="I49" s="832"/>
      <c r="J49" s="828"/>
      <c r="K49" s="46"/>
    </row>
    <row r="50" spans="1:11" ht="20.05" customHeight="1">
      <c r="A50" s="56">
        <v>31</v>
      </c>
      <c r="B50" s="72" t="s">
        <v>236</v>
      </c>
      <c r="C50" s="78">
        <f>C49</f>
        <v>2019</v>
      </c>
      <c r="D50" s="73"/>
      <c r="E50" s="832"/>
      <c r="F50" s="1010">
        <v>11654.46</v>
      </c>
      <c r="G50" s="832"/>
      <c r="H50" s="826"/>
      <c r="I50" s="832"/>
      <c r="J50" s="828"/>
      <c r="K50" s="46"/>
    </row>
    <row r="51" spans="1:11" ht="20.05" customHeight="1">
      <c r="A51" s="56">
        <v>32</v>
      </c>
      <c r="B51" s="72" t="s">
        <v>237</v>
      </c>
      <c r="C51" s="78">
        <f t="shared" ref="C51:C60" si="9">C50</f>
        <v>2019</v>
      </c>
      <c r="D51" s="73"/>
      <c r="E51" s="832"/>
      <c r="F51" s="1010">
        <v>11654.46</v>
      </c>
      <c r="G51" s="832"/>
      <c r="H51" s="826"/>
      <c r="I51" s="832"/>
      <c r="J51" s="828"/>
      <c r="K51" s="46"/>
    </row>
    <row r="52" spans="1:11" ht="20.05" customHeight="1">
      <c r="A52" s="56">
        <v>33</v>
      </c>
      <c r="B52" s="72" t="s">
        <v>238</v>
      </c>
      <c r="C52" s="78">
        <f t="shared" si="9"/>
        <v>2019</v>
      </c>
      <c r="D52" s="73"/>
      <c r="E52" s="832"/>
      <c r="F52" s="1010">
        <v>11654.46</v>
      </c>
      <c r="G52" s="832"/>
      <c r="H52" s="826"/>
      <c r="I52" s="832"/>
      <c r="J52" s="828"/>
      <c r="K52" s="46"/>
    </row>
    <row r="53" spans="1:11" ht="20.05" customHeight="1">
      <c r="A53" s="56">
        <v>34</v>
      </c>
      <c r="B53" s="72" t="s">
        <v>239</v>
      </c>
      <c r="C53" s="78">
        <f t="shared" si="9"/>
        <v>2019</v>
      </c>
      <c r="D53" s="73"/>
      <c r="E53" s="832"/>
      <c r="F53" s="1010">
        <v>11654.46</v>
      </c>
      <c r="G53" s="832"/>
      <c r="H53" s="826"/>
      <c r="I53" s="832"/>
      <c r="J53" s="828"/>
      <c r="K53" s="46"/>
    </row>
    <row r="54" spans="1:11" ht="20.05" customHeight="1">
      <c r="A54" s="56">
        <v>35</v>
      </c>
      <c r="B54" s="72" t="s">
        <v>250</v>
      </c>
      <c r="C54" s="78">
        <f t="shared" si="9"/>
        <v>2019</v>
      </c>
      <c r="D54" s="73"/>
      <c r="E54" s="832"/>
      <c r="F54" s="1010">
        <v>11654.46</v>
      </c>
      <c r="G54" s="832"/>
      <c r="H54" s="826"/>
      <c r="I54" s="832"/>
      <c r="J54" s="828"/>
      <c r="K54" s="46"/>
    </row>
    <row r="55" spans="1:11" ht="20.05" customHeight="1">
      <c r="A55" s="56">
        <v>36</v>
      </c>
      <c r="B55" s="72" t="s">
        <v>240</v>
      </c>
      <c r="C55" s="78">
        <f t="shared" si="9"/>
        <v>2019</v>
      </c>
      <c r="D55" s="73"/>
      <c r="E55" s="832"/>
      <c r="F55" s="1010">
        <v>11654.46</v>
      </c>
      <c r="G55" s="832"/>
      <c r="H55" s="826"/>
      <c r="I55" s="832"/>
      <c r="J55" s="828"/>
      <c r="K55" s="46"/>
    </row>
    <row r="56" spans="1:11" ht="20.05" customHeight="1">
      <c r="A56" s="56">
        <v>37</v>
      </c>
      <c r="B56" s="72" t="s">
        <v>241</v>
      </c>
      <c r="C56" s="78">
        <f t="shared" si="9"/>
        <v>2019</v>
      </c>
      <c r="D56" s="73"/>
      <c r="E56" s="832"/>
      <c r="F56" s="1010">
        <v>11654.46</v>
      </c>
      <c r="G56" s="832"/>
      <c r="H56" s="826"/>
      <c r="I56" s="832"/>
      <c r="J56" s="828"/>
      <c r="K56" s="46"/>
    </row>
    <row r="57" spans="1:11" ht="20.05" customHeight="1">
      <c r="A57" s="56">
        <v>38</v>
      </c>
      <c r="B57" s="72" t="s">
        <v>242</v>
      </c>
      <c r="C57" s="78">
        <f t="shared" si="9"/>
        <v>2019</v>
      </c>
      <c r="D57" s="73"/>
      <c r="E57" s="832"/>
      <c r="F57" s="1010">
        <v>11654.46</v>
      </c>
      <c r="G57" s="832"/>
      <c r="H57" s="826"/>
      <c r="I57" s="832"/>
      <c r="J57" s="828"/>
      <c r="K57" s="46"/>
    </row>
    <row r="58" spans="1:11" ht="20.05" customHeight="1">
      <c r="A58" s="56">
        <v>39</v>
      </c>
      <c r="B58" s="72" t="s">
        <v>244</v>
      </c>
      <c r="C58" s="78">
        <f t="shared" si="9"/>
        <v>2019</v>
      </c>
      <c r="D58" s="73"/>
      <c r="E58" s="832"/>
      <c r="F58" s="1010">
        <v>11654.46</v>
      </c>
      <c r="G58" s="832"/>
      <c r="H58" s="826"/>
      <c r="I58" s="832"/>
      <c r="J58" s="828"/>
      <c r="K58" s="46"/>
    </row>
    <row r="59" spans="1:11" ht="20.05" customHeight="1">
      <c r="A59" s="56">
        <v>40</v>
      </c>
      <c r="B59" s="72" t="s">
        <v>243</v>
      </c>
      <c r="C59" s="78">
        <f t="shared" si="9"/>
        <v>2019</v>
      </c>
      <c r="D59" s="73"/>
      <c r="E59" s="832"/>
      <c r="F59" s="1010">
        <v>11654.46</v>
      </c>
      <c r="G59" s="832"/>
      <c r="H59" s="826"/>
      <c r="I59" s="832"/>
      <c r="J59" s="828"/>
      <c r="K59" s="46"/>
    </row>
    <row r="60" spans="1:11" ht="20.05" customHeight="1">
      <c r="A60" s="56">
        <v>41</v>
      </c>
      <c r="B60" s="72" t="s">
        <v>234</v>
      </c>
      <c r="C60" s="78">
        <f t="shared" si="9"/>
        <v>2019</v>
      </c>
      <c r="D60" s="73"/>
      <c r="E60" s="832"/>
      <c r="F60" s="1010">
        <v>11654.46</v>
      </c>
      <c r="G60" s="832"/>
      <c r="H60" s="826"/>
      <c r="I60" s="832"/>
      <c r="J60" s="828"/>
      <c r="K60" s="46"/>
    </row>
    <row r="61" spans="1:11" ht="20.05" customHeight="1">
      <c r="B61" s="72"/>
      <c r="C61" s="73"/>
      <c r="D61" s="73"/>
      <c r="E61" s="73"/>
      <c r="F61" s="126"/>
      <c r="G61" s="73"/>
      <c r="H61" s="46"/>
      <c r="I61" s="73"/>
      <c r="J61" s="75"/>
      <c r="K61" s="46"/>
    </row>
    <row r="62" spans="1:11" ht="20.05" customHeight="1">
      <c r="A62" s="56">
        <v>42</v>
      </c>
      <c r="B62" s="79" t="s">
        <v>259</v>
      </c>
      <c r="C62" s="80"/>
      <c r="D62" s="80"/>
      <c r="E62" s="80"/>
      <c r="F62" s="1273">
        <f>SUM(F48:F60)/13</f>
        <v>11654.459999999995</v>
      </c>
      <c r="G62" s="127">
        <f>SUM(G48:G60)/13</f>
        <v>0</v>
      </c>
      <c r="H62" s="127">
        <f>SUM(H48:H60)/13</f>
        <v>0</v>
      </c>
      <c r="I62" s="127">
        <f>SUM(I48:I60)/13</f>
        <v>0</v>
      </c>
      <c r="J62" s="829">
        <f>SUM(J48:J60)/13</f>
        <v>0</v>
      </c>
      <c r="K62" s="46"/>
    </row>
    <row r="64" spans="1:11" ht="20.05" customHeight="1">
      <c r="A64" s="46" t="s">
        <v>261</v>
      </c>
    </row>
    <row r="65" spans="1:12" ht="20.05" customHeight="1">
      <c r="A65" s="52" t="s">
        <v>260</v>
      </c>
      <c r="B65" s="46" t="s">
        <v>895</v>
      </c>
    </row>
    <row r="66" spans="1:12" ht="20.05" customHeight="1">
      <c r="A66" s="52" t="s">
        <v>274</v>
      </c>
      <c r="B66" s="46" t="s">
        <v>262</v>
      </c>
    </row>
    <row r="67" spans="1:12" ht="20.05" customHeight="1">
      <c r="A67" s="52" t="s">
        <v>345</v>
      </c>
      <c r="B67" s="46" t="s">
        <v>981</v>
      </c>
    </row>
    <row r="68" spans="1:12" ht="20.05" customHeight="1">
      <c r="A68" s="983" t="s">
        <v>359</v>
      </c>
      <c r="B68" s="46" t="s">
        <v>1211</v>
      </c>
    </row>
    <row r="69" spans="1:12" ht="35.25" customHeight="1">
      <c r="A69" s="1259"/>
      <c r="B69" s="1326"/>
      <c r="C69" s="1326"/>
      <c r="D69" s="1326"/>
      <c r="E69" s="1326"/>
      <c r="F69" s="1326"/>
      <c r="G69" s="1326"/>
      <c r="H69" s="1326"/>
      <c r="I69" s="1326"/>
      <c r="J69" s="1326"/>
      <c r="K69" s="1326"/>
      <c r="L69" s="1326"/>
    </row>
  </sheetData>
  <customSheetViews>
    <customSheetView guid="{E1861F40-EBD5-44AE-868B-FDE0ED504D72}" scale="85">
      <selection activeCell="E9" sqref="E9"/>
      <pageMargins left="0.7" right="0.7" top="0.75" bottom="0.75" header="0.3" footer="0.3"/>
      <pageSetup scale="55" orientation="portrait" r:id="rId1"/>
    </customSheetView>
  </customSheetViews>
  <mergeCells count="1">
    <mergeCell ref="B69:L69"/>
  </mergeCells>
  <pageMargins left="0.7" right="0.7" top="0.75" bottom="0.75" header="0.3" footer="0.3"/>
  <pageSetup scale="48" fitToWidth="0" fitToHeight="0" orientation="portrait" r:id="rId2"/>
  <headerFooter alignWithMargins="0"/>
  <colBreaks count="1" manualBreakCount="1">
    <brk id="12"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2"/>
  <dimension ref="A1:M69"/>
  <sheetViews>
    <sheetView view="pageBreakPreview" topLeftCell="A22" zoomScale="80" zoomScaleNormal="85" zoomScaleSheetLayoutView="80" workbookViewId="0">
      <selection activeCell="L80" sqref="L80"/>
    </sheetView>
  </sheetViews>
  <sheetFormatPr defaultColWidth="8.90625" defaultRowHeight="20.05" customHeight="1"/>
  <cols>
    <col min="1" max="1" width="5.81640625" style="52" bestFit="1" customWidth="1"/>
    <col min="2" max="2" width="10.81640625" style="46" customWidth="1"/>
    <col min="3" max="3" width="8.90625" style="46"/>
    <col min="4" max="4" width="2.81640625" style="46" customWidth="1"/>
    <col min="5" max="10" width="12.81640625" style="52" customWidth="1"/>
    <col min="11" max="11" width="5.81640625" style="52" customWidth="1"/>
    <col min="12" max="12" width="13.6328125" style="46" bestFit="1" customWidth="1"/>
    <col min="13" max="16384" width="8.90625" style="46"/>
  </cols>
  <sheetData>
    <row r="1" spans="1:12" ht="20.05" customHeight="1">
      <c r="A1" s="808"/>
      <c r="E1" s="808"/>
      <c r="F1" s="808"/>
      <c r="G1" s="808"/>
      <c r="H1" s="808"/>
      <c r="I1" s="808"/>
      <c r="J1" s="808"/>
      <c r="K1" s="808"/>
      <c r="L1" s="6" t="s">
        <v>789</v>
      </c>
    </row>
    <row r="2" spans="1:12" ht="20.05" customHeight="1">
      <c r="A2" s="808"/>
      <c r="E2" s="808"/>
      <c r="F2" s="808"/>
      <c r="G2" s="808"/>
      <c r="H2" s="808"/>
      <c r="I2" s="808"/>
      <c r="J2" s="808"/>
      <c r="K2" s="808"/>
      <c r="L2" s="6" t="s">
        <v>221</v>
      </c>
    </row>
    <row r="3" spans="1:12" ht="20.05" customHeight="1">
      <c r="A3" s="808"/>
      <c r="E3" s="808"/>
      <c r="F3" s="808"/>
      <c r="G3" s="809" t="s">
        <v>790</v>
      </c>
      <c r="H3" s="808"/>
      <c r="I3" s="808"/>
      <c r="J3" s="808"/>
      <c r="K3" s="808"/>
      <c r="L3" s="9" t="str">
        <f>'Attachment 1 - Sched 1A'!$J$3</f>
        <v>For the 12 months ended 12/31/2019</v>
      </c>
    </row>
    <row r="4" spans="1:12" ht="20.05" customHeight="1">
      <c r="A4" s="55"/>
    </row>
    <row r="5" spans="1:12" ht="20.05" customHeight="1">
      <c r="A5" s="61"/>
      <c r="B5" s="135"/>
      <c r="C5" s="135"/>
      <c r="D5" s="135"/>
      <c r="E5" s="810" t="s">
        <v>718</v>
      </c>
      <c r="F5" s="810" t="s">
        <v>719</v>
      </c>
      <c r="G5" s="810" t="s">
        <v>720</v>
      </c>
      <c r="H5" s="810" t="s">
        <v>721</v>
      </c>
      <c r="I5" s="810" t="s">
        <v>722</v>
      </c>
      <c r="J5" s="810" t="s">
        <v>723</v>
      </c>
      <c r="K5" s="811"/>
      <c r="L5" s="810" t="s">
        <v>724</v>
      </c>
    </row>
    <row r="6" spans="1:12" ht="20.05" customHeight="1">
      <c r="A6" s="61"/>
      <c r="B6" s="135"/>
      <c r="C6" s="135"/>
      <c r="D6" s="135"/>
      <c r="E6" s="62" t="s">
        <v>251</v>
      </c>
      <c r="F6" s="62" t="s">
        <v>28</v>
      </c>
      <c r="G6" s="62" t="s">
        <v>252</v>
      </c>
      <c r="H6" s="62" t="s">
        <v>254</v>
      </c>
      <c r="I6" s="62" t="s">
        <v>253</v>
      </c>
      <c r="J6" s="62" t="s">
        <v>255</v>
      </c>
      <c r="K6" s="135"/>
      <c r="L6" s="62" t="s">
        <v>10</v>
      </c>
    </row>
    <row r="7" spans="1:12" ht="20.05" customHeight="1">
      <c r="A7" s="61"/>
      <c r="B7" s="135"/>
      <c r="C7" s="135"/>
      <c r="D7" s="850"/>
      <c r="E7" s="323"/>
      <c r="F7" s="323"/>
      <c r="G7" s="323"/>
      <c r="H7" s="323"/>
      <c r="I7" s="323"/>
      <c r="J7" s="279"/>
      <c r="K7" s="135"/>
      <c r="L7" s="135"/>
    </row>
    <row r="8" spans="1:12" ht="20.05" customHeight="1">
      <c r="A8" s="279">
        <v>1</v>
      </c>
      <c r="B8" s="135" t="s">
        <v>234</v>
      </c>
      <c r="C8" s="49">
        <v>2018</v>
      </c>
      <c r="D8" s="135"/>
      <c r="E8" s="129">
        <f t="shared" ref="E8:J8" si="0">E27-E48</f>
        <v>0</v>
      </c>
      <c r="F8" s="129">
        <f t="shared" si="0"/>
        <v>347935390.94999999</v>
      </c>
      <c r="G8" s="129">
        <f t="shared" si="0"/>
        <v>0</v>
      </c>
      <c r="H8" s="129">
        <f t="shared" si="0"/>
        <v>33148.14</v>
      </c>
      <c r="I8" s="129">
        <f t="shared" si="0"/>
        <v>8605076.4399999995</v>
      </c>
      <c r="J8" s="129">
        <f t="shared" si="0"/>
        <v>0</v>
      </c>
      <c r="K8" s="852"/>
      <c r="L8" s="852">
        <f t="shared" ref="L8:L20" si="1">SUM(E8:J8)</f>
        <v>356573615.52999997</v>
      </c>
    </row>
    <row r="9" spans="1:12" ht="20.05" customHeight="1">
      <c r="A9" s="279">
        <v>2</v>
      </c>
      <c r="B9" s="135" t="s">
        <v>235</v>
      </c>
      <c r="C9" s="122">
        <f>C8+1</f>
        <v>2019</v>
      </c>
      <c r="D9" s="135"/>
      <c r="E9" s="129">
        <f t="shared" ref="E9:F20" si="2">E28-E49</f>
        <v>0</v>
      </c>
      <c r="F9" s="129">
        <f t="shared" si="2"/>
        <v>345962879.66000003</v>
      </c>
      <c r="G9" s="129">
        <f t="shared" ref="G9:J9" si="3">G28-G49</f>
        <v>0</v>
      </c>
      <c r="H9" s="129">
        <f t="shared" si="3"/>
        <v>134826.64000000001</v>
      </c>
      <c r="I9" s="129">
        <f t="shared" si="3"/>
        <v>8648396.7599999998</v>
      </c>
      <c r="J9" s="129">
        <f t="shared" si="3"/>
        <v>0</v>
      </c>
      <c r="K9" s="852"/>
      <c r="L9" s="852">
        <f t="shared" si="1"/>
        <v>354746103.06</v>
      </c>
    </row>
    <row r="10" spans="1:12" ht="20.05" customHeight="1">
      <c r="A10" s="279">
        <v>3</v>
      </c>
      <c r="B10" s="135" t="s">
        <v>236</v>
      </c>
      <c r="C10" s="122">
        <f>C9</f>
        <v>2019</v>
      </c>
      <c r="D10" s="135"/>
      <c r="E10" s="129">
        <f t="shared" si="2"/>
        <v>0</v>
      </c>
      <c r="F10" s="129">
        <f t="shared" si="2"/>
        <v>345574685.25</v>
      </c>
      <c r="G10" s="129">
        <f t="shared" ref="G10:J10" si="4">G29-G50</f>
        <v>0</v>
      </c>
      <c r="H10" s="129">
        <f t="shared" si="4"/>
        <v>336761.17</v>
      </c>
      <c r="I10" s="129">
        <f t="shared" si="4"/>
        <v>8692582.0299999993</v>
      </c>
      <c r="J10" s="129">
        <f t="shared" si="4"/>
        <v>0</v>
      </c>
      <c r="K10" s="852"/>
      <c r="L10" s="852">
        <f t="shared" si="1"/>
        <v>354604028.44999999</v>
      </c>
    </row>
    <row r="11" spans="1:12" ht="20.05" customHeight="1">
      <c r="A11" s="279">
        <v>4</v>
      </c>
      <c r="B11" s="135" t="s">
        <v>237</v>
      </c>
      <c r="C11" s="122">
        <f t="shared" ref="C11:C20" si="5">C10</f>
        <v>2019</v>
      </c>
      <c r="D11" s="135"/>
      <c r="E11" s="129">
        <f t="shared" si="2"/>
        <v>0</v>
      </c>
      <c r="F11" s="129">
        <f t="shared" si="2"/>
        <v>344804476.35000002</v>
      </c>
      <c r="G11" s="129">
        <f t="shared" ref="G11:J11" si="6">G30-G51</f>
        <v>0</v>
      </c>
      <c r="H11" s="129">
        <f t="shared" si="6"/>
        <v>542947.36</v>
      </c>
      <c r="I11" s="129">
        <f t="shared" si="6"/>
        <v>8737787.9600000009</v>
      </c>
      <c r="J11" s="129">
        <f t="shared" si="6"/>
        <v>0</v>
      </c>
      <c r="K11" s="852"/>
      <c r="L11" s="852">
        <f t="shared" si="1"/>
        <v>354085211.67000002</v>
      </c>
    </row>
    <row r="12" spans="1:12" ht="20.05" customHeight="1">
      <c r="A12" s="279">
        <v>5</v>
      </c>
      <c r="B12" s="135" t="s">
        <v>238</v>
      </c>
      <c r="C12" s="122">
        <f t="shared" si="5"/>
        <v>2019</v>
      </c>
      <c r="D12" s="135"/>
      <c r="E12" s="129">
        <f t="shared" si="2"/>
        <v>0</v>
      </c>
      <c r="F12" s="129">
        <f t="shared" si="2"/>
        <v>344659509.18000001</v>
      </c>
      <c r="G12" s="129">
        <f t="shared" ref="G12:J12" si="7">G31-G52</f>
        <v>0</v>
      </c>
      <c r="H12" s="129">
        <f t="shared" si="7"/>
        <v>751779.98</v>
      </c>
      <c r="I12" s="129">
        <f t="shared" si="7"/>
        <v>8783887.7100000009</v>
      </c>
      <c r="J12" s="129">
        <f t="shared" si="7"/>
        <v>0</v>
      </c>
      <c r="K12" s="852"/>
      <c r="L12" s="852">
        <f t="shared" si="1"/>
        <v>354195176.87</v>
      </c>
    </row>
    <row r="13" spans="1:12" ht="20.05" customHeight="1">
      <c r="A13" s="279">
        <v>6</v>
      </c>
      <c r="B13" s="135" t="s">
        <v>239</v>
      </c>
      <c r="C13" s="122">
        <f t="shared" si="5"/>
        <v>2019</v>
      </c>
      <c r="D13" s="135"/>
      <c r="E13" s="129">
        <f t="shared" si="2"/>
        <v>0</v>
      </c>
      <c r="F13" s="129">
        <f t="shared" si="2"/>
        <v>338207899.46999997</v>
      </c>
      <c r="G13" s="129">
        <f t="shared" ref="G13:J13" si="8">G32-G53</f>
        <v>0</v>
      </c>
      <c r="H13" s="129">
        <f t="shared" si="8"/>
        <v>963702.17</v>
      </c>
      <c r="I13" s="129">
        <f t="shared" si="8"/>
        <v>8831516.2200000007</v>
      </c>
      <c r="J13" s="129">
        <f t="shared" si="8"/>
        <v>0</v>
      </c>
      <c r="K13" s="852"/>
      <c r="L13" s="852">
        <f t="shared" si="1"/>
        <v>348003117.86000001</v>
      </c>
    </row>
    <row r="14" spans="1:12" ht="20.05" customHeight="1">
      <c r="A14" s="279">
        <v>7</v>
      </c>
      <c r="B14" s="135" t="s">
        <v>250</v>
      </c>
      <c r="C14" s="122">
        <f t="shared" si="5"/>
        <v>2019</v>
      </c>
      <c r="D14" s="135"/>
      <c r="E14" s="129">
        <f t="shared" si="2"/>
        <v>0</v>
      </c>
      <c r="F14" s="129">
        <f t="shared" si="2"/>
        <v>334676108.37</v>
      </c>
      <c r="G14" s="129">
        <f t="shared" ref="G14:J14" si="9">G33-G54</f>
        <v>0</v>
      </c>
      <c r="H14" s="129">
        <f t="shared" si="9"/>
        <v>1177972.32</v>
      </c>
      <c r="I14" s="129">
        <f t="shared" si="9"/>
        <v>8881086.0600000005</v>
      </c>
      <c r="J14" s="129">
        <f t="shared" si="9"/>
        <v>0</v>
      </c>
      <c r="K14" s="852"/>
      <c r="L14" s="852">
        <f t="shared" si="1"/>
        <v>344735166.75</v>
      </c>
    </row>
    <row r="15" spans="1:12" ht="20.05" customHeight="1">
      <c r="A15" s="279">
        <v>8</v>
      </c>
      <c r="B15" s="135" t="s">
        <v>240</v>
      </c>
      <c r="C15" s="122">
        <f t="shared" si="5"/>
        <v>2019</v>
      </c>
      <c r="D15" s="135"/>
      <c r="E15" s="129">
        <f t="shared" si="2"/>
        <v>0</v>
      </c>
      <c r="F15" s="129">
        <f t="shared" si="2"/>
        <v>333278705.13</v>
      </c>
      <c r="G15" s="129">
        <f t="shared" ref="G15:J15" si="10">G34-G55</f>
        <v>0</v>
      </c>
      <c r="H15" s="129">
        <f t="shared" si="10"/>
        <v>1393634.35</v>
      </c>
      <c r="I15" s="129">
        <f t="shared" si="10"/>
        <v>8915106.1199999992</v>
      </c>
      <c r="J15" s="129">
        <f t="shared" si="10"/>
        <v>0</v>
      </c>
      <c r="K15" s="852"/>
      <c r="L15" s="852">
        <f t="shared" si="1"/>
        <v>343587445.60000002</v>
      </c>
    </row>
    <row r="16" spans="1:12" ht="20.05" customHeight="1">
      <c r="A16" s="279">
        <v>9</v>
      </c>
      <c r="B16" s="135" t="s">
        <v>241</v>
      </c>
      <c r="C16" s="122">
        <f t="shared" si="5"/>
        <v>2019</v>
      </c>
      <c r="D16" s="135"/>
      <c r="E16" s="129">
        <f t="shared" si="2"/>
        <v>0</v>
      </c>
      <c r="F16" s="129">
        <f t="shared" si="2"/>
        <v>331588873.39999998</v>
      </c>
      <c r="G16" s="129">
        <f t="shared" ref="G16:J16" si="11">G35-G56</f>
        <v>0</v>
      </c>
      <c r="H16" s="129">
        <f t="shared" si="11"/>
        <v>1610845.58</v>
      </c>
      <c r="I16" s="129">
        <f t="shared" si="11"/>
        <v>8966585.8900000006</v>
      </c>
      <c r="J16" s="129">
        <f t="shared" si="11"/>
        <v>0</v>
      </c>
      <c r="K16" s="852"/>
      <c r="L16" s="852">
        <f t="shared" si="1"/>
        <v>342166304.86999995</v>
      </c>
    </row>
    <row r="17" spans="1:12" ht="20.05" customHeight="1">
      <c r="A17" s="279">
        <v>10</v>
      </c>
      <c r="B17" s="135" t="s">
        <v>242</v>
      </c>
      <c r="C17" s="122">
        <f t="shared" si="5"/>
        <v>2019</v>
      </c>
      <c r="D17" s="135"/>
      <c r="E17" s="129">
        <f t="shared" si="2"/>
        <v>0</v>
      </c>
      <c r="F17" s="129">
        <f t="shared" si="2"/>
        <v>329879576.52000004</v>
      </c>
      <c r="G17" s="129">
        <f t="shared" ref="G17:J17" si="12">G36-G57</f>
        <v>0</v>
      </c>
      <c r="H17" s="129">
        <f t="shared" si="12"/>
        <v>1833130.64</v>
      </c>
      <c r="I17" s="129">
        <f t="shared" si="12"/>
        <v>9036980.3200000003</v>
      </c>
      <c r="J17" s="129">
        <f t="shared" si="12"/>
        <v>0</v>
      </c>
      <c r="K17" s="852"/>
      <c r="L17" s="852">
        <f t="shared" si="1"/>
        <v>340749687.48000002</v>
      </c>
    </row>
    <row r="18" spans="1:12" ht="20.05" customHeight="1">
      <c r="A18" s="279">
        <v>11</v>
      </c>
      <c r="B18" s="135" t="s">
        <v>244</v>
      </c>
      <c r="C18" s="122">
        <f t="shared" si="5"/>
        <v>2019</v>
      </c>
      <c r="D18" s="135"/>
      <c r="E18" s="129">
        <f t="shared" si="2"/>
        <v>0</v>
      </c>
      <c r="F18" s="129">
        <f t="shared" si="2"/>
        <v>329689139.5</v>
      </c>
      <c r="G18" s="129">
        <f t="shared" ref="G18:J18" si="13">G37-G58</f>
        <v>0</v>
      </c>
      <c r="H18" s="129">
        <f t="shared" si="13"/>
        <v>2060961.57</v>
      </c>
      <c r="I18" s="129">
        <f t="shared" si="13"/>
        <v>9096161.2100000009</v>
      </c>
      <c r="J18" s="129">
        <f t="shared" si="13"/>
        <v>0</v>
      </c>
      <c r="K18" s="852"/>
      <c r="L18" s="852">
        <f t="shared" si="1"/>
        <v>340846262.27999997</v>
      </c>
    </row>
    <row r="19" spans="1:12" ht="20.05" customHeight="1">
      <c r="A19" s="279">
        <v>12</v>
      </c>
      <c r="B19" s="135" t="s">
        <v>243</v>
      </c>
      <c r="C19" s="122">
        <f t="shared" si="5"/>
        <v>2019</v>
      </c>
      <c r="D19" s="135"/>
      <c r="E19" s="129">
        <f t="shared" si="2"/>
        <v>0</v>
      </c>
      <c r="F19" s="129">
        <f t="shared" si="2"/>
        <v>327160792.16000003</v>
      </c>
      <c r="G19" s="129">
        <f t="shared" ref="G19:J19" si="14">G38-G59</f>
        <v>0</v>
      </c>
      <c r="H19" s="129">
        <f t="shared" si="14"/>
        <v>2290403.44</v>
      </c>
      <c r="I19" s="129">
        <f t="shared" si="14"/>
        <v>9186732.8200000003</v>
      </c>
      <c r="J19" s="129">
        <f t="shared" si="14"/>
        <v>0</v>
      </c>
      <c r="K19" s="852"/>
      <c r="L19" s="852">
        <f t="shared" si="1"/>
        <v>338637928.42000002</v>
      </c>
    </row>
    <row r="20" spans="1:12" ht="20.05" customHeight="1">
      <c r="A20" s="279">
        <v>13</v>
      </c>
      <c r="B20" s="135" t="s">
        <v>234</v>
      </c>
      <c r="C20" s="122">
        <f t="shared" si="5"/>
        <v>2019</v>
      </c>
      <c r="D20" s="135"/>
      <c r="E20" s="129">
        <f t="shared" si="2"/>
        <v>0</v>
      </c>
      <c r="F20" s="129">
        <f t="shared" si="2"/>
        <v>331293213.81000006</v>
      </c>
      <c r="G20" s="129">
        <f t="shared" ref="G20:J20" si="15">G39-G60</f>
        <v>0</v>
      </c>
      <c r="H20" s="129">
        <f t="shared" si="15"/>
        <v>2531274.94</v>
      </c>
      <c r="I20" s="129">
        <f t="shared" si="15"/>
        <v>9281914.8900000006</v>
      </c>
      <c r="J20" s="129">
        <f t="shared" si="15"/>
        <v>0</v>
      </c>
      <c r="K20" s="852"/>
      <c r="L20" s="852">
        <f t="shared" si="1"/>
        <v>343106403.64000005</v>
      </c>
    </row>
    <row r="21" spans="1:12" ht="20.05" customHeight="1">
      <c r="A21" s="61"/>
      <c r="B21" s="135"/>
      <c r="C21" s="135"/>
      <c r="D21" s="135"/>
      <c r="E21" s="129"/>
      <c r="F21" s="129"/>
      <c r="G21" s="129"/>
      <c r="H21" s="129"/>
      <c r="I21" s="129"/>
      <c r="J21" s="129"/>
      <c r="K21" s="852"/>
      <c r="L21" s="852"/>
    </row>
    <row r="22" spans="1:12" s="57" customFormat="1" ht="20.05" customHeight="1">
      <c r="A22" s="280">
        <v>14</v>
      </c>
      <c r="B22" s="853" t="s">
        <v>259</v>
      </c>
      <c r="C22" s="853"/>
      <c r="D22" s="854" t="s">
        <v>897</v>
      </c>
      <c r="E22" s="855">
        <f t="shared" ref="E22:J22" si="16">SUM(E8:E20)/13</f>
        <v>0</v>
      </c>
      <c r="F22" s="1271">
        <f t="shared" si="16"/>
        <v>337285480.75</v>
      </c>
      <c r="G22" s="855">
        <f t="shared" si="16"/>
        <v>0</v>
      </c>
      <c r="H22" s="1271">
        <f t="shared" si="16"/>
        <v>1204722.1769230771</v>
      </c>
      <c r="I22" s="1271">
        <f t="shared" si="16"/>
        <v>8897216.4946153834</v>
      </c>
      <c r="J22" s="855">
        <f t="shared" si="16"/>
        <v>0</v>
      </c>
      <c r="K22" s="855"/>
      <c r="L22" s="1271">
        <f>SUM(L8:L20)/13</f>
        <v>347387419.42153847</v>
      </c>
    </row>
    <row r="23" spans="1:12" ht="20.05" customHeight="1">
      <c r="A23" s="55"/>
    </row>
    <row r="24" spans="1:12" ht="20.05" customHeight="1">
      <c r="E24" s="54" t="s">
        <v>251</v>
      </c>
      <c r="F24" s="54" t="s">
        <v>28</v>
      </c>
      <c r="G24" s="54" t="s">
        <v>252</v>
      </c>
      <c r="H24" s="54" t="s">
        <v>254</v>
      </c>
      <c r="I24" s="54" t="s">
        <v>253</v>
      </c>
      <c r="J24" s="54" t="s">
        <v>255</v>
      </c>
      <c r="K24" s="46"/>
      <c r="L24" s="54" t="s">
        <v>10</v>
      </c>
    </row>
    <row r="25" spans="1:12" ht="20.05" customHeight="1">
      <c r="E25" s="54"/>
      <c r="F25" s="54"/>
      <c r="G25" s="54"/>
      <c r="H25" s="54"/>
      <c r="I25" s="54"/>
      <c r="J25" s="54"/>
      <c r="K25" s="46"/>
    </row>
    <row r="26" spans="1:12" ht="20.05" customHeight="1">
      <c r="D26" s="50" t="s">
        <v>274</v>
      </c>
      <c r="E26" s="53" t="s">
        <v>45</v>
      </c>
      <c r="F26" s="53" t="s">
        <v>263</v>
      </c>
      <c r="G26" s="53" t="s">
        <v>46</v>
      </c>
      <c r="H26" s="53" t="s">
        <v>264</v>
      </c>
      <c r="I26" s="53" t="s">
        <v>265</v>
      </c>
      <c r="J26" s="56">
        <v>356.1</v>
      </c>
      <c r="K26" s="46"/>
    </row>
    <row r="27" spans="1:12" ht="20.05" customHeight="1">
      <c r="A27" s="56">
        <v>15</v>
      </c>
      <c r="B27" s="46" t="s">
        <v>234</v>
      </c>
      <c r="C27" s="122">
        <f>C8</f>
        <v>2018</v>
      </c>
      <c r="E27" s="123"/>
      <c r="F27" s="123">
        <v>347943376.70999998</v>
      </c>
      <c r="G27" s="123"/>
      <c r="H27" s="123">
        <v>33148.14</v>
      </c>
      <c r="I27" s="123">
        <v>8605076.4399999995</v>
      </c>
      <c r="J27" s="123"/>
      <c r="K27" s="124"/>
      <c r="L27" s="124">
        <f t="shared" ref="L27:L39" si="17">SUM(E27:J27)</f>
        <v>356581601.28999996</v>
      </c>
    </row>
    <row r="28" spans="1:12" ht="20.05" customHeight="1">
      <c r="A28" s="56">
        <v>16</v>
      </c>
      <c r="B28" s="46" t="s">
        <v>235</v>
      </c>
      <c r="C28" s="48">
        <f>C27+1</f>
        <v>2019</v>
      </c>
      <c r="E28" s="123"/>
      <c r="F28" s="123">
        <v>345970884.40000004</v>
      </c>
      <c r="G28" s="123"/>
      <c r="H28" s="123">
        <v>134826.64000000001</v>
      </c>
      <c r="I28" s="123">
        <v>8648396.7599999998</v>
      </c>
      <c r="J28" s="123"/>
      <c r="K28" s="124"/>
      <c r="L28" s="124">
        <f t="shared" si="17"/>
        <v>354754107.80000001</v>
      </c>
    </row>
    <row r="29" spans="1:12" ht="20.05" customHeight="1">
      <c r="A29" s="56">
        <v>17</v>
      </c>
      <c r="B29" s="46" t="s">
        <v>236</v>
      </c>
      <c r="C29" s="48">
        <f>C28</f>
        <v>2019</v>
      </c>
      <c r="E29" s="123"/>
      <c r="F29" s="123">
        <v>345582708.97000003</v>
      </c>
      <c r="G29" s="123"/>
      <c r="H29" s="123">
        <v>336761.17</v>
      </c>
      <c r="I29" s="123">
        <v>8692582.0299999993</v>
      </c>
      <c r="J29" s="123"/>
      <c r="K29" s="124"/>
      <c r="L29" s="124">
        <f t="shared" si="17"/>
        <v>354612052.17000002</v>
      </c>
    </row>
    <row r="30" spans="1:12" ht="20.05" customHeight="1">
      <c r="A30" s="56">
        <v>18</v>
      </c>
      <c r="B30" s="46" t="s">
        <v>237</v>
      </c>
      <c r="C30" s="48">
        <f t="shared" ref="C30:C39" si="18">C29</f>
        <v>2019</v>
      </c>
      <c r="E30" s="123"/>
      <c r="F30" s="123">
        <v>344812519.05000001</v>
      </c>
      <c r="G30" s="123"/>
      <c r="H30" s="123">
        <v>542947.36</v>
      </c>
      <c r="I30" s="123">
        <v>8737787.9600000009</v>
      </c>
      <c r="J30" s="123"/>
      <c r="K30" s="124"/>
      <c r="L30" s="124">
        <f t="shared" si="17"/>
        <v>354093254.37</v>
      </c>
    </row>
    <row r="31" spans="1:12" ht="20.05" customHeight="1">
      <c r="A31" s="56">
        <v>19</v>
      </c>
      <c r="B31" s="46" t="s">
        <v>238</v>
      </c>
      <c r="C31" s="48">
        <f t="shared" si="18"/>
        <v>2019</v>
      </c>
      <c r="E31" s="123"/>
      <c r="F31" s="123">
        <v>344667570.86000001</v>
      </c>
      <c r="G31" s="123"/>
      <c r="H31" s="123">
        <v>751779.98</v>
      </c>
      <c r="I31" s="123">
        <v>8783887.7100000009</v>
      </c>
      <c r="J31" s="123"/>
      <c r="K31" s="124"/>
      <c r="L31" s="124">
        <f>SUM(E31:J31)</f>
        <v>354203238.55000001</v>
      </c>
    </row>
    <row r="32" spans="1:12" ht="20.05" customHeight="1">
      <c r="A32" s="56">
        <v>20</v>
      </c>
      <c r="B32" s="46" t="s">
        <v>239</v>
      </c>
      <c r="C32" s="48">
        <f t="shared" si="18"/>
        <v>2019</v>
      </c>
      <c r="E32" s="123"/>
      <c r="F32" s="123">
        <v>338215980.13</v>
      </c>
      <c r="G32" s="123"/>
      <c r="H32" s="123">
        <v>963702.17</v>
      </c>
      <c r="I32" s="123">
        <v>8831516.2200000007</v>
      </c>
      <c r="J32" s="123"/>
      <c r="K32" s="124"/>
      <c r="L32" s="124">
        <f t="shared" si="17"/>
        <v>348011198.52000004</v>
      </c>
    </row>
    <row r="33" spans="1:13" ht="20.05" customHeight="1">
      <c r="A33" s="56">
        <v>21</v>
      </c>
      <c r="B33" s="46" t="s">
        <v>250</v>
      </c>
      <c r="C33" s="48">
        <f t="shared" si="18"/>
        <v>2019</v>
      </c>
      <c r="E33" s="123"/>
      <c r="F33" s="123">
        <v>334684208.00999999</v>
      </c>
      <c r="G33" s="123"/>
      <c r="H33" s="123">
        <v>1177972.32</v>
      </c>
      <c r="I33" s="123">
        <v>8881086.0600000005</v>
      </c>
      <c r="J33" s="123"/>
      <c r="K33" s="124"/>
      <c r="L33" s="124">
        <f t="shared" si="17"/>
        <v>344743266.38999999</v>
      </c>
    </row>
    <row r="34" spans="1:13" ht="20.05" customHeight="1">
      <c r="A34" s="56">
        <v>22</v>
      </c>
      <c r="B34" s="46" t="s">
        <v>240</v>
      </c>
      <c r="C34" s="48">
        <f t="shared" si="18"/>
        <v>2019</v>
      </c>
      <c r="E34" s="123"/>
      <c r="F34" s="123">
        <v>333286823.75</v>
      </c>
      <c r="G34" s="123"/>
      <c r="H34" s="123">
        <v>1393634.35</v>
      </c>
      <c r="I34" s="123">
        <v>8915106.1199999992</v>
      </c>
      <c r="J34" s="123"/>
      <c r="K34" s="124"/>
      <c r="L34" s="124">
        <f t="shared" si="17"/>
        <v>343595564.22000003</v>
      </c>
    </row>
    <row r="35" spans="1:13" ht="20.05" customHeight="1">
      <c r="A35" s="56">
        <v>23</v>
      </c>
      <c r="B35" s="46" t="s">
        <v>241</v>
      </c>
      <c r="C35" s="48">
        <f t="shared" si="18"/>
        <v>2019</v>
      </c>
      <c r="E35" s="123"/>
      <c r="F35" s="123">
        <v>331597011</v>
      </c>
      <c r="G35" s="123"/>
      <c r="H35" s="123">
        <v>1610845.58</v>
      </c>
      <c r="I35" s="123">
        <v>8966585.8900000006</v>
      </c>
      <c r="J35" s="123"/>
      <c r="K35" s="124"/>
      <c r="L35" s="124">
        <f t="shared" si="17"/>
        <v>342174442.46999997</v>
      </c>
    </row>
    <row r="36" spans="1:13" ht="20.05" customHeight="1">
      <c r="A36" s="56">
        <v>24</v>
      </c>
      <c r="B36" s="46" t="s">
        <v>242</v>
      </c>
      <c r="C36" s="48">
        <f t="shared" si="18"/>
        <v>2019</v>
      </c>
      <c r="E36" s="123"/>
      <c r="F36" s="123">
        <v>329887733.10000002</v>
      </c>
      <c r="G36" s="123"/>
      <c r="H36" s="123">
        <v>1833130.64</v>
      </c>
      <c r="I36" s="123">
        <v>9036980.3200000003</v>
      </c>
      <c r="J36" s="123"/>
      <c r="K36" s="124"/>
      <c r="L36" s="124">
        <f t="shared" si="17"/>
        <v>340757844.06</v>
      </c>
    </row>
    <row r="37" spans="1:13" ht="20.05" customHeight="1">
      <c r="A37" s="56">
        <v>25</v>
      </c>
      <c r="B37" s="46" t="s">
        <v>244</v>
      </c>
      <c r="C37" s="48">
        <f t="shared" si="18"/>
        <v>2019</v>
      </c>
      <c r="E37" s="123"/>
      <c r="F37" s="123">
        <v>329697315.06</v>
      </c>
      <c r="G37" s="123"/>
      <c r="H37" s="123">
        <v>2060961.57</v>
      </c>
      <c r="I37" s="123">
        <v>9096161.2100000009</v>
      </c>
      <c r="J37" s="123"/>
      <c r="K37" s="124"/>
      <c r="L37" s="124">
        <f t="shared" si="17"/>
        <v>340854437.83999997</v>
      </c>
    </row>
    <row r="38" spans="1:13" ht="20.05" customHeight="1">
      <c r="A38" s="56">
        <v>26</v>
      </c>
      <c r="B38" s="46" t="s">
        <v>243</v>
      </c>
      <c r="C38" s="48">
        <f t="shared" si="18"/>
        <v>2019</v>
      </c>
      <c r="E38" s="123"/>
      <c r="F38" s="123">
        <v>327168986.70000005</v>
      </c>
      <c r="G38" s="123"/>
      <c r="H38" s="123">
        <v>2290403.44</v>
      </c>
      <c r="I38" s="123">
        <v>9186732.8200000003</v>
      </c>
      <c r="J38" s="123"/>
      <c r="K38" s="124"/>
      <c r="L38" s="124">
        <f t="shared" si="17"/>
        <v>338646122.96000004</v>
      </c>
    </row>
    <row r="39" spans="1:13" ht="20.05" customHeight="1">
      <c r="A39" s="56">
        <v>27</v>
      </c>
      <c r="B39" s="46" t="s">
        <v>234</v>
      </c>
      <c r="C39" s="48">
        <f t="shared" si="18"/>
        <v>2019</v>
      </c>
      <c r="E39" s="123"/>
      <c r="F39" s="123">
        <v>331301427.33000004</v>
      </c>
      <c r="G39" s="123"/>
      <c r="H39" s="123">
        <v>2531274.94</v>
      </c>
      <c r="I39" s="123">
        <v>9281914.8900000006</v>
      </c>
      <c r="J39" s="123"/>
      <c r="K39" s="124"/>
      <c r="L39" s="124">
        <f t="shared" si="17"/>
        <v>343114617.16000003</v>
      </c>
    </row>
    <row r="40" spans="1:13" ht="20.05" customHeight="1">
      <c r="A40" s="807"/>
      <c r="E40" s="125"/>
      <c r="F40" s="125"/>
      <c r="G40" s="125"/>
      <c r="H40" s="125"/>
      <c r="I40" s="125"/>
      <c r="J40" s="125"/>
      <c r="K40" s="124"/>
      <c r="L40" s="124"/>
    </row>
    <row r="41" spans="1:13" ht="20.05" customHeight="1">
      <c r="A41" s="56">
        <v>28</v>
      </c>
      <c r="B41" s="46" t="s">
        <v>259</v>
      </c>
      <c r="E41" s="125">
        <f t="shared" ref="E41:J41" si="19">SUM(E27:E39)/13</f>
        <v>0</v>
      </c>
      <c r="F41" s="1272">
        <f t="shared" si="19"/>
        <v>337293580.38999999</v>
      </c>
      <c r="G41" s="125">
        <f t="shared" si="19"/>
        <v>0</v>
      </c>
      <c r="H41" s="1272">
        <f t="shared" si="19"/>
        <v>1204722.1769230771</v>
      </c>
      <c r="I41" s="1272">
        <f t="shared" si="19"/>
        <v>8897216.4946153834</v>
      </c>
      <c r="J41" s="125">
        <f t="shared" si="19"/>
        <v>0</v>
      </c>
      <c r="K41" s="125"/>
      <c r="L41" s="1272">
        <f>SUM(L27:L39)/13</f>
        <v>347395519.06153846</v>
      </c>
    </row>
    <row r="42" spans="1:13" ht="20.05" customHeight="1">
      <c r="A42" s="807"/>
    </row>
    <row r="43" spans="1:13" ht="20.05" customHeight="1">
      <c r="A43" s="807"/>
    </row>
    <row r="44" spans="1:13" ht="20.05" customHeight="1">
      <c r="A44" s="807"/>
      <c r="B44" s="69" t="s">
        <v>294</v>
      </c>
      <c r="C44" s="70"/>
      <c r="D44" s="70"/>
      <c r="E44" s="71"/>
      <c r="F44" s="71"/>
      <c r="G44" s="70"/>
      <c r="H44" s="825"/>
      <c r="I44" s="831"/>
      <c r="J44" s="833"/>
      <c r="K44" s="82"/>
      <c r="L44" s="83"/>
      <c r="M44" s="83"/>
    </row>
    <row r="45" spans="1:13" ht="20.05" customHeight="1">
      <c r="A45" s="807"/>
      <c r="B45" s="72"/>
      <c r="C45" s="73"/>
      <c r="D45" s="73"/>
      <c r="E45" s="824" t="s">
        <v>251</v>
      </c>
      <c r="F45" s="74" t="s">
        <v>28</v>
      </c>
      <c r="G45" s="824" t="s">
        <v>252</v>
      </c>
      <c r="H45" s="824" t="s">
        <v>254</v>
      </c>
      <c r="I45" s="74" t="s">
        <v>253</v>
      </c>
      <c r="J45" s="827" t="s">
        <v>255</v>
      </c>
      <c r="K45" s="46"/>
    </row>
    <row r="46" spans="1:13" ht="20.05" customHeight="1">
      <c r="A46" s="807"/>
      <c r="B46" s="72"/>
      <c r="C46" s="73"/>
      <c r="D46" s="73"/>
      <c r="E46" s="73"/>
      <c r="F46" s="74"/>
      <c r="G46" s="73"/>
      <c r="H46" s="46"/>
      <c r="I46" s="73"/>
      <c r="J46" s="75"/>
      <c r="K46" s="46"/>
    </row>
    <row r="47" spans="1:13" ht="20.05" customHeight="1">
      <c r="A47" s="807"/>
      <c r="B47" s="72"/>
      <c r="C47" s="73"/>
      <c r="D47" s="76" t="s">
        <v>274</v>
      </c>
      <c r="E47" s="73"/>
      <c r="F47" s="77" t="s">
        <v>293</v>
      </c>
      <c r="G47" s="73"/>
      <c r="H47" s="46"/>
      <c r="I47" s="73"/>
      <c r="J47" s="75"/>
      <c r="K47" s="46"/>
    </row>
    <row r="48" spans="1:13" ht="20.05" customHeight="1">
      <c r="A48" s="56">
        <v>29</v>
      </c>
      <c r="B48" s="72" t="s">
        <v>234</v>
      </c>
      <c r="C48" s="596">
        <f>C8</f>
        <v>2018</v>
      </c>
      <c r="D48" s="73"/>
      <c r="E48" s="832"/>
      <c r="F48" s="1010">
        <v>7985.7599999999984</v>
      </c>
      <c r="G48" s="832"/>
      <c r="H48" s="826"/>
      <c r="I48" s="832"/>
      <c r="J48" s="828"/>
      <c r="K48" s="46"/>
    </row>
    <row r="49" spans="1:11" ht="20.05" customHeight="1">
      <c r="A49" s="56">
        <v>30</v>
      </c>
      <c r="B49" s="72" t="s">
        <v>235</v>
      </c>
      <c r="C49" s="78">
        <f>C48+1</f>
        <v>2019</v>
      </c>
      <c r="D49" s="73"/>
      <c r="E49" s="832"/>
      <c r="F49" s="1010">
        <v>8004.739999999998</v>
      </c>
      <c r="G49" s="832"/>
      <c r="H49" s="826"/>
      <c r="I49" s="832"/>
      <c r="J49" s="828"/>
      <c r="K49" s="46"/>
    </row>
    <row r="50" spans="1:11" ht="20.05" customHeight="1">
      <c r="A50" s="56">
        <v>31</v>
      </c>
      <c r="B50" s="72" t="s">
        <v>236</v>
      </c>
      <c r="C50" s="78">
        <f>C49</f>
        <v>2019</v>
      </c>
      <c r="D50" s="73"/>
      <c r="E50" s="832"/>
      <c r="F50" s="1010">
        <v>8023.7199999999975</v>
      </c>
      <c r="G50" s="832"/>
      <c r="H50" s="826"/>
      <c r="I50" s="832"/>
      <c r="J50" s="828"/>
      <c r="K50" s="46"/>
    </row>
    <row r="51" spans="1:11" ht="20.05" customHeight="1">
      <c r="A51" s="56">
        <v>32</v>
      </c>
      <c r="B51" s="72" t="s">
        <v>237</v>
      </c>
      <c r="C51" s="78">
        <f t="shared" ref="C51:C60" si="20">C50</f>
        <v>2019</v>
      </c>
      <c r="D51" s="73"/>
      <c r="E51" s="832"/>
      <c r="F51" s="1010">
        <v>8042.6999999999971</v>
      </c>
      <c r="G51" s="832"/>
      <c r="H51" s="826"/>
      <c r="I51" s="832"/>
      <c r="J51" s="828"/>
      <c r="K51" s="46"/>
    </row>
    <row r="52" spans="1:11" ht="20.05" customHeight="1">
      <c r="A52" s="56">
        <v>33</v>
      </c>
      <c r="B52" s="72" t="s">
        <v>238</v>
      </c>
      <c r="C52" s="78">
        <f t="shared" si="20"/>
        <v>2019</v>
      </c>
      <c r="D52" s="73"/>
      <c r="E52" s="832"/>
      <c r="F52" s="1010">
        <v>8061.6799999999967</v>
      </c>
      <c r="G52" s="832"/>
      <c r="H52" s="826"/>
      <c r="I52" s="832"/>
      <c r="J52" s="828"/>
      <c r="K52" s="46"/>
    </row>
    <row r="53" spans="1:11" ht="20.05" customHeight="1">
      <c r="A53" s="56">
        <v>34</v>
      </c>
      <c r="B53" s="72" t="s">
        <v>239</v>
      </c>
      <c r="C53" s="78">
        <f t="shared" si="20"/>
        <v>2019</v>
      </c>
      <c r="D53" s="73"/>
      <c r="E53" s="832"/>
      <c r="F53" s="1010">
        <v>8080.6599999999962</v>
      </c>
      <c r="G53" s="832"/>
      <c r="H53" s="826"/>
      <c r="I53" s="832"/>
      <c r="J53" s="828"/>
      <c r="K53" s="46"/>
    </row>
    <row r="54" spans="1:11" ht="20.05" customHeight="1">
      <c r="A54" s="56">
        <v>35</v>
      </c>
      <c r="B54" s="72" t="s">
        <v>250</v>
      </c>
      <c r="C54" s="78">
        <f t="shared" si="20"/>
        <v>2019</v>
      </c>
      <c r="D54" s="73"/>
      <c r="E54" s="832"/>
      <c r="F54" s="1010">
        <v>8099.6399999999958</v>
      </c>
      <c r="G54" s="832"/>
      <c r="H54" s="826"/>
      <c r="I54" s="832"/>
      <c r="J54" s="828"/>
      <c r="K54" s="46"/>
    </row>
    <row r="55" spans="1:11" ht="20.05" customHeight="1">
      <c r="A55" s="56">
        <v>36</v>
      </c>
      <c r="B55" s="72" t="s">
        <v>240</v>
      </c>
      <c r="C55" s="78">
        <f t="shared" si="20"/>
        <v>2019</v>
      </c>
      <c r="D55" s="73"/>
      <c r="E55" s="832"/>
      <c r="F55" s="1010">
        <v>8118.6199999999953</v>
      </c>
      <c r="G55" s="832"/>
      <c r="H55" s="826"/>
      <c r="I55" s="832"/>
      <c r="J55" s="828"/>
      <c r="K55" s="46"/>
    </row>
    <row r="56" spans="1:11" ht="20.05" customHeight="1">
      <c r="A56" s="56">
        <v>37</v>
      </c>
      <c r="B56" s="72" t="s">
        <v>241</v>
      </c>
      <c r="C56" s="78">
        <f t="shared" si="20"/>
        <v>2019</v>
      </c>
      <c r="D56" s="73"/>
      <c r="E56" s="832"/>
      <c r="F56" s="1010">
        <v>8137.6</v>
      </c>
      <c r="G56" s="832"/>
      <c r="H56" s="826"/>
      <c r="I56" s="832"/>
      <c r="J56" s="828"/>
      <c r="K56" s="46"/>
    </row>
    <row r="57" spans="1:11" ht="20.05" customHeight="1">
      <c r="A57" s="56">
        <v>38</v>
      </c>
      <c r="B57" s="72" t="s">
        <v>242</v>
      </c>
      <c r="C57" s="78">
        <f t="shared" si="20"/>
        <v>2019</v>
      </c>
      <c r="D57" s="73"/>
      <c r="E57" s="832"/>
      <c r="F57" s="1010">
        <v>8156.58</v>
      </c>
      <c r="G57" s="832"/>
      <c r="H57" s="826"/>
      <c r="I57" s="832"/>
      <c r="J57" s="828"/>
      <c r="K57" s="46"/>
    </row>
    <row r="58" spans="1:11" ht="20.05" customHeight="1">
      <c r="A58" s="56">
        <v>39</v>
      </c>
      <c r="B58" s="72" t="s">
        <v>244</v>
      </c>
      <c r="C58" s="78">
        <f t="shared" si="20"/>
        <v>2019</v>
      </c>
      <c r="D58" s="73"/>
      <c r="E58" s="832"/>
      <c r="F58" s="1010">
        <v>8175.56</v>
      </c>
      <c r="G58" s="832"/>
      <c r="H58" s="826"/>
      <c r="I58" s="832"/>
      <c r="J58" s="828"/>
      <c r="K58" s="46"/>
    </row>
    <row r="59" spans="1:11" ht="20.05" customHeight="1">
      <c r="A59" s="56">
        <v>40</v>
      </c>
      <c r="B59" s="72" t="s">
        <v>243</v>
      </c>
      <c r="C59" s="78">
        <f t="shared" si="20"/>
        <v>2019</v>
      </c>
      <c r="D59" s="73"/>
      <c r="E59" s="832"/>
      <c r="F59" s="1010">
        <v>8194.5400000000009</v>
      </c>
      <c r="G59" s="832"/>
      <c r="H59" s="826"/>
      <c r="I59" s="832"/>
      <c r="J59" s="828"/>
      <c r="K59" s="46"/>
    </row>
    <row r="60" spans="1:11" ht="20.05" customHeight="1">
      <c r="A60" s="56">
        <v>41</v>
      </c>
      <c r="B60" s="72" t="s">
        <v>234</v>
      </c>
      <c r="C60" s="78">
        <f t="shared" si="20"/>
        <v>2019</v>
      </c>
      <c r="D60" s="73"/>
      <c r="E60" s="832"/>
      <c r="F60" s="1010">
        <v>8213.52</v>
      </c>
      <c r="G60" s="832"/>
      <c r="H60" s="826"/>
      <c r="I60" s="832"/>
      <c r="J60" s="828"/>
      <c r="K60" s="46"/>
    </row>
    <row r="61" spans="1:11" ht="20.05" customHeight="1">
      <c r="A61" s="807"/>
      <c r="B61" s="72"/>
      <c r="C61" s="73"/>
      <c r="D61" s="73"/>
      <c r="E61" s="73"/>
      <c r="F61" s="126"/>
      <c r="G61" s="73"/>
      <c r="H61" s="46"/>
      <c r="I61" s="73"/>
      <c r="J61" s="75"/>
      <c r="K61" s="46"/>
    </row>
    <row r="62" spans="1:11" ht="20.05" customHeight="1">
      <c r="A62" s="56">
        <v>42</v>
      </c>
      <c r="B62" s="79" t="s">
        <v>259</v>
      </c>
      <c r="C62" s="80"/>
      <c r="D62" s="80"/>
      <c r="E62" s="80"/>
      <c r="F62" s="1273">
        <f>SUM(F48:F60)/13</f>
        <v>8099.6399999999994</v>
      </c>
      <c r="G62" s="127">
        <f>SUM(G48:G60)/13</f>
        <v>0</v>
      </c>
      <c r="H62" s="127">
        <f>SUM(H48:H60)/13</f>
        <v>0</v>
      </c>
      <c r="I62" s="127">
        <f>SUM(I48:I60)/13</f>
        <v>0</v>
      </c>
      <c r="J62" s="829">
        <f>SUM(J48:J60)/13</f>
        <v>0</v>
      </c>
      <c r="K62" s="46"/>
    </row>
    <row r="64" spans="1:11" ht="20.05" customHeight="1">
      <c r="A64" s="46" t="s">
        <v>261</v>
      </c>
    </row>
    <row r="65" spans="1:12" ht="20.05" customHeight="1">
      <c r="A65" s="52" t="s">
        <v>260</v>
      </c>
      <c r="B65" s="46" t="s">
        <v>896</v>
      </c>
    </row>
    <row r="66" spans="1:12" ht="20.05" customHeight="1">
      <c r="A66" s="52" t="s">
        <v>274</v>
      </c>
      <c r="B66" s="46" t="s">
        <v>262</v>
      </c>
    </row>
    <row r="67" spans="1:12" ht="20.05" customHeight="1">
      <c r="A67" s="823" t="s">
        <v>345</v>
      </c>
      <c r="B67" s="46" t="s">
        <v>982</v>
      </c>
    </row>
    <row r="68" spans="1:12" ht="51.85" customHeight="1">
      <c r="A68" s="1259"/>
      <c r="B68" s="1326"/>
      <c r="C68" s="1326"/>
      <c r="D68" s="1326"/>
      <c r="E68" s="1326"/>
      <c r="F68" s="1326"/>
      <c r="G68" s="1326"/>
      <c r="H68" s="1326"/>
      <c r="I68" s="1326"/>
      <c r="J68" s="1326"/>
      <c r="K68" s="1326"/>
      <c r="L68" s="1326"/>
    </row>
    <row r="69" spans="1:12" ht="20.05" customHeight="1">
      <c r="A69" s="46"/>
    </row>
  </sheetData>
  <customSheetViews>
    <customSheetView guid="{E1861F40-EBD5-44AE-868B-FDE0ED504D72}" scale="85">
      <selection activeCell="E9" sqref="E9"/>
      <pageMargins left="0.7" right="0.7" top="0.75" bottom="0.75" header="0.3" footer="0.3"/>
      <pageSetup scale="55" fitToWidth="0" fitToHeight="0" orientation="portrait" r:id="rId1"/>
    </customSheetView>
  </customSheetViews>
  <mergeCells count="1">
    <mergeCell ref="B68:L68"/>
  </mergeCells>
  <pageMargins left="0.7" right="0.7" top="0.75" bottom="0.75" header="0.3" footer="0.3"/>
  <pageSetup scale="48" fitToWidth="0" fitToHeight="0" orientation="portrait" r:id="rId2"/>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3"/>
  <dimension ref="A1:N49"/>
  <sheetViews>
    <sheetView view="pageBreakPreview" zoomScale="70" zoomScaleNormal="85" zoomScaleSheetLayoutView="70" workbookViewId="0">
      <selection activeCell="L80" sqref="L80"/>
    </sheetView>
  </sheetViews>
  <sheetFormatPr defaultColWidth="8.90625" defaultRowHeight="20.05" customHeight="1"/>
  <cols>
    <col min="1" max="1" width="3" style="52" customWidth="1"/>
    <col min="2" max="2" width="10.81640625" style="46" customWidth="1"/>
    <col min="3" max="3" width="8.90625" style="46"/>
    <col min="4" max="4" width="2.81640625" style="46" customWidth="1"/>
    <col min="5" max="5" width="12.81640625" style="52" customWidth="1"/>
    <col min="6" max="6" width="13.1796875" style="52" customWidth="1"/>
    <col min="7" max="8" width="12.81640625" style="52" customWidth="1"/>
    <col min="9" max="9" width="14.08984375" style="52" customWidth="1"/>
    <col min="10" max="10" width="12.81640625" style="46" customWidth="1"/>
    <col min="11" max="11" width="12.90625" style="46" customWidth="1"/>
    <col min="12" max="12" width="14.81640625" style="46" customWidth="1"/>
    <col min="13" max="13" width="8.90625" style="46"/>
    <col min="14" max="14" width="17.1796875" style="46" customWidth="1"/>
    <col min="15" max="15" width="14" style="46" bestFit="1" customWidth="1"/>
    <col min="16" max="16" width="8.90625" style="46"/>
    <col min="17" max="17" width="13.54296875" style="46" bestFit="1" customWidth="1"/>
    <col min="18" max="16384" width="8.90625" style="46"/>
  </cols>
  <sheetData>
    <row r="1" spans="1:12" ht="20.05" customHeight="1">
      <c r="A1" s="808"/>
      <c r="E1" s="808"/>
      <c r="F1" s="808"/>
      <c r="G1" s="808"/>
      <c r="H1" s="808"/>
      <c r="I1" s="808"/>
      <c r="L1" s="6" t="s">
        <v>791</v>
      </c>
    </row>
    <row r="2" spans="1:12" ht="20.05" customHeight="1">
      <c r="A2" s="808"/>
      <c r="E2" s="808"/>
      <c r="F2" s="808"/>
      <c r="G2" s="808"/>
      <c r="H2" s="808"/>
      <c r="I2" s="808"/>
      <c r="L2" s="6" t="s">
        <v>221</v>
      </c>
    </row>
    <row r="3" spans="1:12" ht="20.05" customHeight="1">
      <c r="A3" s="808"/>
      <c r="E3" s="808"/>
      <c r="F3" s="808"/>
      <c r="G3" s="809" t="s">
        <v>792</v>
      </c>
      <c r="H3" s="808"/>
      <c r="I3" s="808"/>
      <c r="L3" s="9" t="str">
        <f>'Attachment 1 - Sched 1A'!$J$3</f>
        <v>For the 12 months ended 12/31/2019</v>
      </c>
    </row>
    <row r="4" spans="1:12" ht="20.05" customHeight="1">
      <c r="A4" s="55"/>
    </row>
    <row r="5" spans="1:12" ht="20.05" customHeight="1">
      <c r="C5" s="135"/>
      <c r="E5" s="810" t="s">
        <v>718</v>
      </c>
      <c r="F5" s="810" t="s">
        <v>719</v>
      </c>
      <c r="G5" s="810" t="s">
        <v>720</v>
      </c>
      <c r="H5" s="810" t="s">
        <v>721</v>
      </c>
      <c r="I5" s="810" t="s">
        <v>722</v>
      </c>
      <c r="K5" s="810" t="s">
        <v>723</v>
      </c>
    </row>
    <row r="6" spans="1:12" ht="20.05" customHeight="1">
      <c r="A6" s="892"/>
      <c r="C6" s="135"/>
      <c r="E6" s="897" t="s">
        <v>1000</v>
      </c>
      <c r="F6" s="810"/>
      <c r="G6" s="810"/>
      <c r="H6" s="810"/>
      <c r="I6" s="810"/>
      <c r="K6" s="810"/>
    </row>
    <row r="7" spans="1:12" ht="20.05" customHeight="1">
      <c r="A7" s="61"/>
      <c r="B7" s="135"/>
      <c r="C7" s="135"/>
      <c r="D7" s="135"/>
      <c r="E7" s="62" t="s">
        <v>266</v>
      </c>
      <c r="F7" s="62" t="s">
        <v>267</v>
      </c>
      <c r="G7" s="62" t="s">
        <v>268</v>
      </c>
      <c r="H7" s="62" t="s">
        <v>269</v>
      </c>
      <c r="I7" s="62" t="s">
        <v>270</v>
      </c>
      <c r="J7" s="135"/>
      <c r="K7" s="62" t="s">
        <v>10</v>
      </c>
    </row>
    <row r="8" spans="1:12" ht="20.05" customHeight="1">
      <c r="A8" s="61"/>
      <c r="B8" s="135"/>
      <c r="C8" s="135"/>
      <c r="D8" s="135"/>
      <c r="E8" s="849" t="s">
        <v>273</v>
      </c>
      <c r="F8" s="849" t="s">
        <v>273</v>
      </c>
      <c r="G8" s="849" t="s">
        <v>273</v>
      </c>
      <c r="H8" s="62"/>
      <c r="I8" s="849" t="s">
        <v>273</v>
      </c>
      <c r="J8" s="135"/>
      <c r="K8" s="135"/>
    </row>
    <row r="9" spans="1:12" ht="20.05" customHeight="1">
      <c r="A9" s="61"/>
      <c r="B9" s="135"/>
      <c r="C9" s="135"/>
      <c r="D9" s="850"/>
      <c r="E9" s="323"/>
      <c r="F9" s="323" t="s">
        <v>345</v>
      </c>
      <c r="G9" s="323" t="s">
        <v>359</v>
      </c>
      <c r="H9" s="323" t="s">
        <v>361</v>
      </c>
      <c r="I9" s="323" t="s">
        <v>399</v>
      </c>
      <c r="J9" s="135"/>
      <c r="K9" s="135"/>
    </row>
    <row r="10" spans="1:12" ht="20.05" customHeight="1">
      <c r="A10" s="279">
        <v>1</v>
      </c>
      <c r="B10" s="851" t="s">
        <v>272</v>
      </c>
      <c r="C10" s="122">
        <v>2018</v>
      </c>
      <c r="D10" s="135"/>
      <c r="E10" s="129">
        <f>-(E19)</f>
        <v>0</v>
      </c>
      <c r="F10" s="129">
        <f>-(F19-F32-G32-H32-I32-J32-K32-L32)</f>
        <v>-283127690.63999999</v>
      </c>
      <c r="G10" s="129">
        <f>-(G19-F38-G38-H38-I38-J38-K38-L38)</f>
        <v>-24781778</v>
      </c>
      <c r="H10" s="129">
        <f>H19-F43-G43-H43-I43-J43-K43-L43</f>
        <v>38582595</v>
      </c>
      <c r="I10" s="129">
        <f>-(I19)+I19</f>
        <v>0</v>
      </c>
      <c r="J10" s="852"/>
      <c r="K10" s="852">
        <f>SUM(E10:I10)</f>
        <v>-269326873.63999999</v>
      </c>
    </row>
    <row r="11" spans="1:12" ht="20.05" customHeight="1">
      <c r="A11" s="279">
        <v>2</v>
      </c>
      <c r="B11" s="851" t="s">
        <v>272</v>
      </c>
      <c r="C11" s="122">
        <f>C10+1</f>
        <v>2019</v>
      </c>
      <c r="D11" s="135"/>
      <c r="E11" s="129">
        <f>-(E20)</f>
        <v>0</v>
      </c>
      <c r="F11" s="1001">
        <f>-(F20-F33-G33-H33-I33-J33-K33-L33)</f>
        <v>-304414267</v>
      </c>
      <c r="G11" s="1001">
        <f>-(G20-F39-G39-H39-I39-J39-K39-L39)</f>
        <v>-33534463.999999996</v>
      </c>
      <c r="H11" s="1001">
        <f>H20-F44-G44-H44-I44-J44-K44-L44</f>
        <v>40005021</v>
      </c>
      <c r="I11" s="129">
        <f>-(I20)+I20</f>
        <v>0</v>
      </c>
      <c r="J11" s="852"/>
      <c r="K11" s="852">
        <f>SUM(E11:I11)</f>
        <v>-297943710</v>
      </c>
    </row>
    <row r="12" spans="1:12" ht="20.05" customHeight="1">
      <c r="A12" s="61"/>
      <c r="B12" s="135"/>
      <c r="C12" s="135"/>
      <c r="D12" s="135"/>
      <c r="E12" s="129"/>
      <c r="F12" s="129"/>
      <c r="G12" s="129"/>
      <c r="H12" s="129"/>
      <c r="I12" s="129"/>
      <c r="J12" s="852"/>
      <c r="K12" s="852"/>
    </row>
    <row r="13" spans="1:12" ht="20.05" customHeight="1">
      <c r="A13" s="280">
        <v>3</v>
      </c>
      <c r="B13" s="853" t="s">
        <v>271</v>
      </c>
      <c r="C13" s="853"/>
      <c r="D13" s="854" t="s">
        <v>260</v>
      </c>
      <c r="E13" s="855">
        <f>(E10/2)+(E11/2)</f>
        <v>0</v>
      </c>
      <c r="F13" s="855">
        <f>(F10/2)+(F11/2)</f>
        <v>-293770978.81999999</v>
      </c>
      <c r="G13" s="855">
        <f>(G10/2)+(G11/2)</f>
        <v>-29158121</v>
      </c>
      <c r="H13" s="855">
        <f>(H10/2)+(H11/2)</f>
        <v>39293808</v>
      </c>
      <c r="I13" s="855">
        <f>(I10/2)+(I11/2)</f>
        <v>0</v>
      </c>
      <c r="J13" s="855"/>
      <c r="K13" s="855">
        <f>(K10/2)+(K11/2)</f>
        <v>-283635291.81999999</v>
      </c>
    </row>
    <row r="16" spans="1:12" ht="20.05" customHeight="1">
      <c r="E16" s="261" t="s">
        <v>266</v>
      </c>
      <c r="F16" s="261" t="s">
        <v>267</v>
      </c>
      <c r="G16" s="261" t="s">
        <v>268</v>
      </c>
      <c r="H16" s="261" t="s">
        <v>269</v>
      </c>
      <c r="I16" s="261" t="s">
        <v>270</v>
      </c>
      <c r="K16" s="261" t="s">
        <v>10</v>
      </c>
    </row>
    <row r="17" spans="1:12" ht="20.05" customHeight="1">
      <c r="E17" s="893" t="s">
        <v>999</v>
      </c>
      <c r="F17" s="893"/>
      <c r="G17" s="893"/>
      <c r="H17" s="894"/>
      <c r="I17" s="893"/>
    </row>
    <row r="18" spans="1:12" ht="20.05" customHeight="1">
      <c r="D18" s="50" t="s">
        <v>274</v>
      </c>
      <c r="E18" s="53" t="s">
        <v>51</v>
      </c>
      <c r="F18" s="53" t="s">
        <v>395</v>
      </c>
      <c r="G18" s="53" t="s">
        <v>396</v>
      </c>
      <c r="H18" s="53" t="s">
        <v>397</v>
      </c>
      <c r="I18" s="53" t="s">
        <v>398</v>
      </c>
    </row>
    <row r="19" spans="1:12" ht="20.05" customHeight="1">
      <c r="A19" s="279">
        <v>4</v>
      </c>
      <c r="B19" s="59" t="s">
        <v>272</v>
      </c>
      <c r="C19" s="122">
        <f>C10</f>
        <v>2018</v>
      </c>
      <c r="E19" s="123"/>
      <c r="F19" s="123">
        <v>212122136</v>
      </c>
      <c r="G19" s="123">
        <v>43826983</v>
      </c>
      <c r="H19" s="123">
        <v>86661969</v>
      </c>
      <c r="I19" s="123">
        <v>2329470</v>
      </c>
      <c r="J19" s="124"/>
      <c r="K19" s="124">
        <f>SUM(E19:I19)</f>
        <v>344940558</v>
      </c>
    </row>
    <row r="20" spans="1:12" ht="20.05" customHeight="1">
      <c r="A20" s="279">
        <v>5</v>
      </c>
      <c r="B20" s="59" t="s">
        <v>272</v>
      </c>
      <c r="C20" s="48">
        <f>C19+1</f>
        <v>2019</v>
      </c>
      <c r="E20" s="123"/>
      <c r="F20" s="123">
        <v>251657998</v>
      </c>
      <c r="G20" s="123">
        <v>56947582</v>
      </c>
      <c r="H20" s="123">
        <v>88970292</v>
      </c>
      <c r="I20" s="123">
        <v>2229785</v>
      </c>
      <c r="J20" s="124"/>
      <c r="K20" s="124">
        <f>SUM(E20:I20)</f>
        <v>399805657</v>
      </c>
    </row>
    <row r="21" spans="1:12" ht="20.05" customHeight="1">
      <c r="A21" s="61"/>
      <c r="E21" s="125"/>
      <c r="F21" s="125"/>
      <c r="G21" s="125"/>
      <c r="H21" s="125"/>
      <c r="I21" s="125"/>
      <c r="J21" s="124"/>
      <c r="K21" s="124"/>
    </row>
    <row r="22" spans="1:12" ht="20.05" customHeight="1">
      <c r="A22" s="280">
        <v>6</v>
      </c>
      <c r="B22" s="46" t="s">
        <v>271</v>
      </c>
      <c r="E22" s="125">
        <f>(E19/2)+(E20/2)</f>
        <v>0</v>
      </c>
      <c r="F22" s="125">
        <f>(F19/2)+(F20/2)</f>
        <v>231890067</v>
      </c>
      <c r="G22" s="125">
        <f>(G19/2)+(G20/2)</f>
        <v>50387282.5</v>
      </c>
      <c r="H22" s="125">
        <f>(H19/2)+(H20/2)</f>
        <v>87816130.5</v>
      </c>
      <c r="I22" s="125">
        <f>(I19/2)+(I20/2)</f>
        <v>2279627.5</v>
      </c>
      <c r="J22" s="125"/>
      <c r="K22" s="125">
        <f>(K19/2)+(K20/2)</f>
        <v>372373107.5</v>
      </c>
    </row>
    <row r="24" spans="1:12" ht="20.05" customHeight="1">
      <c r="F24" s="1251"/>
    </row>
    <row r="25" spans="1:12" ht="20.05" customHeight="1">
      <c r="A25" s="46" t="s">
        <v>261</v>
      </c>
      <c r="D25" s="52"/>
      <c r="I25" s="46"/>
    </row>
    <row r="26" spans="1:12" ht="33.85" customHeight="1">
      <c r="A26" s="156" t="s">
        <v>260</v>
      </c>
      <c r="B26" s="1327" t="s">
        <v>878</v>
      </c>
      <c r="C26" s="1327"/>
      <c r="D26" s="1327"/>
      <c r="E26" s="1327"/>
      <c r="F26" s="1327"/>
      <c r="G26" s="1327"/>
      <c r="H26" s="1327"/>
      <c r="I26" s="1327"/>
      <c r="J26" s="1327"/>
      <c r="K26" s="1327"/>
      <c r="L26" s="1327"/>
    </row>
    <row r="27" spans="1:12" ht="20.05" customHeight="1">
      <c r="A27" s="52" t="s">
        <v>274</v>
      </c>
      <c r="B27" s="1329" t="s">
        <v>262</v>
      </c>
      <c r="C27" s="1329"/>
      <c r="D27" s="1329"/>
      <c r="E27" s="1329"/>
      <c r="F27" s="1329"/>
      <c r="G27" s="1329"/>
      <c r="H27" s="1329"/>
      <c r="I27" s="1329"/>
      <c r="J27" s="1329"/>
      <c r="K27" s="1329"/>
    </row>
    <row r="28" spans="1:12" ht="20.05" customHeight="1">
      <c r="A28" s="52" t="s">
        <v>345</v>
      </c>
      <c r="B28" s="1329" t="s">
        <v>362</v>
      </c>
      <c r="C28" s="1329"/>
      <c r="D28" s="1329"/>
      <c r="E28" s="1329"/>
      <c r="F28" s="1329"/>
      <c r="G28" s="1329"/>
      <c r="H28" s="1329"/>
      <c r="I28" s="1329"/>
      <c r="J28" s="1329"/>
      <c r="K28" s="1329"/>
    </row>
    <row r="29" spans="1:12" ht="20.05" customHeight="1">
      <c r="B29" s="141"/>
      <c r="C29" s="141"/>
      <c r="D29" s="141"/>
      <c r="E29" s="141"/>
      <c r="F29" s="46"/>
      <c r="H29" s="141"/>
      <c r="I29" s="142"/>
      <c r="J29" s="141"/>
    </row>
    <row r="30" spans="1:12" ht="20.05" customHeight="1">
      <c r="B30" s="141"/>
      <c r="C30" s="141"/>
      <c r="D30" s="141"/>
      <c r="E30" s="141"/>
      <c r="F30" s="141"/>
      <c r="I30" s="141"/>
      <c r="J30" s="141"/>
    </row>
    <row r="31" spans="1:12" ht="54" customHeight="1">
      <c r="B31" s="141"/>
      <c r="C31" s="141"/>
      <c r="D31" s="141"/>
      <c r="E31" s="141"/>
      <c r="F31" s="603" t="s">
        <v>355</v>
      </c>
      <c r="G31" s="144" t="s">
        <v>356</v>
      </c>
      <c r="H31" s="144" t="s">
        <v>357</v>
      </c>
      <c r="I31" s="144" t="s">
        <v>870</v>
      </c>
      <c r="J31" s="1303" t="s">
        <v>1407</v>
      </c>
      <c r="K31" s="998" t="s">
        <v>1256</v>
      </c>
      <c r="L31" s="1004" t="s">
        <v>867</v>
      </c>
    </row>
    <row r="32" spans="1:12" s="142" customFormat="1" ht="20.05" customHeight="1">
      <c r="A32" s="52"/>
      <c r="B32" s="141"/>
      <c r="C32" s="141"/>
      <c r="D32" s="141"/>
      <c r="E32" s="145">
        <f>C10</f>
        <v>2018</v>
      </c>
      <c r="F32" s="1005">
        <v>835.93000000000006</v>
      </c>
      <c r="G32" s="1005">
        <v>-7746429</v>
      </c>
      <c r="H32" s="1005">
        <v>-63225083</v>
      </c>
      <c r="I32" s="157"/>
      <c r="J32" s="1005">
        <v>-34878.57</v>
      </c>
      <c r="K32" s="1005">
        <v>0</v>
      </c>
      <c r="L32" s="1006">
        <v>0</v>
      </c>
    </row>
    <row r="33" spans="1:14" s="142" customFormat="1" ht="20.05" customHeight="1">
      <c r="A33" s="52"/>
      <c r="B33" s="141"/>
      <c r="C33" s="141"/>
      <c r="D33" s="141"/>
      <c r="E33" s="145">
        <f>C11</f>
        <v>2019</v>
      </c>
      <c r="F33" s="1005">
        <v>995.06</v>
      </c>
      <c r="G33" s="1005">
        <v>-7776446.0699999994</v>
      </c>
      <c r="H33" s="1005">
        <v>-58670652.460000001</v>
      </c>
      <c r="I33" s="157"/>
      <c r="J33" s="1005">
        <v>-35241.440000000002</v>
      </c>
      <c r="K33" s="1005">
        <v>0</v>
      </c>
      <c r="L33" s="1006">
        <f>'Attch 5a - ADIT Normalization'!S19</f>
        <v>13725075.909999996</v>
      </c>
    </row>
    <row r="34" spans="1:14" s="142" customFormat="1" ht="20.05" customHeight="1">
      <c r="A34" s="52" t="s">
        <v>359</v>
      </c>
      <c r="B34" s="46" t="s">
        <v>358</v>
      </c>
      <c r="C34" s="46"/>
      <c r="D34" s="46"/>
      <c r="E34" s="46"/>
      <c r="F34" s="46"/>
      <c r="G34" s="46"/>
      <c r="H34" s="46"/>
      <c r="I34" s="46"/>
      <c r="J34" s="46"/>
      <c r="K34" s="999"/>
      <c r="L34" s="999"/>
    </row>
    <row r="35" spans="1:14" ht="20.05" customHeight="1">
      <c r="B35" s="141"/>
      <c r="C35" s="141"/>
      <c r="D35" s="141"/>
      <c r="E35" s="141"/>
      <c r="F35" s="46"/>
      <c r="H35" s="141"/>
      <c r="I35" s="821"/>
      <c r="J35" s="141"/>
      <c r="K35" s="1003"/>
      <c r="L35" s="1003"/>
      <c r="N35" s="999"/>
    </row>
    <row r="36" spans="1:14" ht="20.05" customHeight="1">
      <c r="B36" s="141"/>
      <c r="C36" s="141"/>
      <c r="D36" s="141"/>
      <c r="E36" s="141"/>
      <c r="F36" s="141"/>
      <c r="H36" s="141"/>
      <c r="I36" s="821"/>
      <c r="J36" s="141"/>
      <c r="K36" s="1003"/>
      <c r="L36" s="1003"/>
    </row>
    <row r="37" spans="1:14" ht="45.7" customHeight="1">
      <c r="B37" s="141"/>
      <c r="C37" s="141"/>
      <c r="D37" s="141"/>
      <c r="E37" s="141"/>
      <c r="F37" s="603" t="s">
        <v>355</v>
      </c>
      <c r="G37" s="144" t="s">
        <v>356</v>
      </c>
      <c r="H37" s="144" t="s">
        <v>357</v>
      </c>
      <c r="I37" s="144" t="s">
        <v>870</v>
      </c>
      <c r="J37" s="998" t="s">
        <v>1256</v>
      </c>
      <c r="K37" s="998" t="s">
        <v>1256</v>
      </c>
      <c r="L37" s="1004" t="s">
        <v>867</v>
      </c>
      <c r="N37" s="999"/>
    </row>
    <row r="38" spans="1:14" s="142" customFormat="1" ht="20.05" customHeight="1">
      <c r="A38" s="52"/>
      <c r="B38" s="141"/>
      <c r="C38" s="141"/>
      <c r="D38" s="141"/>
      <c r="E38" s="145">
        <f>C10</f>
        <v>2018</v>
      </c>
      <c r="F38" s="1005">
        <v>0</v>
      </c>
      <c r="G38" s="157"/>
      <c r="H38" s="1005">
        <v>15579472</v>
      </c>
      <c r="I38" s="1005">
        <v>3465733</v>
      </c>
      <c r="J38" s="157">
        <v>0</v>
      </c>
      <c r="K38" s="1005">
        <v>0</v>
      </c>
      <c r="L38" s="1006">
        <v>0</v>
      </c>
    </row>
    <row r="39" spans="1:14" s="142" customFormat="1" ht="20.05" customHeight="1">
      <c r="A39" s="52"/>
      <c r="B39" s="141"/>
      <c r="C39" s="141"/>
      <c r="D39" s="141"/>
      <c r="E39" s="145">
        <f>C11</f>
        <v>2019</v>
      </c>
      <c r="F39" s="1005">
        <v>0</v>
      </c>
      <c r="G39" s="157"/>
      <c r="H39" s="1005">
        <v>18267044.68</v>
      </c>
      <c r="I39" s="1005">
        <v>2720093.2399999998</v>
      </c>
      <c r="J39" s="157">
        <v>0</v>
      </c>
      <c r="K39" s="1005">
        <v>0</v>
      </c>
      <c r="L39" s="1006">
        <f>'Attch 5a - ADIT Normalization'!S26</f>
        <v>2425980.0800000019</v>
      </c>
    </row>
    <row r="40" spans="1:14" s="142" customFormat="1" ht="20.05" customHeight="1">
      <c r="A40" s="52" t="s">
        <v>361</v>
      </c>
      <c r="B40" s="46" t="s">
        <v>360</v>
      </c>
      <c r="C40" s="46"/>
      <c r="D40" s="46"/>
      <c r="E40" s="46"/>
      <c r="F40" s="46"/>
      <c r="G40" s="46"/>
      <c r="H40" s="46"/>
      <c r="I40" s="46"/>
      <c r="J40" s="46"/>
      <c r="K40" s="999"/>
      <c r="L40" s="999"/>
    </row>
    <row r="41" spans="1:14" s="142" customFormat="1" ht="20.05" customHeight="1">
      <c r="A41" s="52"/>
      <c r="B41" s="141"/>
      <c r="C41" s="141"/>
      <c r="D41" s="141"/>
      <c r="E41" s="141"/>
      <c r="G41" s="52"/>
      <c r="H41" s="46"/>
      <c r="I41" s="46"/>
      <c r="J41" s="141"/>
      <c r="K41" s="1003"/>
      <c r="L41" s="1003"/>
    </row>
    <row r="42" spans="1:14" s="142" customFormat="1" ht="53.25" customHeight="1">
      <c r="A42" s="52"/>
      <c r="B42" s="141"/>
      <c r="C42" s="141"/>
      <c r="D42" s="141"/>
      <c r="E42" s="145"/>
      <c r="F42" s="147" t="s">
        <v>355</v>
      </c>
      <c r="G42" s="144" t="s">
        <v>356</v>
      </c>
      <c r="H42" s="144" t="s">
        <v>357</v>
      </c>
      <c r="I42" s="144" t="s">
        <v>870</v>
      </c>
      <c r="J42" s="998" t="s">
        <v>1256</v>
      </c>
      <c r="K42" s="998" t="s">
        <v>1256</v>
      </c>
      <c r="L42" s="1004" t="s">
        <v>867</v>
      </c>
    </row>
    <row r="43" spans="1:14" s="142" customFormat="1" ht="20.05" customHeight="1">
      <c r="A43" s="52"/>
      <c r="B43" s="141"/>
      <c r="C43" s="141"/>
      <c r="D43" s="141"/>
      <c r="E43" s="145">
        <f>C10</f>
        <v>2018</v>
      </c>
      <c r="F43" s="157">
        <v>3391</v>
      </c>
      <c r="G43" s="157">
        <v>0</v>
      </c>
      <c r="H43" s="157">
        <v>34618127</v>
      </c>
      <c r="I43" s="157">
        <v>13457856</v>
      </c>
      <c r="J43" s="157">
        <v>0</v>
      </c>
      <c r="K43" s="1005">
        <v>0</v>
      </c>
      <c r="L43" s="1006">
        <v>0</v>
      </c>
    </row>
    <row r="44" spans="1:14" s="142" customFormat="1" ht="20.05" customHeight="1">
      <c r="A44" s="52"/>
      <c r="B44" s="141"/>
      <c r="C44" s="141"/>
      <c r="D44" s="141"/>
      <c r="E44" s="145">
        <f>C11</f>
        <v>2019</v>
      </c>
      <c r="F44" s="157">
        <v>5329</v>
      </c>
      <c r="G44" s="157">
        <v>0</v>
      </c>
      <c r="H44" s="157">
        <v>37457577.210000001</v>
      </c>
      <c r="I44" s="157">
        <v>11149774.049999999</v>
      </c>
      <c r="J44" s="157">
        <v>0</v>
      </c>
      <c r="K44" s="1005">
        <v>0</v>
      </c>
      <c r="L44" s="1006">
        <f>'Attch 5a - ADIT Normalization'!S12</f>
        <v>352590.74000000209</v>
      </c>
    </row>
    <row r="45" spans="1:14" s="142" customFormat="1" ht="20.05" customHeight="1">
      <c r="A45" s="52"/>
      <c r="B45" s="141"/>
      <c r="C45" s="141"/>
      <c r="D45" s="141"/>
      <c r="E45" s="145"/>
      <c r="F45" s="146"/>
      <c r="G45" s="146"/>
      <c r="H45" s="141"/>
      <c r="I45" s="141"/>
      <c r="J45" s="141"/>
      <c r="K45" s="141"/>
    </row>
    <row r="46" spans="1:14" ht="47.45" customHeight="1">
      <c r="A46" s="143" t="s">
        <v>399</v>
      </c>
      <c r="B46" s="1328" t="s">
        <v>1260</v>
      </c>
      <c r="C46" s="1328"/>
      <c r="D46" s="1328"/>
      <c r="E46" s="1328"/>
      <c r="F46" s="1328"/>
      <c r="G46" s="1328"/>
      <c r="H46" s="1328"/>
      <c r="I46" s="1328"/>
      <c r="J46" s="1328"/>
      <c r="K46" s="1328"/>
    </row>
    <row r="47" spans="1:14" ht="20.05" customHeight="1">
      <c r="A47" s="52" t="s">
        <v>866</v>
      </c>
      <c r="B47" s="46" t="s">
        <v>1261</v>
      </c>
    </row>
    <row r="48" spans="1:14" ht="20.05" customHeight="1">
      <c r="A48" s="1000" t="s">
        <v>1254</v>
      </c>
      <c r="B48" s="1002" t="s">
        <v>1255</v>
      </c>
      <c r="C48" s="1002"/>
      <c r="D48" s="1002"/>
      <c r="E48" s="1000"/>
      <c r="F48" s="1000"/>
      <c r="G48" s="1000"/>
      <c r="H48" s="1000"/>
      <c r="I48" s="1000"/>
      <c r="J48" s="1002"/>
    </row>
    <row r="49" spans="1:12" ht="38.200000000000003" customHeight="1">
      <c r="A49" s="1259"/>
      <c r="B49" s="1326"/>
      <c r="C49" s="1326"/>
      <c r="D49" s="1326"/>
      <c r="E49" s="1326"/>
      <c r="F49" s="1326"/>
      <c r="G49" s="1326"/>
      <c r="H49" s="1326"/>
      <c r="I49" s="1326"/>
      <c r="J49" s="1326"/>
      <c r="K49" s="1326"/>
      <c r="L49" s="1326"/>
    </row>
  </sheetData>
  <customSheetViews>
    <customSheetView guid="{E1861F40-EBD5-44AE-868B-FDE0ED504D72}" scale="85">
      <selection activeCell="E9" sqref="E9"/>
      <pageMargins left="0.7" right="0.7" top="0.75" bottom="0.75" header="0.3" footer="0.3"/>
      <pageSetup scale="55" orientation="portrait" r:id="rId1"/>
    </customSheetView>
  </customSheetViews>
  <mergeCells count="5">
    <mergeCell ref="B26:L26"/>
    <mergeCell ref="B46:K46"/>
    <mergeCell ref="B27:K27"/>
    <mergeCell ref="B28:K28"/>
    <mergeCell ref="B49:L49"/>
  </mergeCells>
  <pageMargins left="0.7" right="0.7" top="0.75" bottom="0.75" header="0.3" footer="0.3"/>
  <pageSetup scale="57" orientation="portrait" r:id="rId2"/>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8"/>
  <dimension ref="A1:U43"/>
  <sheetViews>
    <sheetView view="pageBreakPreview" topLeftCell="J1" zoomScale="80" zoomScaleNormal="80" zoomScaleSheetLayoutView="80" workbookViewId="0">
      <selection activeCell="L80" sqref="L80"/>
    </sheetView>
  </sheetViews>
  <sheetFormatPr defaultColWidth="8.90625" defaultRowHeight="15.05"/>
  <cols>
    <col min="1" max="1" width="17.90625" style="606" customWidth="1"/>
    <col min="2" max="2" width="3.08984375" style="607" customWidth="1"/>
    <col min="3" max="9" width="13.81640625" style="606" customWidth="1"/>
    <col min="10" max="10" width="12.453125" style="606" customWidth="1"/>
    <col min="11" max="11" width="3.08984375" style="606" customWidth="1"/>
    <col min="12" max="12" width="13.453125" style="606" customWidth="1"/>
    <col min="13" max="13" width="20.81640625" style="606" customWidth="1"/>
    <col min="14" max="14" width="1.81640625" style="624" customWidth="1"/>
    <col min="15" max="15" width="13.81640625" style="624" customWidth="1"/>
    <col min="16" max="16" width="2" style="624" customWidth="1"/>
    <col min="17" max="17" width="11.90625" style="624" bestFit="1" customWidth="1"/>
    <col min="18" max="18" width="12.90625" style="624" customWidth="1"/>
    <col min="19" max="19" width="12.36328125" style="624" customWidth="1"/>
    <col min="20" max="20" width="12.6328125" style="624" customWidth="1"/>
    <col min="21" max="21" width="12.54296875" style="624" bestFit="1" customWidth="1"/>
    <col min="22" max="16384" width="8.90625" style="624"/>
  </cols>
  <sheetData>
    <row r="1" spans="1:21" ht="15.65">
      <c r="J1" s="6" t="s">
        <v>793</v>
      </c>
      <c r="T1" s="6" t="s">
        <v>793</v>
      </c>
    </row>
    <row r="2" spans="1:21" ht="15.65">
      <c r="J2" s="6" t="s">
        <v>224</v>
      </c>
      <c r="T2" s="6" t="s">
        <v>227</v>
      </c>
    </row>
    <row r="3" spans="1:21" ht="15.65">
      <c r="J3" s="9" t="str">
        <f>'Attachment 1 - Sched 1A'!$J$3</f>
        <v>For the 12 months ended 12/31/2019</v>
      </c>
      <c r="T3" s="9" t="str">
        <f>'Attachment 1 - Sched 1A'!$J$3</f>
        <v>For the 12 months ended 12/31/2019</v>
      </c>
    </row>
    <row r="4" spans="1:21" ht="15.65">
      <c r="A4" s="55"/>
      <c r="F4" s="812" t="s">
        <v>794</v>
      </c>
      <c r="O4" s="812" t="s">
        <v>794</v>
      </c>
    </row>
    <row r="5" spans="1:21" ht="15.65" thickBot="1">
      <c r="A5" s="820" t="s">
        <v>718</v>
      </c>
      <c r="B5" s="624"/>
      <c r="C5" s="820" t="s">
        <v>719</v>
      </c>
      <c r="D5" s="820" t="s">
        <v>720</v>
      </c>
      <c r="E5" s="848" t="s">
        <v>721</v>
      </c>
      <c r="F5" s="848" t="s">
        <v>722</v>
      </c>
      <c r="G5" s="848" t="s">
        <v>723</v>
      </c>
      <c r="H5" s="848" t="s">
        <v>724</v>
      </c>
      <c r="I5" s="848" t="s">
        <v>923</v>
      </c>
      <c r="J5" s="848" t="s">
        <v>924</v>
      </c>
      <c r="O5" s="820" t="s">
        <v>718</v>
      </c>
      <c r="Q5" s="820" t="s">
        <v>719</v>
      </c>
      <c r="R5" s="820" t="s">
        <v>720</v>
      </c>
      <c r="S5" s="848" t="s">
        <v>721</v>
      </c>
      <c r="T5" s="848" t="s">
        <v>722</v>
      </c>
    </row>
    <row r="6" spans="1:21" ht="75.8" thickBot="1">
      <c r="A6" s="867"/>
      <c r="B6" s="608"/>
      <c r="C6" s="1330" t="s">
        <v>1393</v>
      </c>
      <c r="D6" s="1331"/>
      <c r="E6" s="1331"/>
      <c r="F6" s="1331"/>
      <c r="G6" s="1331"/>
      <c r="H6" s="1331"/>
      <c r="I6" s="1331"/>
      <c r="J6" s="1332"/>
      <c r="L6" s="1333" t="s">
        <v>1394</v>
      </c>
      <c r="M6" s="1334"/>
      <c r="O6" s="650" t="s">
        <v>962</v>
      </c>
      <c r="Q6" s="650" t="s">
        <v>634</v>
      </c>
      <c r="R6" s="650" t="s">
        <v>1250</v>
      </c>
      <c r="S6" s="898" t="s">
        <v>1010</v>
      </c>
      <c r="T6" s="650" t="s">
        <v>925</v>
      </c>
    </row>
    <row r="7" spans="1:21">
      <c r="A7" s="868"/>
      <c r="C7" s="609"/>
      <c r="D7" s="610"/>
      <c r="E7" s="610"/>
      <c r="F7" s="610"/>
      <c r="G7" s="610"/>
      <c r="H7" s="610"/>
      <c r="I7" s="610"/>
      <c r="J7" s="611"/>
    </row>
    <row r="8" spans="1:21" ht="30.05">
      <c r="A8" s="869" t="s">
        <v>963</v>
      </c>
      <c r="B8" s="613"/>
      <c r="C8" s="880" t="s">
        <v>966</v>
      </c>
      <c r="D8" s="632" t="s">
        <v>967</v>
      </c>
      <c r="E8" s="881" t="s">
        <v>968</v>
      </c>
      <c r="F8" s="632" t="s">
        <v>969</v>
      </c>
      <c r="G8" s="881" t="s">
        <v>970</v>
      </c>
      <c r="H8" s="632" t="s">
        <v>971</v>
      </c>
      <c r="I8" s="881" t="s">
        <v>972</v>
      </c>
      <c r="J8" s="634" t="s">
        <v>973</v>
      </c>
      <c r="K8" s="615"/>
      <c r="L8" s="612"/>
      <c r="M8" s="616"/>
    </row>
    <row r="9" spans="1:21" ht="15.65" thickBot="1">
      <c r="A9" s="870">
        <f>'Attachment 5 - ADIT'!H19-'Attachment 5 - ADIT'!I43-'Attachment 5 - ADIT'!H43-'Attachment 5 - ADIT'!F43-'Attachment 5 - ADIT'!G43</f>
        <v>38582595</v>
      </c>
      <c r="B9" s="622"/>
      <c r="C9" s="631">
        <v>117672.80365948247</v>
      </c>
      <c r="D9" s="622">
        <f>SUM(A9:C9)</f>
        <v>38700267.803659484</v>
      </c>
      <c r="E9" s="630">
        <v>127168.3058914711</v>
      </c>
      <c r="F9" s="622">
        <f>SUM(D9:E9)</f>
        <v>38827436.109550953</v>
      </c>
      <c r="G9" s="630">
        <v>134253.99733732219</v>
      </c>
      <c r="H9" s="622">
        <f>SUM(F9:G9)</f>
        <v>38961690.106888272</v>
      </c>
      <c r="I9" s="630">
        <v>161580.82311172347</v>
      </c>
      <c r="J9" s="636">
        <f>SUM(H9:I9)</f>
        <v>39123270.929999992</v>
      </c>
      <c r="K9" s="621"/>
      <c r="L9" s="622"/>
      <c r="M9" s="622"/>
      <c r="N9" s="620"/>
      <c r="O9" s="620"/>
    </row>
    <row r="10" spans="1:21">
      <c r="A10" s="871"/>
      <c r="B10" s="618"/>
      <c r="C10" s="619"/>
      <c r="D10" s="625"/>
      <c r="E10" s="620"/>
      <c r="F10" s="625"/>
      <c r="G10" s="620"/>
      <c r="H10" s="625"/>
      <c r="I10" s="620"/>
      <c r="J10" s="635"/>
      <c r="K10" s="617"/>
      <c r="L10" s="617"/>
      <c r="M10" s="618"/>
      <c r="N10" s="620"/>
      <c r="O10" s="620"/>
      <c r="Q10" s="817"/>
    </row>
    <row r="11" spans="1:21" ht="30.05">
      <c r="A11" s="869" t="str">
        <f>A8</f>
        <v>Beginning  190 (including adjustments)</v>
      </c>
      <c r="B11" s="618"/>
      <c r="C11" s="627" t="s">
        <v>614</v>
      </c>
      <c r="D11" s="625"/>
      <c r="E11" s="626" t="s">
        <v>615</v>
      </c>
      <c r="F11" s="625"/>
      <c r="G11" s="626" t="s">
        <v>616</v>
      </c>
      <c r="H11" s="625"/>
      <c r="I11" s="626" t="s">
        <v>617</v>
      </c>
      <c r="J11" s="635"/>
      <c r="K11" s="617"/>
      <c r="L11" s="882" t="s">
        <v>618</v>
      </c>
      <c r="M11" s="640" t="s">
        <v>974</v>
      </c>
      <c r="N11" s="620"/>
      <c r="O11" s="620"/>
    </row>
    <row r="12" spans="1:21">
      <c r="A12" s="872">
        <f>A9</f>
        <v>38582595</v>
      </c>
      <c r="B12" s="618"/>
      <c r="C12" s="627">
        <f>(276/365)*C9</f>
        <v>88979.983041142899</v>
      </c>
      <c r="D12" s="625"/>
      <c r="E12" s="626">
        <f>(185/365)*E9</f>
        <v>64455.168739512752</v>
      </c>
      <c r="F12" s="625"/>
      <c r="G12" s="626">
        <f>(93/365)*G9</f>
        <v>34207.182883208123</v>
      </c>
      <c r="H12" s="625"/>
      <c r="I12" s="626">
        <f>(1/365)*I9</f>
        <v>442.68718660746157</v>
      </c>
      <c r="J12" s="635"/>
      <c r="K12" s="617"/>
      <c r="L12" s="882">
        <f>C12+E12+G12+I12</f>
        <v>188085.02185047124</v>
      </c>
      <c r="M12" s="640">
        <f>A12+L12</f>
        <v>38770680.021850474</v>
      </c>
      <c r="N12" s="620"/>
      <c r="O12" s="625">
        <f>'Attachment 5 - ADIT'!H20</f>
        <v>88970292</v>
      </c>
      <c r="Q12" s="625">
        <f>O12-40005021</f>
        <v>48965271</v>
      </c>
      <c r="R12" s="890">
        <f>SUM('Attachment 5 - ADIT'!F44:K44)</f>
        <v>48612680.259999998</v>
      </c>
      <c r="S12" s="651">
        <f>Q12-R12</f>
        <v>352590.74000000209</v>
      </c>
      <c r="T12" s="1254">
        <f>O12-R12-S12</f>
        <v>40005021</v>
      </c>
      <c r="U12" s="816"/>
    </row>
    <row r="13" spans="1:21">
      <c r="A13" s="872"/>
      <c r="B13" s="618"/>
      <c r="C13" s="627"/>
      <c r="D13" s="625"/>
      <c r="E13" s="626"/>
      <c r="F13" s="625"/>
      <c r="G13" s="626"/>
      <c r="H13" s="625"/>
      <c r="I13" s="626"/>
      <c r="J13" s="635"/>
      <c r="K13" s="617"/>
      <c r="L13" s="882"/>
      <c r="M13" s="640"/>
      <c r="N13" s="620"/>
      <c r="O13" s="625"/>
      <c r="Q13" s="620"/>
      <c r="R13" s="1253"/>
      <c r="S13" s="651"/>
      <c r="T13" s="1254"/>
      <c r="U13" s="816"/>
    </row>
    <row r="14" spans="1:21">
      <c r="A14" s="872"/>
      <c r="B14" s="618"/>
      <c r="C14" s="627"/>
      <c r="D14" s="625"/>
      <c r="E14" s="626"/>
      <c r="F14" s="625"/>
      <c r="G14" s="626"/>
      <c r="H14" s="625"/>
      <c r="I14" s="626"/>
      <c r="J14" s="635"/>
      <c r="K14" s="617"/>
      <c r="L14" s="882"/>
      <c r="M14" s="640"/>
      <c r="N14" s="620"/>
      <c r="O14" s="625"/>
      <c r="Q14" s="620"/>
      <c r="R14" s="890"/>
      <c r="S14" s="651"/>
      <c r="T14" s="818"/>
      <c r="U14" s="816"/>
    </row>
    <row r="15" spans="1:21" ht="30.05">
      <c r="A15" s="869" t="s">
        <v>964</v>
      </c>
      <c r="B15" s="618"/>
      <c r="C15" s="880" t="s">
        <v>966</v>
      </c>
      <c r="D15" s="632" t="s">
        <v>967</v>
      </c>
      <c r="E15" s="881" t="s">
        <v>968</v>
      </c>
      <c r="F15" s="632" t="s">
        <v>969</v>
      </c>
      <c r="G15" s="881" t="s">
        <v>970</v>
      </c>
      <c r="H15" s="632" t="s">
        <v>971</v>
      </c>
      <c r="I15" s="881" t="s">
        <v>972</v>
      </c>
      <c r="J15" s="634" t="s">
        <v>973</v>
      </c>
      <c r="K15" s="618"/>
      <c r="L15" s="882"/>
      <c r="M15" s="616"/>
      <c r="N15" s="620"/>
      <c r="O15" s="620"/>
      <c r="Q15" s="818"/>
      <c r="R15" s="890"/>
      <c r="U15" s="816"/>
    </row>
    <row r="16" spans="1:21" ht="15.65" thickBot="1">
      <c r="A16" s="870">
        <f>'Attachment 5 - ADIT'!F19-'Attachment 5 - ADIT'!H32-'Attachment 5 - ADIT'!G32-'Attachment 5 - ADIT'!F32-'Attachment 5 - ADIT'!J32</f>
        <v>283127690.63999999</v>
      </c>
      <c r="B16" s="622"/>
      <c r="C16" s="631">
        <v>4580572.2885272354</v>
      </c>
      <c r="D16" s="622">
        <f>SUM(A16:C16)</f>
        <v>287708262.92852724</v>
      </c>
      <c r="E16" s="630">
        <v>4950197.4953452833</v>
      </c>
      <c r="F16" s="622">
        <f>SUM(D16:E16)</f>
        <v>292658460.42387253</v>
      </c>
      <c r="G16" s="630">
        <v>5226017.5733289914</v>
      </c>
      <c r="H16" s="622">
        <f>SUM(F16:G16)</f>
        <v>297884477.9972015</v>
      </c>
      <c r="I16" s="630">
        <v>6289751.0527985077</v>
      </c>
      <c r="J16" s="636">
        <f>SUM(H16:I16)</f>
        <v>304174229.05000001</v>
      </c>
      <c r="K16" s="621"/>
      <c r="L16" s="883"/>
      <c r="M16" s="622"/>
      <c r="N16" s="620"/>
      <c r="O16" s="625"/>
      <c r="R16" s="890"/>
      <c r="U16" s="816"/>
    </row>
    <row r="17" spans="1:21">
      <c r="A17" s="871"/>
      <c r="B17" s="618"/>
      <c r="C17" s="643"/>
      <c r="D17" s="625"/>
      <c r="E17" s="625"/>
      <c r="F17" s="625"/>
      <c r="G17" s="625"/>
      <c r="H17" s="625"/>
      <c r="I17" s="625"/>
      <c r="J17" s="635"/>
      <c r="K17" s="617"/>
      <c r="L17" s="884"/>
      <c r="M17" s="618"/>
      <c r="N17" s="620"/>
      <c r="O17" s="620"/>
      <c r="R17" s="890"/>
      <c r="U17" s="816"/>
    </row>
    <row r="18" spans="1:21" ht="30.05">
      <c r="A18" s="869" t="str">
        <f>A15</f>
        <v>Beginning  282 (including adjustments)</v>
      </c>
      <c r="B18" s="618"/>
      <c r="C18" s="627" t="s">
        <v>614</v>
      </c>
      <c r="D18" s="625"/>
      <c r="E18" s="626" t="s">
        <v>615</v>
      </c>
      <c r="F18" s="625"/>
      <c r="G18" s="626" t="s">
        <v>616</v>
      </c>
      <c r="H18" s="625"/>
      <c r="I18" s="626" t="s">
        <v>617</v>
      </c>
      <c r="J18" s="635"/>
      <c r="K18" s="617"/>
      <c r="L18" s="882" t="s">
        <v>618</v>
      </c>
      <c r="M18" s="640" t="s">
        <v>975</v>
      </c>
      <c r="N18" s="620"/>
      <c r="O18" s="620"/>
      <c r="R18" s="890"/>
      <c r="U18" s="816"/>
    </row>
    <row r="19" spans="1:21">
      <c r="A19" s="872">
        <f>A16</f>
        <v>283127690.63999999</v>
      </c>
      <c r="B19" s="618"/>
      <c r="C19" s="627">
        <f>(276/365)*C16</f>
        <v>3463665.6209137449</v>
      </c>
      <c r="D19" s="625"/>
      <c r="E19" s="626">
        <f>(185/365)*E16</f>
        <v>2509004.2099695271</v>
      </c>
      <c r="F19" s="625"/>
      <c r="G19" s="626">
        <f>(93/365)*G16</f>
        <v>1331560.6419714964</v>
      </c>
      <c r="H19" s="625"/>
      <c r="I19" s="626">
        <f>(1/365)*I16</f>
        <v>17232.19466520139</v>
      </c>
      <c r="J19" s="635"/>
      <c r="K19" s="617"/>
      <c r="L19" s="882">
        <f>C19+E19+G19+I19</f>
        <v>7321462.6675199699</v>
      </c>
      <c r="M19" s="640">
        <f>A19+L19</f>
        <v>290449153.30751997</v>
      </c>
      <c r="N19" s="620"/>
      <c r="O19" s="625">
        <f>'Attachment 5 - ADIT'!F20</f>
        <v>251657998</v>
      </c>
      <c r="Q19" s="625">
        <f>O19-304414267</f>
        <v>-52756269</v>
      </c>
      <c r="R19" s="890">
        <f>SUM('Attachment 5 - ADIT'!F33:K33)</f>
        <v>-66481344.909999996</v>
      </c>
      <c r="S19" s="651">
        <f>Q19-R19</f>
        <v>13725075.909999996</v>
      </c>
      <c r="T19" s="1254">
        <f>O19-R19-S19</f>
        <v>304414267</v>
      </c>
      <c r="U19" s="816"/>
    </row>
    <row r="20" spans="1:21">
      <c r="A20" s="872"/>
      <c r="B20" s="618"/>
      <c r="C20" s="627"/>
      <c r="D20" s="625"/>
      <c r="E20" s="626"/>
      <c r="F20" s="625"/>
      <c r="G20" s="626"/>
      <c r="H20" s="625"/>
      <c r="I20" s="626"/>
      <c r="J20" s="635"/>
      <c r="K20" s="617"/>
      <c r="L20" s="882"/>
      <c r="M20" s="640"/>
      <c r="N20" s="620"/>
      <c r="O20" s="625"/>
      <c r="Q20" s="620"/>
      <c r="R20" s="890"/>
      <c r="S20" s="651"/>
      <c r="T20" s="817"/>
      <c r="U20" s="816"/>
    </row>
    <row r="21" spans="1:21">
      <c r="A21" s="872"/>
      <c r="B21" s="618"/>
      <c r="C21" s="627"/>
      <c r="D21" s="625"/>
      <c r="E21" s="626"/>
      <c r="F21" s="625"/>
      <c r="G21" s="626"/>
      <c r="H21" s="625"/>
      <c r="I21" s="626"/>
      <c r="J21" s="635"/>
      <c r="K21" s="617"/>
      <c r="L21" s="882"/>
      <c r="M21" s="640"/>
      <c r="N21" s="620"/>
      <c r="O21" s="625"/>
      <c r="Q21" s="620"/>
      <c r="R21" s="891"/>
      <c r="S21" s="651"/>
      <c r="T21" s="817"/>
      <c r="U21" s="816"/>
    </row>
    <row r="22" spans="1:21" ht="30.05">
      <c r="A22" s="869" t="s">
        <v>965</v>
      </c>
      <c r="B22" s="618"/>
      <c r="C22" s="880" t="s">
        <v>966</v>
      </c>
      <c r="D22" s="632" t="s">
        <v>967</v>
      </c>
      <c r="E22" s="881" t="s">
        <v>968</v>
      </c>
      <c r="F22" s="632" t="s">
        <v>969</v>
      </c>
      <c r="G22" s="881" t="s">
        <v>970</v>
      </c>
      <c r="H22" s="632" t="s">
        <v>971</v>
      </c>
      <c r="I22" s="881" t="s">
        <v>972</v>
      </c>
      <c r="J22" s="634" t="s">
        <v>973</v>
      </c>
      <c r="K22" s="617"/>
      <c r="L22" s="882"/>
      <c r="M22" s="616"/>
      <c r="N22" s="620"/>
      <c r="O22" s="625"/>
      <c r="Q22" s="620"/>
      <c r="R22" s="890"/>
      <c r="S22" s="651"/>
      <c r="T22" s="817"/>
      <c r="U22" s="816"/>
    </row>
    <row r="23" spans="1:21" ht="15.65" thickBot="1">
      <c r="A23" s="870">
        <f>'Attachment 5 - ADIT'!G19-'Attachment 5 - ADIT'!H38-'Attachment 5 - ADIT'!F38-'Attachment 5 - ADIT'!G38-'Attachment 5 - ADIT'!I38</f>
        <v>24781778</v>
      </c>
      <c r="B23" s="622"/>
      <c r="C23" s="631">
        <v>809640.60083088488</v>
      </c>
      <c r="D23" s="622">
        <f>SUM(A23:C23)</f>
        <v>25591418.600830887</v>
      </c>
      <c r="E23" s="630">
        <v>874973.8290128645</v>
      </c>
      <c r="F23" s="622">
        <f>SUM(D23:E23)</f>
        <v>26466392.42984375</v>
      </c>
      <c r="G23" s="630">
        <v>923726.49998790387</v>
      </c>
      <c r="H23" s="622">
        <f>SUM(F23:G23)</f>
        <v>27390118.929831654</v>
      </c>
      <c r="I23" s="630">
        <v>1111747.0701683466</v>
      </c>
      <c r="J23" s="636">
        <f>SUM(H23:I23)</f>
        <v>28501866</v>
      </c>
      <c r="K23" s="623"/>
      <c r="L23" s="883"/>
      <c r="M23" s="622"/>
      <c r="O23" s="633"/>
      <c r="R23" s="890"/>
      <c r="U23" s="816"/>
    </row>
    <row r="24" spans="1:21">
      <c r="A24" s="871"/>
      <c r="B24" s="625"/>
      <c r="C24" s="619"/>
      <c r="D24" s="625"/>
      <c r="E24" s="620"/>
      <c r="F24" s="625"/>
      <c r="G24" s="620"/>
      <c r="H24" s="625"/>
      <c r="I24" s="620"/>
      <c r="J24" s="635"/>
      <c r="K24" s="624"/>
      <c r="L24" s="885"/>
      <c r="M24" s="625"/>
      <c r="R24" s="890"/>
      <c r="U24" s="816"/>
    </row>
    <row r="25" spans="1:21" ht="30.05">
      <c r="A25" s="869" t="str">
        <f>A22</f>
        <v>Beginning  283 (including adjustments)</v>
      </c>
      <c r="B25" s="625"/>
      <c r="C25" s="627" t="s">
        <v>614</v>
      </c>
      <c r="D25" s="625"/>
      <c r="E25" s="626" t="s">
        <v>615</v>
      </c>
      <c r="F25" s="625"/>
      <c r="G25" s="626" t="s">
        <v>616</v>
      </c>
      <c r="H25" s="625"/>
      <c r="I25" s="626" t="s">
        <v>617</v>
      </c>
      <c r="J25" s="635"/>
      <c r="K25" s="624"/>
      <c r="L25" s="886" t="s">
        <v>618</v>
      </c>
      <c r="M25" s="626" t="s">
        <v>976</v>
      </c>
      <c r="R25" s="890"/>
      <c r="U25" s="816"/>
    </row>
    <row r="26" spans="1:21" ht="15.65" thickBot="1">
      <c r="A26" s="873">
        <f>A23</f>
        <v>24781778</v>
      </c>
      <c r="B26" s="625"/>
      <c r="C26" s="874">
        <f>(276/365)*C23</f>
        <v>612221.38583376503</v>
      </c>
      <c r="D26" s="887"/>
      <c r="E26" s="888">
        <f>(185/365)*E23</f>
        <v>443479.88593802723</v>
      </c>
      <c r="F26" s="887"/>
      <c r="G26" s="888">
        <f>(93/365)*G23</f>
        <v>235360.4506818495</v>
      </c>
      <c r="H26" s="887"/>
      <c r="I26" s="888">
        <f>(1/365)*I23</f>
        <v>3045.8823840228674</v>
      </c>
      <c r="J26" s="875"/>
      <c r="K26" s="624"/>
      <c r="L26" s="886">
        <f>C26+E26+G26+I26</f>
        <v>1294107.6048376646</v>
      </c>
      <c r="M26" s="626">
        <f>A26+L26</f>
        <v>26075885.604837663</v>
      </c>
      <c r="O26" s="889">
        <f>'Attachment 5 - ADIT'!G20</f>
        <v>56947582</v>
      </c>
      <c r="Q26" s="625">
        <f>O26-33534464</f>
        <v>23413118</v>
      </c>
      <c r="R26" s="890">
        <f>SUM('Attachment 5 - ADIT'!F39:K39)</f>
        <v>20987137.919999998</v>
      </c>
      <c r="S26" s="651">
        <f>Q26-R26</f>
        <v>2425980.0800000019</v>
      </c>
      <c r="T26" s="1254">
        <f>O26-R26-S26</f>
        <v>33534463.999999996</v>
      </c>
      <c r="U26" s="816"/>
    </row>
    <row r="27" spans="1:21">
      <c r="A27" s="626"/>
      <c r="B27" s="837"/>
      <c r="C27" s="625"/>
      <c r="D27" s="625"/>
      <c r="E27" s="625"/>
      <c r="F27" s="625"/>
      <c r="G27" s="625"/>
      <c r="H27" s="625"/>
      <c r="I27" s="625"/>
      <c r="J27" s="633"/>
      <c r="K27" s="838"/>
      <c r="L27" s="837"/>
      <c r="M27" s="836"/>
      <c r="O27" s="633"/>
      <c r="S27" s="652"/>
    </row>
    <row r="28" spans="1:21" ht="15.65">
      <c r="A28" s="607"/>
      <c r="M28" s="607"/>
      <c r="O28" s="817"/>
      <c r="Q28" s="819"/>
    </row>
    <row r="29" spans="1:21" ht="30.05" hidden="1">
      <c r="A29" s="641" t="s">
        <v>622</v>
      </c>
      <c r="C29" s="645" t="s">
        <v>614</v>
      </c>
      <c r="D29" s="607"/>
      <c r="E29" s="645" t="s">
        <v>615</v>
      </c>
      <c r="F29" s="607"/>
      <c r="G29" s="645" t="s">
        <v>616</v>
      </c>
      <c r="H29" s="607"/>
      <c r="I29" s="645" t="s">
        <v>617</v>
      </c>
      <c r="J29" s="607"/>
      <c r="L29" s="647" t="s">
        <v>618</v>
      </c>
      <c r="M29" s="647" t="s">
        <v>626</v>
      </c>
    </row>
    <row r="30" spans="1:21" hidden="1">
      <c r="A30" s="640">
        <f>A27</f>
        <v>0</v>
      </c>
      <c r="B30" s="618"/>
      <c r="C30" s="640">
        <f>(276/365)*C27</f>
        <v>0</v>
      </c>
      <c r="D30" s="618"/>
      <c r="E30" s="640">
        <f>(185/365)*E27</f>
        <v>0</v>
      </c>
      <c r="F30" s="618"/>
      <c r="G30" s="640">
        <f>(93/365)*G27</f>
        <v>0</v>
      </c>
      <c r="H30" s="618"/>
      <c r="I30" s="640">
        <f>(1/365)*I27</f>
        <v>0</v>
      </c>
      <c r="J30" s="618"/>
      <c r="K30" s="617"/>
      <c r="L30" s="640">
        <f>C30+E30+G30+I30</f>
        <v>0</v>
      </c>
      <c r="M30" s="640">
        <f>M12+M19+M26</f>
        <v>355295718.9342081</v>
      </c>
      <c r="N30" s="620"/>
      <c r="O30" s="620"/>
    </row>
    <row r="31" spans="1:21" hidden="1">
      <c r="A31" s="618"/>
      <c r="B31" s="618"/>
      <c r="C31" s="617"/>
      <c r="D31" s="617"/>
      <c r="E31" s="617"/>
      <c r="F31" s="617"/>
      <c r="G31" s="617"/>
      <c r="H31" s="617"/>
      <c r="I31" s="617"/>
      <c r="J31" s="617"/>
      <c r="K31" s="617"/>
      <c r="L31" s="617"/>
      <c r="M31" s="618"/>
      <c r="N31" s="620"/>
      <c r="O31" s="620"/>
    </row>
    <row r="32" spans="1:21" hidden="1">
      <c r="A32" s="618"/>
      <c r="B32" s="618"/>
      <c r="C32" s="617"/>
      <c r="D32" s="617"/>
      <c r="E32" s="617"/>
      <c r="F32" s="617"/>
      <c r="G32" s="617"/>
      <c r="H32" s="617"/>
      <c r="I32" s="617"/>
      <c r="J32" s="617"/>
      <c r="K32" s="617"/>
      <c r="L32" s="617"/>
      <c r="M32" s="640" t="s">
        <v>627</v>
      </c>
      <c r="N32" s="620"/>
      <c r="O32" s="620"/>
    </row>
    <row r="33" spans="1:15" hidden="1">
      <c r="A33" s="618"/>
      <c r="B33" s="618"/>
      <c r="C33" s="617"/>
      <c r="D33" s="617"/>
      <c r="E33" s="617"/>
      <c r="F33" s="617"/>
      <c r="G33" s="617"/>
      <c r="H33" s="617"/>
      <c r="I33" s="617"/>
      <c r="J33" s="617"/>
      <c r="K33" s="617"/>
      <c r="L33" s="617"/>
      <c r="M33" s="640">
        <f>A30</f>
        <v>0</v>
      </c>
      <c r="N33" s="620"/>
      <c r="O33" s="620"/>
    </row>
    <row r="34" spans="1:15" hidden="1">
      <c r="A34" s="618"/>
      <c r="B34" s="618"/>
      <c r="C34" s="617"/>
      <c r="D34" s="617"/>
      <c r="E34" s="617"/>
      <c r="F34" s="617"/>
      <c r="G34" s="617"/>
      <c r="H34" s="617"/>
      <c r="I34" s="617"/>
      <c r="J34" s="617"/>
      <c r="K34" s="617"/>
      <c r="L34" s="617"/>
      <c r="M34" s="618"/>
      <c r="N34" s="620"/>
      <c r="O34" s="620"/>
    </row>
    <row r="35" spans="1:15" hidden="1">
      <c r="A35" s="618"/>
      <c r="B35" s="618"/>
      <c r="C35" s="617"/>
      <c r="D35" s="617"/>
      <c r="E35" s="617"/>
      <c r="F35" s="617"/>
      <c r="G35" s="617"/>
      <c r="H35" s="617"/>
      <c r="I35" s="617"/>
      <c r="J35" s="617"/>
      <c r="K35" s="617"/>
      <c r="L35" s="617"/>
      <c r="M35" s="640" t="s">
        <v>628</v>
      </c>
      <c r="N35" s="620"/>
      <c r="O35" s="620"/>
    </row>
    <row r="36" spans="1:15" hidden="1">
      <c r="A36" s="618"/>
      <c r="B36" s="618"/>
      <c r="C36" s="617"/>
      <c r="D36" s="617"/>
      <c r="E36" s="617"/>
      <c r="F36" s="617"/>
      <c r="G36" s="617"/>
      <c r="H36" s="617"/>
      <c r="I36" s="617"/>
      <c r="J36" s="617"/>
      <c r="K36" s="617"/>
      <c r="L36" s="617"/>
      <c r="M36" s="640">
        <f>(M33+M30)/2</f>
        <v>177647859.46710405</v>
      </c>
      <c r="N36" s="620"/>
      <c r="O36" s="620"/>
    </row>
    <row r="37" spans="1:15">
      <c r="A37" s="607"/>
    </row>
    <row r="38" spans="1:15">
      <c r="A38" s="607"/>
    </row>
    <row r="39" spans="1:15">
      <c r="A39" s="607"/>
    </row>
    <row r="40" spans="1:15">
      <c r="A40" s="607"/>
    </row>
    <row r="41" spans="1:15">
      <c r="A41" s="607"/>
    </row>
    <row r="42" spans="1:15">
      <c r="A42" s="607"/>
    </row>
    <row r="43" spans="1:15">
      <c r="A43" s="607"/>
    </row>
  </sheetData>
  <mergeCells count="2">
    <mergeCell ref="C6:J6"/>
    <mergeCell ref="L6:M6"/>
  </mergeCells>
  <pageMargins left="0.7" right="0.7" top="0.75" bottom="0.75" header="0.3" footer="0.3"/>
  <pageSetup scale="78" orientation="landscape" r:id="rId1"/>
  <colBreaks count="1" manualBreakCount="1">
    <brk id="10" max="31"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G175"/>
  <sheetViews>
    <sheetView view="pageBreakPreview" zoomScale="90" zoomScaleNormal="100" zoomScaleSheetLayoutView="90" workbookViewId="0">
      <selection activeCell="L80" sqref="L80"/>
    </sheetView>
  </sheetViews>
  <sheetFormatPr defaultColWidth="8.90625" defaultRowHeight="15.05"/>
  <cols>
    <col min="1" max="1" width="2.36328125" style="923" customWidth="1"/>
    <col min="2" max="2" width="37.54296875" style="924" customWidth="1"/>
    <col min="3" max="3" width="14.453125" style="924" customWidth="1"/>
    <col min="4" max="4" width="10.36328125" style="924" customWidth="1"/>
    <col min="5" max="5" width="11.08984375" style="924" customWidth="1"/>
    <col min="6" max="6" width="8.90625" style="924"/>
    <col min="7" max="7" width="11.81640625" style="924" bestFit="1" customWidth="1"/>
    <col min="8" max="16384" width="8.90625" style="924"/>
  </cols>
  <sheetData>
    <row r="1" spans="1:5">
      <c r="E1" s="925" t="s">
        <v>1082</v>
      </c>
    </row>
    <row r="2" spans="1:5">
      <c r="E2" s="925" t="s">
        <v>1083</v>
      </c>
    </row>
    <row r="3" spans="1:5">
      <c r="B3" s="926" t="s">
        <v>1084</v>
      </c>
      <c r="E3" s="985" t="str">
        <f>'Attachment 1 - Sched 1A'!$J$3</f>
        <v>For the 12 months ended 12/31/2019</v>
      </c>
    </row>
    <row r="4" spans="1:5">
      <c r="A4" s="1335"/>
      <c r="B4" s="1335"/>
      <c r="C4" s="1335"/>
      <c r="D4" s="1335"/>
      <c r="E4" s="928"/>
    </row>
    <row r="5" spans="1:5">
      <c r="A5" s="929"/>
      <c r="B5" s="930" t="s">
        <v>1085</v>
      </c>
      <c r="C5" s="930" t="s">
        <v>1086</v>
      </c>
      <c r="D5" s="930" t="s">
        <v>1087</v>
      </c>
      <c r="E5" s="930" t="s">
        <v>1088</v>
      </c>
    </row>
    <row r="6" spans="1:5">
      <c r="A6" s="929"/>
      <c r="B6" s="929"/>
      <c r="C6" s="929"/>
      <c r="D6" s="929"/>
    </row>
    <row r="7" spans="1:5" ht="15.05" customHeight="1">
      <c r="A7" s="929"/>
      <c r="B7" s="929"/>
      <c r="C7" s="931" t="s">
        <v>1089</v>
      </c>
      <c r="D7" s="931" t="s">
        <v>1089</v>
      </c>
      <c r="E7" s="926" t="s">
        <v>1090</v>
      </c>
    </row>
    <row r="8" spans="1:5">
      <c r="A8" s="929"/>
      <c r="B8" s="930"/>
      <c r="C8" s="932" t="s">
        <v>1360</v>
      </c>
      <c r="D8" s="932" t="s">
        <v>1395</v>
      </c>
      <c r="E8" s="933" t="s">
        <v>1091</v>
      </c>
    </row>
    <row r="9" spans="1:5">
      <c r="A9" s="929"/>
      <c r="B9" s="929"/>
      <c r="C9" s="929"/>
      <c r="D9" s="929"/>
    </row>
    <row r="10" spans="1:5">
      <c r="A10" s="934"/>
      <c r="B10" s="929" t="s">
        <v>1092</v>
      </c>
      <c r="C10" s="929"/>
      <c r="D10" s="929"/>
    </row>
    <row r="11" spans="1:5">
      <c r="A11" s="934"/>
      <c r="B11" s="929"/>
      <c r="C11" s="929"/>
      <c r="D11" s="929"/>
    </row>
    <row r="12" spans="1:5">
      <c r="A12" s="934"/>
      <c r="B12" s="943" t="s">
        <v>1332</v>
      </c>
      <c r="C12" s="935">
        <v>2329470</v>
      </c>
      <c r="D12" s="935">
        <v>2229785</v>
      </c>
      <c r="E12" s="936">
        <f>AVERAGE(C12:D12)</f>
        <v>2279627.5</v>
      </c>
    </row>
    <row r="13" spans="1:5">
      <c r="A13" s="934"/>
      <c r="B13" s="929"/>
      <c r="C13" s="929"/>
      <c r="D13" s="929"/>
    </row>
    <row r="14" spans="1:5" ht="15.65" thickBot="1">
      <c r="A14" s="934">
        <v>1</v>
      </c>
      <c r="B14" s="929" t="s">
        <v>1093</v>
      </c>
      <c r="C14" s="937">
        <f>SUM(C12)</f>
        <v>2329470</v>
      </c>
      <c r="D14" s="937">
        <f>SUM(D12)</f>
        <v>2229785</v>
      </c>
    </row>
    <row r="15" spans="1:5" ht="15.65" thickTop="1">
      <c r="A15" s="934"/>
      <c r="B15" s="929"/>
      <c r="C15" s="938"/>
      <c r="D15" s="938"/>
    </row>
    <row r="16" spans="1:5">
      <c r="A16" s="934"/>
      <c r="B16" s="929"/>
      <c r="C16" s="929"/>
      <c r="D16" s="929"/>
    </row>
    <row r="17" spans="1:5">
      <c r="A17" s="934"/>
      <c r="B17" s="939" t="s">
        <v>1094</v>
      </c>
      <c r="C17" s="940"/>
      <c r="D17" s="940"/>
    </row>
    <row r="18" spans="1:5">
      <c r="A18" s="934"/>
      <c r="B18" s="929"/>
      <c r="C18" s="940"/>
      <c r="D18" s="940"/>
    </row>
    <row r="19" spans="1:5">
      <c r="A19" s="934"/>
      <c r="B19" s="1301" t="s">
        <v>1333</v>
      </c>
      <c r="C19" s="1302">
        <v>965380.78999999992</v>
      </c>
      <c r="D19" s="1302">
        <v>855335.47</v>
      </c>
      <c r="E19" s="936">
        <f t="shared" ref="E19:E66" si="0">AVERAGE(C19:D19)</f>
        <v>910358.12999999989</v>
      </c>
    </row>
    <row r="20" spans="1:5">
      <c r="A20" s="934"/>
      <c r="B20" s="1301" t="s">
        <v>1265</v>
      </c>
      <c r="C20" s="1302">
        <v>362803.88999999996</v>
      </c>
      <c r="D20" s="1302">
        <v>321447.28999999998</v>
      </c>
      <c r="E20" s="936">
        <f t="shared" si="0"/>
        <v>342125.58999999997</v>
      </c>
    </row>
    <row r="21" spans="1:5">
      <c r="A21" s="934"/>
      <c r="B21" s="1301" t="s">
        <v>1334</v>
      </c>
      <c r="C21" s="1302">
        <v>10434742.039999999</v>
      </c>
      <c r="D21" s="1302">
        <v>10473902.289999999</v>
      </c>
      <c r="E21" s="936">
        <f t="shared" si="0"/>
        <v>10454322.164999999</v>
      </c>
    </row>
    <row r="22" spans="1:5">
      <c r="A22" s="934"/>
      <c r="B22" s="1301" t="s">
        <v>1266</v>
      </c>
      <c r="C22" s="1302">
        <v>4041357.1500000004</v>
      </c>
      <c r="D22" s="1302">
        <v>4038981.91</v>
      </c>
      <c r="E22" s="936">
        <f t="shared" si="0"/>
        <v>4040169.5300000003</v>
      </c>
    </row>
    <row r="23" spans="1:5">
      <c r="A23" s="934"/>
      <c r="B23" s="1301" t="s">
        <v>1267</v>
      </c>
      <c r="C23" s="1302">
        <v>6366206.8800000008</v>
      </c>
      <c r="D23" s="1302">
        <v>6577208.4000000004</v>
      </c>
      <c r="E23" s="936">
        <f t="shared" si="0"/>
        <v>6471707.6400000006</v>
      </c>
    </row>
    <row r="24" spans="1:5">
      <c r="A24" s="934"/>
      <c r="B24" s="1301" t="s">
        <v>1269</v>
      </c>
      <c r="C24" s="1302">
        <v>122813693.2</v>
      </c>
      <c r="D24" s="1302">
        <v>144866477.65000001</v>
      </c>
      <c r="E24" s="936">
        <f t="shared" si="0"/>
        <v>133840085.42500001</v>
      </c>
    </row>
    <row r="25" spans="1:5">
      <c r="A25" s="934"/>
      <c r="B25" s="1301" t="s">
        <v>1268</v>
      </c>
      <c r="C25" s="1302">
        <v>3338130.4999999995</v>
      </c>
      <c r="D25" s="1302">
        <v>3382742.22</v>
      </c>
      <c r="E25" s="936">
        <f t="shared" si="0"/>
        <v>3360436.36</v>
      </c>
    </row>
    <row r="26" spans="1:5">
      <c r="A26" s="934"/>
      <c r="B26" s="1301" t="s">
        <v>1335</v>
      </c>
      <c r="C26" s="1302">
        <v>24215805.320000004</v>
      </c>
      <c r="D26" s="1302">
        <v>29808947.300000001</v>
      </c>
      <c r="E26" s="936">
        <f t="shared" si="0"/>
        <v>27012376.310000002</v>
      </c>
    </row>
    <row r="27" spans="1:5">
      <c r="A27" s="934"/>
      <c r="B27" s="1301" t="s">
        <v>1300</v>
      </c>
      <c r="C27" s="1302">
        <v>1704787.1099999996</v>
      </c>
      <c r="D27" s="1302">
        <v>2045526.36</v>
      </c>
      <c r="E27" s="936">
        <f t="shared" si="0"/>
        <v>1875156.7349999999</v>
      </c>
    </row>
    <row r="28" spans="1:5">
      <c r="A28" s="934"/>
      <c r="B28" s="1301" t="s">
        <v>1336</v>
      </c>
      <c r="C28" s="1302">
        <v>388904.03</v>
      </c>
      <c r="D28" s="1302">
        <v>1218077.58</v>
      </c>
      <c r="E28" s="936">
        <f t="shared" si="0"/>
        <v>803490.80500000005</v>
      </c>
    </row>
    <row r="29" spans="1:5">
      <c r="A29" s="934"/>
      <c r="B29" s="1301" t="s">
        <v>1337</v>
      </c>
      <c r="C29" s="1302">
        <v>-133631.72</v>
      </c>
      <c r="D29" s="1302">
        <v>-469073.99</v>
      </c>
      <c r="E29" s="936">
        <f t="shared" si="0"/>
        <v>-301352.85499999998</v>
      </c>
    </row>
    <row r="30" spans="1:5">
      <c r="A30" s="934"/>
      <c r="B30" s="1301" t="s">
        <v>1338</v>
      </c>
      <c r="C30" s="1302">
        <v>640683.34999999986</v>
      </c>
      <c r="D30" s="1302">
        <v>768738.03</v>
      </c>
      <c r="E30" s="936">
        <f t="shared" si="0"/>
        <v>704710.69</v>
      </c>
    </row>
    <row r="31" spans="1:5">
      <c r="A31" s="934"/>
      <c r="B31" s="1301" t="s">
        <v>1339</v>
      </c>
      <c r="C31" s="1302">
        <v>146155.69</v>
      </c>
      <c r="D31" s="1302">
        <v>457770.96</v>
      </c>
      <c r="E31" s="936">
        <f t="shared" si="0"/>
        <v>301963.32500000001</v>
      </c>
    </row>
    <row r="32" spans="1:5">
      <c r="A32" s="934"/>
      <c r="B32" s="1301" t="s">
        <v>1340</v>
      </c>
      <c r="C32" s="1302">
        <v>-50220.710000000006</v>
      </c>
      <c r="D32" s="1302">
        <v>-176284.71</v>
      </c>
      <c r="E32" s="936">
        <f t="shared" si="0"/>
        <v>-113252.70999999999</v>
      </c>
    </row>
    <row r="33" spans="1:5">
      <c r="A33" s="934"/>
      <c r="B33" s="1301" t="s">
        <v>1273</v>
      </c>
      <c r="C33" s="1302">
        <v>2907131.99</v>
      </c>
      <c r="D33" s="1302">
        <v>5694044.5199999996</v>
      </c>
      <c r="E33" s="936">
        <f t="shared" si="0"/>
        <v>4300588.2549999999</v>
      </c>
    </row>
    <row r="34" spans="1:5">
      <c r="A34" s="934"/>
      <c r="B34" s="1301" t="s">
        <v>1341</v>
      </c>
      <c r="C34" s="1302">
        <v>5651391.5299999993</v>
      </c>
      <c r="D34" s="1302">
        <v>8095955.8700000001</v>
      </c>
      <c r="E34" s="936">
        <f t="shared" si="0"/>
        <v>6873673.6999999993</v>
      </c>
    </row>
    <row r="35" spans="1:5">
      <c r="A35" s="934"/>
      <c r="B35" s="1301" t="s">
        <v>1342</v>
      </c>
      <c r="C35" s="1302">
        <v>-2396581.88</v>
      </c>
      <c r="D35" s="1302">
        <v>-5218590.47</v>
      </c>
      <c r="E35" s="936">
        <f t="shared" si="0"/>
        <v>-3807586.1749999998</v>
      </c>
    </row>
    <row r="36" spans="1:5">
      <c r="A36" s="934"/>
      <c r="B36" s="1301" t="s">
        <v>1275</v>
      </c>
      <c r="C36" s="1302">
        <v>1092541.73</v>
      </c>
      <c r="D36" s="1302">
        <v>2139903.27</v>
      </c>
      <c r="E36" s="936">
        <f t="shared" si="0"/>
        <v>1616222.5</v>
      </c>
    </row>
    <row r="37" spans="1:5">
      <c r="A37" s="934"/>
      <c r="B37" s="1301" t="s">
        <v>1343</v>
      </c>
      <c r="C37" s="1302">
        <v>2123873.67</v>
      </c>
      <c r="D37" s="1302">
        <v>3042575.87</v>
      </c>
      <c r="E37" s="936">
        <f t="shared" si="0"/>
        <v>2583224.77</v>
      </c>
    </row>
    <row r="38" spans="1:5">
      <c r="A38" s="934"/>
      <c r="B38" s="1301" t="s">
        <v>1344</v>
      </c>
      <c r="C38" s="1302">
        <v>-900669.71</v>
      </c>
      <c r="D38" s="1302">
        <v>-1961220.85</v>
      </c>
      <c r="E38" s="936">
        <f t="shared" si="0"/>
        <v>-1430945.28</v>
      </c>
    </row>
    <row r="39" spans="1:5">
      <c r="A39" s="934"/>
      <c r="B39" s="1301" t="s">
        <v>1304</v>
      </c>
      <c r="C39" s="1302">
        <v>607.59</v>
      </c>
      <c r="D39" s="1302">
        <v>723.25</v>
      </c>
      <c r="E39" s="936">
        <f t="shared" si="0"/>
        <v>665.42000000000007</v>
      </c>
    </row>
    <row r="40" spans="1:5">
      <c r="A40" s="934"/>
      <c r="B40" s="1301" t="s">
        <v>1277</v>
      </c>
      <c r="C40" s="1302">
        <v>228.33999999999997</v>
      </c>
      <c r="D40" s="1302">
        <v>271.81</v>
      </c>
      <c r="E40" s="936">
        <f t="shared" si="0"/>
        <v>250.07499999999999</v>
      </c>
    </row>
    <row r="41" spans="1:5">
      <c r="A41" s="934"/>
      <c r="B41" s="1301" t="s">
        <v>1306</v>
      </c>
      <c r="C41" s="1302">
        <v>3963510.24</v>
      </c>
      <c r="D41" s="1302">
        <v>4220462</v>
      </c>
      <c r="E41" s="936">
        <f t="shared" si="0"/>
        <v>4091986.12</v>
      </c>
    </row>
    <row r="42" spans="1:5">
      <c r="A42" s="934"/>
      <c r="B42" s="1301" t="s">
        <v>1278</v>
      </c>
      <c r="C42" s="1302">
        <v>2284867.89</v>
      </c>
      <c r="D42" s="1302">
        <v>2314648.77</v>
      </c>
      <c r="E42" s="936">
        <f t="shared" si="0"/>
        <v>2299758.33</v>
      </c>
    </row>
    <row r="43" spans="1:5">
      <c r="A43" s="934"/>
      <c r="B43" s="1301" t="s">
        <v>1345</v>
      </c>
      <c r="C43" s="1302">
        <v>478266.42999999993</v>
      </c>
      <c r="D43" s="1302">
        <v>-42823.4</v>
      </c>
      <c r="E43" s="936">
        <f t="shared" si="0"/>
        <v>217721.51499999996</v>
      </c>
    </row>
    <row r="44" spans="1:5">
      <c r="A44" s="934"/>
      <c r="B44" s="1301" t="s">
        <v>1346</v>
      </c>
      <c r="C44" s="1302">
        <v>1293935.28</v>
      </c>
      <c r="D44" s="1302">
        <v>1114330.73</v>
      </c>
      <c r="E44" s="936">
        <f t="shared" si="0"/>
        <v>1204133.0049999999</v>
      </c>
    </row>
    <row r="45" spans="1:5">
      <c r="A45" s="934"/>
      <c r="B45" s="1301" t="s">
        <v>1347</v>
      </c>
      <c r="C45" s="1302">
        <v>2673.6300000000006</v>
      </c>
      <c r="D45" s="1302">
        <v>2683.95</v>
      </c>
      <c r="E45" s="936">
        <f t="shared" si="0"/>
        <v>2678.79</v>
      </c>
    </row>
    <row r="46" spans="1:5">
      <c r="A46" s="934"/>
      <c r="B46" s="1301" t="s">
        <v>1348</v>
      </c>
      <c r="C46" s="1302">
        <v>1004.78</v>
      </c>
      <c r="D46" s="1302">
        <v>1008.66</v>
      </c>
      <c r="E46" s="936">
        <f t="shared" si="0"/>
        <v>1006.72</v>
      </c>
    </row>
    <row r="47" spans="1:5">
      <c r="A47" s="934"/>
      <c r="B47" s="1301" t="s">
        <v>1349</v>
      </c>
      <c r="C47" s="1302">
        <v>-2973.31</v>
      </c>
      <c r="D47" s="1302">
        <v>-2983.14</v>
      </c>
      <c r="E47" s="936">
        <f t="shared" si="0"/>
        <v>-2978.2249999999999</v>
      </c>
    </row>
    <row r="48" spans="1:5">
      <c r="A48" s="934"/>
      <c r="B48" s="1301" t="s">
        <v>1350</v>
      </c>
      <c r="C48" s="1302">
        <v>-1117.42</v>
      </c>
      <c r="D48" s="1302">
        <v>-1121.0999999999999</v>
      </c>
      <c r="E48" s="936">
        <f t="shared" si="0"/>
        <v>-1119.26</v>
      </c>
    </row>
    <row r="49" spans="1:5">
      <c r="A49" s="934"/>
      <c r="B49" s="1301" t="s">
        <v>1351</v>
      </c>
      <c r="C49" s="1302">
        <v>48872.710000000006</v>
      </c>
      <c r="D49" s="1302">
        <v>49061.06</v>
      </c>
      <c r="E49" s="936">
        <f t="shared" si="0"/>
        <v>48966.885000000002</v>
      </c>
    </row>
    <row r="50" spans="1:5">
      <c r="A50" s="934"/>
      <c r="B50" s="1301" t="s">
        <v>1352</v>
      </c>
      <c r="C50" s="1302">
        <v>18367.07</v>
      </c>
      <c r="D50" s="1302">
        <v>18437.849999999999</v>
      </c>
      <c r="E50" s="936">
        <f t="shared" si="0"/>
        <v>18402.46</v>
      </c>
    </row>
    <row r="51" spans="1:5">
      <c r="A51" s="934"/>
      <c r="B51" s="1301" t="s">
        <v>1315</v>
      </c>
      <c r="C51" s="1302">
        <v>3465350.77</v>
      </c>
      <c r="D51" s="1302">
        <v>3474979.39</v>
      </c>
      <c r="E51" s="936">
        <f t="shared" si="0"/>
        <v>3470165.08</v>
      </c>
    </row>
    <row r="52" spans="1:5">
      <c r="A52" s="934"/>
      <c r="B52" s="1301" t="s">
        <v>1287</v>
      </c>
      <c r="C52" s="1302">
        <v>1302328.3299999998</v>
      </c>
      <c r="D52" s="1302">
        <v>1305946.8999999999</v>
      </c>
      <c r="E52" s="936">
        <f t="shared" si="0"/>
        <v>1304137.6149999998</v>
      </c>
    </row>
    <row r="53" spans="1:5">
      <c r="A53" s="934"/>
      <c r="B53" s="1301" t="s">
        <v>1288</v>
      </c>
      <c r="C53" s="1302">
        <v>-31693.190000000006</v>
      </c>
      <c r="D53" s="1302">
        <v>-28098.94</v>
      </c>
      <c r="E53" s="936">
        <f t="shared" si="0"/>
        <v>-29896.065000000002</v>
      </c>
    </row>
    <row r="54" spans="1:5">
      <c r="A54" s="934"/>
      <c r="B54" s="1301" t="s">
        <v>1317</v>
      </c>
      <c r="C54" s="1302">
        <v>-13928.58</v>
      </c>
      <c r="D54" s="1302">
        <v>-12793.81</v>
      </c>
      <c r="E54" s="936">
        <f t="shared" si="0"/>
        <v>-13361.195</v>
      </c>
    </row>
    <row r="55" spans="1:5">
      <c r="A55" s="934"/>
      <c r="B55" s="1301" t="s">
        <v>1289</v>
      </c>
      <c r="C55" s="1302">
        <v>-3921243.5400000005</v>
      </c>
      <c r="D55" s="1302">
        <v>-3936438.32</v>
      </c>
      <c r="E55" s="936">
        <f t="shared" si="0"/>
        <v>-3928840.93</v>
      </c>
    </row>
    <row r="56" spans="1:5">
      <c r="A56" s="934"/>
      <c r="B56" s="1301" t="s">
        <v>1318</v>
      </c>
      <c r="C56" s="1302">
        <v>-1473659.34</v>
      </c>
      <c r="D56" s="1302">
        <v>-1479369.75</v>
      </c>
      <c r="E56" s="936">
        <f t="shared" si="0"/>
        <v>-1476514.5449999999</v>
      </c>
    </row>
    <row r="57" spans="1:5">
      <c r="A57" s="934"/>
      <c r="B57" s="1301" t="s">
        <v>1290</v>
      </c>
      <c r="C57" s="1302">
        <v>-4821776.8900000006</v>
      </c>
      <c r="D57" s="1302">
        <v>-4838889.34</v>
      </c>
      <c r="E57" s="936">
        <f t="shared" si="0"/>
        <v>-4830333.1150000002</v>
      </c>
    </row>
    <row r="58" spans="1:5">
      <c r="A58" s="934"/>
      <c r="B58" s="1301" t="s">
        <v>1319</v>
      </c>
      <c r="C58" s="1302">
        <v>-1800043.1699999997</v>
      </c>
      <c r="D58" s="1302">
        <v>-1805992.68</v>
      </c>
      <c r="E58" s="936">
        <f t="shared" si="0"/>
        <v>-1803017.9249999998</v>
      </c>
    </row>
    <row r="59" spans="1:5">
      <c r="A59" s="934"/>
      <c r="B59" s="1301" t="s">
        <v>1291</v>
      </c>
      <c r="C59" s="1302">
        <v>-814383.55999999994</v>
      </c>
      <c r="D59" s="1302">
        <v>-817481.36</v>
      </c>
      <c r="E59" s="936">
        <f t="shared" si="0"/>
        <v>-815932.46</v>
      </c>
    </row>
    <row r="60" spans="1:5">
      <c r="A60" s="934"/>
      <c r="B60" s="1301" t="s">
        <v>1320</v>
      </c>
      <c r="C60" s="1302">
        <v>-306056.96999999997</v>
      </c>
      <c r="D60" s="1302">
        <v>-307221.17</v>
      </c>
      <c r="E60" s="936">
        <f>AVERAGE(C60:D60)</f>
        <v>-306639.06999999995</v>
      </c>
    </row>
    <row r="61" spans="1:5">
      <c r="A61" s="934"/>
      <c r="B61" s="1301" t="s">
        <v>1370</v>
      </c>
      <c r="C61" s="1302">
        <v>-593623.26</v>
      </c>
      <c r="D61" s="1302">
        <v>-782982.37</v>
      </c>
      <c r="E61" s="936">
        <f>AVERAGE(C61:D61)</f>
        <v>-688302.81499999994</v>
      </c>
    </row>
    <row r="62" spans="1:5">
      <c r="A62" s="934"/>
      <c r="B62" s="1301" t="s">
        <v>1353</v>
      </c>
      <c r="C62" s="1302">
        <v>-26804.769999999997</v>
      </c>
      <c r="D62" s="1302">
        <v>-27365.439999999999</v>
      </c>
      <c r="E62" s="936">
        <f t="shared" si="0"/>
        <v>-27085.104999999996</v>
      </c>
    </row>
    <row r="63" spans="1:5">
      <c r="A63" s="934"/>
      <c r="B63" s="1301" t="s">
        <v>1371</v>
      </c>
      <c r="C63" s="1302">
        <v>-17.13</v>
      </c>
      <c r="D63" s="1302">
        <v>10284.799999999999</v>
      </c>
      <c r="E63" s="936">
        <f t="shared" si="0"/>
        <v>5133.835</v>
      </c>
    </row>
    <row r="64" spans="1:5">
      <c r="A64" s="934"/>
      <c r="B64" s="1301" t="s">
        <v>1326</v>
      </c>
      <c r="C64" s="1302">
        <v>18976179.600000001</v>
      </c>
      <c r="D64" s="1302">
        <v>25026336.710000001</v>
      </c>
      <c r="E64" s="936">
        <f t="shared" si="0"/>
        <v>22001258.155000001</v>
      </c>
    </row>
    <row r="65" spans="1:7">
      <c r="A65" s="934"/>
      <c r="B65" s="1301" t="s">
        <v>1327</v>
      </c>
      <c r="C65" s="1302">
        <v>17299771.859999999</v>
      </c>
      <c r="D65" s="1302">
        <v>23121175.98</v>
      </c>
      <c r="E65" s="936">
        <f t="shared" si="0"/>
        <v>20210473.920000002</v>
      </c>
    </row>
    <row r="66" spans="1:7">
      <c r="A66" s="934"/>
      <c r="B66" s="1301" t="s">
        <v>1296</v>
      </c>
      <c r="C66" s="1302">
        <v>-14272239.469999999</v>
      </c>
      <c r="D66" s="1302">
        <v>-20378647.640000001</v>
      </c>
      <c r="E66" s="936">
        <f t="shared" si="0"/>
        <v>-17325443.555</v>
      </c>
    </row>
    <row r="67" spans="1:7">
      <c r="A67" s="934"/>
      <c r="B67" s="1301" t="s">
        <v>1354</v>
      </c>
      <c r="C67" s="1302">
        <v>-828984.64</v>
      </c>
      <c r="D67" s="1302">
        <v>-887640.82</v>
      </c>
      <c r="E67" s="936">
        <f>AVERAGE(C67:D67)</f>
        <v>-858312.73</v>
      </c>
      <c r="G67" s="1019"/>
    </row>
    <row r="68" spans="1:7">
      <c r="A68" s="934"/>
      <c r="B68" s="1301" t="s">
        <v>1298</v>
      </c>
      <c r="C68" s="1302">
        <v>7044441.5199999996</v>
      </c>
      <c r="D68" s="1302">
        <v>9354349.1199999992</v>
      </c>
      <c r="E68" s="936">
        <f t="shared" ref="E68:E70" si="1">AVERAGE(C68:D68)</f>
        <v>8199395.3199999994</v>
      </c>
      <c r="G68" s="1019"/>
    </row>
    <row r="69" spans="1:7">
      <c r="A69" s="934"/>
      <c r="B69" s="1301" t="s">
        <v>1328</v>
      </c>
      <c r="C69" s="1302">
        <v>6501501.3999999985</v>
      </c>
      <c r="D69" s="1302">
        <v>8689268.2400000002</v>
      </c>
      <c r="E69" s="936">
        <f t="shared" si="1"/>
        <v>7595384.8199999994</v>
      </c>
      <c r="G69" s="1019"/>
    </row>
    <row r="70" spans="1:7">
      <c r="A70" s="934"/>
      <c r="B70" s="1301" t="s">
        <v>1297</v>
      </c>
      <c r="C70" s="1302">
        <v>-5363711.49</v>
      </c>
      <c r="D70" s="1302">
        <v>-7658586.9100000001</v>
      </c>
      <c r="E70" s="936">
        <f t="shared" si="1"/>
        <v>-6511149.2000000002</v>
      </c>
      <c r="G70" s="1019"/>
    </row>
    <row r="71" spans="1:7">
      <c r="A71" s="934"/>
      <c r="B71" s="929"/>
      <c r="C71" s="941"/>
      <c r="D71" s="941"/>
    </row>
    <row r="72" spans="1:7" ht="15.65" thickBot="1">
      <c r="A72" s="934">
        <v>2</v>
      </c>
      <c r="B72" s="942" t="s">
        <v>1096</v>
      </c>
      <c r="C72" s="937">
        <f>SUM(C19:C70)</f>
        <v>212122135.56000003</v>
      </c>
      <c r="D72" s="937">
        <f>SUM(D19:D70)</f>
        <v>251657998.00000009</v>
      </c>
    </row>
    <row r="73" spans="1:7" ht="15.65" thickTop="1">
      <c r="A73" s="934"/>
      <c r="B73" s="929"/>
      <c r="C73" s="940"/>
      <c r="D73" s="940"/>
    </row>
    <row r="74" spans="1:7">
      <c r="A74" s="934"/>
      <c r="B74" s="929"/>
      <c r="C74" s="940"/>
      <c r="D74" s="940"/>
      <c r="E74" s="925" t="s">
        <v>1082</v>
      </c>
    </row>
    <row r="75" spans="1:7">
      <c r="A75" s="934"/>
      <c r="B75" s="929"/>
      <c r="C75" s="940"/>
      <c r="D75" s="940"/>
      <c r="E75" s="925" t="s">
        <v>1097</v>
      </c>
    </row>
    <row r="76" spans="1:7">
      <c r="A76" s="934"/>
      <c r="B76" s="926" t="s">
        <v>1084</v>
      </c>
      <c r="C76" s="940"/>
      <c r="D76" s="940"/>
      <c r="E76" s="927" t="str">
        <f>E3</f>
        <v>For the 12 months ended 12/31/2019</v>
      </c>
    </row>
    <row r="77" spans="1:7">
      <c r="A77" s="934"/>
      <c r="B77" s="926"/>
      <c r="C77" s="940"/>
      <c r="D77" s="940"/>
      <c r="E77" s="927"/>
    </row>
    <row r="78" spans="1:7">
      <c r="A78" s="934"/>
      <c r="B78" s="930" t="s">
        <v>1085</v>
      </c>
      <c r="C78" s="930" t="s">
        <v>1086</v>
      </c>
      <c r="D78" s="930" t="s">
        <v>1087</v>
      </c>
      <c r="E78" s="930" t="s">
        <v>1088</v>
      </c>
    </row>
    <row r="79" spans="1:7">
      <c r="A79" s="934"/>
      <c r="B79" s="929"/>
      <c r="C79" s="929"/>
      <c r="D79" s="929"/>
    </row>
    <row r="80" spans="1:7">
      <c r="A80" s="934"/>
      <c r="B80" s="929"/>
      <c r="C80" s="931" t="s">
        <v>1089</v>
      </c>
      <c r="D80" s="931" t="s">
        <v>1089</v>
      </c>
      <c r="E80" s="926" t="s">
        <v>1090</v>
      </c>
    </row>
    <row r="81" spans="1:5">
      <c r="A81" s="934"/>
      <c r="B81" s="930"/>
      <c r="C81" s="932" t="s">
        <v>1360</v>
      </c>
      <c r="D81" s="932" t="s">
        <v>1395</v>
      </c>
      <c r="E81" s="933" t="s">
        <v>1091</v>
      </c>
    </row>
    <row r="82" spans="1:5">
      <c r="A82" s="934"/>
      <c r="B82" s="939"/>
      <c r="C82" s="940"/>
      <c r="D82" s="940"/>
    </row>
    <row r="83" spans="1:5">
      <c r="A83" s="934"/>
      <c r="B83" s="942" t="s">
        <v>1098</v>
      </c>
      <c r="C83" s="940"/>
      <c r="D83" s="940"/>
    </row>
    <row r="84" spans="1:5">
      <c r="A84" s="934"/>
      <c r="B84" s="942"/>
      <c r="C84" s="940"/>
      <c r="D84" s="940"/>
    </row>
    <row r="85" spans="1:5">
      <c r="A85" s="934"/>
      <c r="B85" s="943" t="s">
        <v>1265</v>
      </c>
      <c r="C85" s="935">
        <v>26124</v>
      </c>
      <c r="D85" s="935">
        <v>23146</v>
      </c>
      <c r="E85" s="936">
        <f>AVERAGE(C85:D85)</f>
        <v>24635</v>
      </c>
    </row>
    <row r="86" spans="1:5">
      <c r="A86" s="934"/>
      <c r="B86" s="943" t="s">
        <v>1266</v>
      </c>
      <c r="C86" s="935">
        <v>297616</v>
      </c>
      <c r="D86" s="935">
        <v>297470</v>
      </c>
      <c r="E86" s="936">
        <f t="shared" ref="E86:E122" si="2">AVERAGE(C86:D86)</f>
        <v>297543</v>
      </c>
    </row>
    <row r="87" spans="1:5">
      <c r="A87" s="934"/>
      <c r="B87" s="943" t="s">
        <v>1267</v>
      </c>
      <c r="C87" s="935">
        <v>2586676</v>
      </c>
      <c r="D87" s="935">
        <v>2672410</v>
      </c>
      <c r="E87" s="936">
        <f t="shared" si="2"/>
        <v>2629543</v>
      </c>
    </row>
    <row r="88" spans="1:5">
      <c r="A88" s="934"/>
      <c r="B88" s="943" t="s">
        <v>1268</v>
      </c>
      <c r="C88" s="935">
        <v>1356327</v>
      </c>
      <c r="D88" s="935">
        <v>1374454</v>
      </c>
      <c r="E88" s="936">
        <f t="shared" si="2"/>
        <v>1365390.5</v>
      </c>
    </row>
    <row r="89" spans="1:5">
      <c r="A89" s="934"/>
      <c r="B89" s="943" t="s">
        <v>1269</v>
      </c>
      <c r="C89" s="935">
        <v>1463638</v>
      </c>
      <c r="D89" s="935">
        <v>1436047</v>
      </c>
      <c r="E89" s="936">
        <f t="shared" si="2"/>
        <v>1449842.5</v>
      </c>
    </row>
    <row r="90" spans="1:5">
      <c r="A90" s="934"/>
      <c r="B90" s="943" t="s">
        <v>1270</v>
      </c>
      <c r="C90" s="935">
        <v>18475</v>
      </c>
      <c r="D90" s="935">
        <v>18474</v>
      </c>
      <c r="E90" s="936">
        <f t="shared" si="2"/>
        <v>18474.5</v>
      </c>
    </row>
    <row r="91" spans="1:5">
      <c r="A91" s="934"/>
      <c r="B91" s="943" t="s">
        <v>1271</v>
      </c>
      <c r="C91" s="935">
        <v>44509</v>
      </c>
      <c r="D91" s="935">
        <v>44682</v>
      </c>
      <c r="E91" s="936">
        <f t="shared" si="2"/>
        <v>44595.5</v>
      </c>
    </row>
    <row r="92" spans="1:5">
      <c r="A92" s="934"/>
      <c r="B92" s="943" t="s">
        <v>1272</v>
      </c>
      <c r="C92" s="935">
        <v>8849</v>
      </c>
      <c r="D92" s="935">
        <v>8849</v>
      </c>
      <c r="E92" s="936">
        <f t="shared" si="2"/>
        <v>8849</v>
      </c>
    </row>
    <row r="93" spans="1:5">
      <c r="A93" s="934"/>
      <c r="B93" s="943" t="s">
        <v>1273</v>
      </c>
      <c r="C93" s="935">
        <v>1181208</v>
      </c>
      <c r="D93" s="935">
        <v>2313567</v>
      </c>
      <c r="E93" s="936">
        <f t="shared" si="2"/>
        <v>1747387.5</v>
      </c>
    </row>
    <row r="94" spans="1:5">
      <c r="A94" s="934"/>
      <c r="B94" s="943" t="s">
        <v>1274</v>
      </c>
      <c r="C94" s="935">
        <v>2296237</v>
      </c>
      <c r="D94" s="935">
        <v>3289496</v>
      </c>
      <c r="E94" s="936">
        <f t="shared" si="2"/>
        <v>2792866.5</v>
      </c>
    </row>
    <row r="95" spans="1:5">
      <c r="A95" s="934"/>
      <c r="B95" s="943" t="s">
        <v>1275</v>
      </c>
      <c r="C95" s="935">
        <v>443914</v>
      </c>
      <c r="D95" s="935">
        <v>869472</v>
      </c>
      <c r="E95" s="936">
        <f t="shared" si="2"/>
        <v>656693</v>
      </c>
    </row>
    <row r="96" spans="1:5">
      <c r="A96" s="934"/>
      <c r="B96" s="943" t="s">
        <v>1276</v>
      </c>
      <c r="C96" s="935">
        <v>862958</v>
      </c>
      <c r="D96" s="935">
        <v>1236240</v>
      </c>
      <c r="E96" s="936">
        <f t="shared" si="2"/>
        <v>1049599</v>
      </c>
    </row>
    <row r="97" spans="1:5">
      <c r="A97" s="934"/>
      <c r="B97" s="943" t="s">
        <v>1278</v>
      </c>
      <c r="C97" s="935">
        <v>151723</v>
      </c>
      <c r="D97" s="935">
        <v>152291</v>
      </c>
      <c r="E97" s="936">
        <f>AVERAGE(C97:D97)</f>
        <v>152007</v>
      </c>
    </row>
    <row r="98" spans="1:5">
      <c r="A98" s="934"/>
      <c r="B98" s="943" t="s">
        <v>1345</v>
      </c>
      <c r="C98" s="935">
        <v>0</v>
      </c>
      <c r="D98" s="935">
        <v>12832</v>
      </c>
      <c r="E98" s="936">
        <f>AVERAGE(C98:D98)</f>
        <v>6416</v>
      </c>
    </row>
    <row r="99" spans="1:5">
      <c r="A99" s="934"/>
      <c r="B99" s="943" t="s">
        <v>1279</v>
      </c>
      <c r="C99" s="935">
        <v>92924</v>
      </c>
      <c r="D99" s="935">
        <v>80341</v>
      </c>
      <c r="E99" s="936">
        <f t="shared" si="2"/>
        <v>86632.5</v>
      </c>
    </row>
    <row r="100" spans="1:5">
      <c r="A100" s="934"/>
      <c r="B100" s="943" t="s">
        <v>1280</v>
      </c>
      <c r="C100" s="935">
        <v>1787956</v>
      </c>
      <c r="D100" s="935">
        <v>1245993</v>
      </c>
      <c r="E100" s="936">
        <f t="shared" si="2"/>
        <v>1516974.5</v>
      </c>
    </row>
    <row r="101" spans="1:5">
      <c r="A101" s="934"/>
      <c r="B101" s="943" t="s">
        <v>1281</v>
      </c>
      <c r="C101" s="935">
        <v>805183</v>
      </c>
      <c r="D101" s="935">
        <v>601506</v>
      </c>
      <c r="E101" s="936">
        <f t="shared" si="2"/>
        <v>703344.5</v>
      </c>
    </row>
    <row r="102" spans="1:5">
      <c r="A102" s="934"/>
      <c r="B102" s="943" t="s">
        <v>1282</v>
      </c>
      <c r="C102" s="935">
        <v>15577</v>
      </c>
      <c r="D102" s="935">
        <v>27813</v>
      </c>
      <c r="E102" s="936">
        <f t="shared" si="2"/>
        <v>21695</v>
      </c>
    </row>
    <row r="103" spans="1:5">
      <c r="A103" s="934"/>
      <c r="B103" s="943" t="s">
        <v>1283</v>
      </c>
      <c r="C103" s="935">
        <v>485334</v>
      </c>
      <c r="D103" s="935">
        <v>142723</v>
      </c>
      <c r="E103" s="936">
        <f t="shared" si="2"/>
        <v>314028.5</v>
      </c>
    </row>
    <row r="104" spans="1:5">
      <c r="A104" s="934"/>
      <c r="B104" s="943" t="s">
        <v>1284</v>
      </c>
      <c r="C104" s="935">
        <v>74</v>
      </c>
      <c r="D104" s="935">
        <v>74</v>
      </c>
      <c r="E104" s="936">
        <f t="shared" si="2"/>
        <v>74</v>
      </c>
    </row>
    <row r="105" spans="1:5">
      <c r="A105" s="934"/>
      <c r="B105" s="943" t="s">
        <v>1285</v>
      </c>
      <c r="C105" s="935">
        <v>806</v>
      </c>
      <c r="D105" s="935">
        <v>808</v>
      </c>
      <c r="E105" s="936">
        <f t="shared" si="2"/>
        <v>807</v>
      </c>
    </row>
    <row r="106" spans="1:5">
      <c r="A106" s="934"/>
      <c r="B106" s="943" t="s">
        <v>1286</v>
      </c>
      <c r="C106" s="935">
        <v>1331</v>
      </c>
      <c r="D106" s="935">
        <v>1336</v>
      </c>
      <c r="E106" s="936">
        <f t="shared" si="2"/>
        <v>1333.5</v>
      </c>
    </row>
    <row r="107" spans="1:5">
      <c r="A107" s="934"/>
      <c r="B107" s="943" t="s">
        <v>1287</v>
      </c>
      <c r="C107" s="935">
        <v>93801</v>
      </c>
      <c r="D107" s="935">
        <v>94061</v>
      </c>
      <c r="E107" s="936">
        <f t="shared" si="2"/>
        <v>93931</v>
      </c>
    </row>
    <row r="108" spans="1:5">
      <c r="A108" s="934"/>
      <c r="B108" s="943" t="s">
        <v>1405</v>
      </c>
      <c r="C108" s="935">
        <v>0</v>
      </c>
      <c r="D108" s="935">
        <v>2322414</v>
      </c>
      <c r="E108" s="936">
        <f t="shared" si="2"/>
        <v>1161207</v>
      </c>
    </row>
    <row r="109" spans="1:5">
      <c r="A109" s="934"/>
      <c r="B109" s="943" t="s">
        <v>1288</v>
      </c>
      <c r="C109" s="935">
        <v>8585</v>
      </c>
      <c r="D109" s="935">
        <v>7611</v>
      </c>
      <c r="E109" s="936">
        <f t="shared" si="2"/>
        <v>8098</v>
      </c>
    </row>
    <row r="110" spans="1:5">
      <c r="A110" s="934"/>
      <c r="B110" s="943" t="s">
        <v>1289</v>
      </c>
      <c r="C110" s="935">
        <v>1062170</v>
      </c>
      <c r="D110" s="935">
        <v>1066285</v>
      </c>
      <c r="E110" s="936">
        <f t="shared" si="2"/>
        <v>1064227.5</v>
      </c>
    </row>
    <row r="111" spans="1:5">
      <c r="A111" s="934"/>
      <c r="B111" s="943" t="s">
        <v>1290</v>
      </c>
      <c r="C111" s="935">
        <v>1005410</v>
      </c>
      <c r="D111" s="935">
        <v>1005725</v>
      </c>
      <c r="E111" s="936">
        <f t="shared" si="2"/>
        <v>1005567.5</v>
      </c>
    </row>
    <row r="112" spans="1:5">
      <c r="A112" s="934"/>
      <c r="B112" s="943" t="s">
        <v>1291</v>
      </c>
      <c r="C112" s="935">
        <v>220597</v>
      </c>
      <c r="D112" s="935">
        <v>221436</v>
      </c>
      <c r="E112" s="936">
        <f t="shared" si="2"/>
        <v>221016.5</v>
      </c>
    </row>
    <row r="113" spans="1:5">
      <c r="A113" s="934"/>
      <c r="B113" s="943" t="s">
        <v>1361</v>
      </c>
      <c r="C113" s="935">
        <v>1706983</v>
      </c>
      <c r="D113" s="935">
        <v>0</v>
      </c>
      <c r="E113" s="936">
        <f t="shared" si="2"/>
        <v>853491.5</v>
      </c>
    </row>
    <row r="114" spans="1:5">
      <c r="A114" s="934"/>
      <c r="B114" s="943" t="s">
        <v>1292</v>
      </c>
      <c r="C114" s="935">
        <v>20938146</v>
      </c>
      <c r="D114" s="935">
        <v>30015745</v>
      </c>
      <c r="E114" s="936">
        <f t="shared" si="2"/>
        <v>25476945.5</v>
      </c>
    </row>
    <row r="115" spans="1:5">
      <c r="A115" s="934"/>
      <c r="B115" s="943" t="s">
        <v>1362</v>
      </c>
      <c r="C115" s="935">
        <v>206640</v>
      </c>
      <c r="D115" s="935">
        <v>665993</v>
      </c>
      <c r="E115" s="936">
        <f t="shared" si="2"/>
        <v>436316.5</v>
      </c>
    </row>
    <row r="116" spans="1:5">
      <c r="A116" s="934"/>
      <c r="B116" s="943" t="s">
        <v>1293</v>
      </c>
      <c r="C116" s="935">
        <v>152064</v>
      </c>
      <c r="D116" s="935">
        <v>76032</v>
      </c>
      <c r="E116" s="936">
        <f t="shared" si="2"/>
        <v>114048</v>
      </c>
    </row>
    <row r="117" spans="1:5">
      <c r="A117" s="934"/>
      <c r="B117" s="943" t="s">
        <v>1294</v>
      </c>
      <c r="C117" s="935">
        <v>307692</v>
      </c>
      <c r="D117" s="935">
        <v>1248184</v>
      </c>
      <c r="E117" s="936">
        <f t="shared" si="2"/>
        <v>777938</v>
      </c>
    </row>
    <row r="118" spans="1:5">
      <c r="A118" s="934"/>
      <c r="B118" s="943" t="s">
        <v>1295</v>
      </c>
      <c r="C118" s="935">
        <v>127305</v>
      </c>
      <c r="D118" s="935">
        <v>480755</v>
      </c>
      <c r="E118" s="936">
        <f t="shared" si="2"/>
        <v>304030</v>
      </c>
    </row>
    <row r="119" spans="1:5">
      <c r="A119" s="934"/>
      <c r="B119" s="943" t="s">
        <v>1296</v>
      </c>
      <c r="C119" s="935">
        <v>2359622</v>
      </c>
      <c r="D119" s="935">
        <v>2359624</v>
      </c>
      <c r="E119" s="936">
        <f t="shared" si="2"/>
        <v>2359623</v>
      </c>
    </row>
    <row r="120" spans="1:5">
      <c r="A120" s="934"/>
      <c r="B120" s="943" t="s">
        <v>1298</v>
      </c>
      <c r="C120" s="935">
        <v>357070</v>
      </c>
      <c r="D120" s="935">
        <v>357849</v>
      </c>
      <c r="E120" s="936">
        <f t="shared" si="2"/>
        <v>357459.5</v>
      </c>
    </row>
    <row r="121" spans="1:5">
      <c r="A121" s="934"/>
      <c r="B121" s="943" t="s">
        <v>1297</v>
      </c>
      <c r="C121" s="935">
        <v>318116</v>
      </c>
      <c r="D121" s="935">
        <v>318117</v>
      </c>
      <c r="E121" s="936">
        <f>AVERAGE(C121:D121)</f>
        <v>318116.5</v>
      </c>
    </row>
    <row r="122" spans="1:5">
      <c r="A122" s="934"/>
      <c r="B122" s="943" t="s">
        <v>1299</v>
      </c>
      <c r="C122" s="935">
        <v>1035343</v>
      </c>
      <c r="D122" s="935">
        <v>857727</v>
      </c>
      <c r="E122" s="936">
        <f t="shared" si="2"/>
        <v>946535</v>
      </c>
    </row>
    <row r="123" spans="1:5">
      <c r="A123" s="934"/>
      <c r="B123" s="929"/>
      <c r="C123" s="940"/>
      <c r="D123" s="940"/>
    </row>
    <row r="124" spans="1:5" ht="15.65" thickBot="1">
      <c r="A124" s="934">
        <v>3</v>
      </c>
      <c r="B124" s="942" t="s">
        <v>1099</v>
      </c>
      <c r="C124" s="937">
        <f>SUM(C85:C122)</f>
        <v>43826983</v>
      </c>
      <c r="D124" s="937">
        <f>SUM(D85:D122)</f>
        <v>56947582</v>
      </c>
      <c r="E124" s="936"/>
    </row>
    <row r="125" spans="1:5" ht="15.65" thickTop="1"/>
    <row r="126" spans="1:5">
      <c r="E126" s="925" t="s">
        <v>1082</v>
      </c>
    </row>
    <row r="127" spans="1:5">
      <c r="E127" s="925" t="s">
        <v>1100</v>
      </c>
    </row>
    <row r="128" spans="1:5">
      <c r="B128" s="926" t="s">
        <v>1084</v>
      </c>
      <c r="E128" s="927" t="str">
        <f>E76</f>
        <v>For the 12 months ended 12/31/2019</v>
      </c>
    </row>
    <row r="129" spans="1:6">
      <c r="E129" s="927"/>
    </row>
    <row r="130" spans="1:6">
      <c r="A130" s="929"/>
      <c r="B130" s="930" t="s">
        <v>1085</v>
      </c>
      <c r="C130" s="944" t="s">
        <v>1086</v>
      </c>
      <c r="D130" s="944" t="s">
        <v>1087</v>
      </c>
      <c r="E130" s="930" t="s">
        <v>1088</v>
      </c>
    </row>
    <row r="131" spans="1:6">
      <c r="A131" s="929"/>
      <c r="B131" s="929"/>
      <c r="C131" s="945"/>
      <c r="D131" s="945"/>
      <c r="E131" s="946"/>
    </row>
    <row r="132" spans="1:6">
      <c r="A132" s="929"/>
      <c r="B132" s="929"/>
      <c r="C132" s="947" t="s">
        <v>1089</v>
      </c>
      <c r="D132" s="947" t="s">
        <v>1089</v>
      </c>
      <c r="E132" s="924" t="s">
        <v>1090</v>
      </c>
    </row>
    <row r="133" spans="1:6">
      <c r="A133" s="929"/>
      <c r="B133" s="930"/>
      <c r="C133" s="932" t="s">
        <v>1360</v>
      </c>
      <c r="D133" s="932" t="s">
        <v>1395</v>
      </c>
      <c r="E133" s="924" t="s">
        <v>1091</v>
      </c>
    </row>
    <row r="134" spans="1:6">
      <c r="A134" s="929"/>
      <c r="B134" s="929"/>
      <c r="C134" s="945"/>
      <c r="D134" s="945"/>
    </row>
    <row r="135" spans="1:6">
      <c r="A135" s="934"/>
      <c r="B135" s="948" t="s">
        <v>1101</v>
      </c>
      <c r="C135" s="949"/>
      <c r="D135" s="949"/>
    </row>
    <row r="136" spans="1:6">
      <c r="A136" s="934"/>
      <c r="B136" s="943" t="s">
        <v>1265</v>
      </c>
      <c r="C136" s="935">
        <v>261498</v>
      </c>
      <c r="D136" s="935">
        <v>231690</v>
      </c>
      <c r="E136" s="936">
        <f>AVERAGE(C136:D136)</f>
        <v>246594</v>
      </c>
      <c r="F136" s="936"/>
    </row>
    <row r="137" spans="1:6">
      <c r="A137" s="934"/>
      <c r="B137" s="943" t="s">
        <v>1266</v>
      </c>
      <c r="C137" s="935">
        <v>2826518</v>
      </c>
      <c r="D137" s="935">
        <v>2837125</v>
      </c>
      <c r="E137" s="936">
        <f t="shared" ref="E137:E172" si="3">AVERAGE(C137:D137)</f>
        <v>2831821.5</v>
      </c>
      <c r="F137" s="936"/>
    </row>
    <row r="138" spans="1:6">
      <c r="A138" s="934"/>
      <c r="B138" s="943" t="s">
        <v>1269</v>
      </c>
      <c r="C138" s="935">
        <v>26743637</v>
      </c>
      <c r="D138" s="935">
        <v>26446814</v>
      </c>
      <c r="E138" s="936">
        <f t="shared" si="3"/>
        <v>26595225.5</v>
      </c>
      <c r="F138" s="936"/>
    </row>
    <row r="139" spans="1:6">
      <c r="A139" s="934"/>
      <c r="B139" s="950" t="s">
        <v>1300</v>
      </c>
      <c r="C139" s="935">
        <v>444151</v>
      </c>
      <c r="D139" s="935">
        <v>445876</v>
      </c>
      <c r="E139" s="936">
        <f t="shared" si="3"/>
        <v>445013.5</v>
      </c>
      <c r="F139" s="936"/>
    </row>
    <row r="140" spans="1:6">
      <c r="A140" s="934"/>
      <c r="B140" s="943" t="s">
        <v>1272</v>
      </c>
      <c r="C140" s="935">
        <v>88579</v>
      </c>
      <c r="D140" s="935">
        <v>88579</v>
      </c>
      <c r="E140" s="936">
        <f t="shared" si="3"/>
        <v>88579</v>
      </c>
      <c r="F140" s="936"/>
    </row>
    <row r="141" spans="1:6">
      <c r="A141" s="934"/>
      <c r="B141" s="943" t="s">
        <v>1301</v>
      </c>
      <c r="C141" s="935">
        <v>1846</v>
      </c>
      <c r="D141" s="935">
        <v>1846</v>
      </c>
      <c r="E141" s="936">
        <f t="shared" si="3"/>
        <v>1846</v>
      </c>
      <c r="F141" s="936"/>
    </row>
    <row r="142" spans="1:6">
      <c r="A142" s="934"/>
      <c r="B142" s="943" t="s">
        <v>1302</v>
      </c>
      <c r="C142" s="935">
        <v>973764</v>
      </c>
      <c r="D142" s="935">
        <v>2120384</v>
      </c>
      <c r="E142" s="936">
        <f t="shared" si="3"/>
        <v>1547074</v>
      </c>
      <c r="F142" s="936"/>
    </row>
    <row r="143" spans="1:6">
      <c r="A143" s="934"/>
      <c r="B143" s="943" t="s">
        <v>1303</v>
      </c>
      <c r="C143" s="935">
        <v>365954</v>
      </c>
      <c r="D143" s="935">
        <v>796871</v>
      </c>
      <c r="E143" s="936">
        <f t="shared" si="3"/>
        <v>581412.5</v>
      </c>
      <c r="F143" s="936"/>
    </row>
    <row r="144" spans="1:6">
      <c r="A144" s="934"/>
      <c r="B144" s="1245" t="s">
        <v>1305</v>
      </c>
      <c r="C144" s="935">
        <v>3391</v>
      </c>
      <c r="D144" s="935">
        <v>5329</v>
      </c>
      <c r="E144" s="936">
        <f>AVERAGE(C144:D144)</f>
        <v>4360</v>
      </c>
      <c r="F144" s="936"/>
    </row>
    <row r="145" spans="1:6">
      <c r="A145" s="934"/>
      <c r="B145" s="943" t="s">
        <v>1306</v>
      </c>
      <c r="C145" s="935">
        <v>1510440</v>
      </c>
      <c r="D145" s="935">
        <v>1516090</v>
      </c>
      <c r="E145" s="936">
        <f>AVERAGE(C145:D145)</f>
        <v>1513265</v>
      </c>
      <c r="F145" s="936"/>
    </row>
    <row r="146" spans="1:6">
      <c r="A146" s="934"/>
      <c r="B146" s="943" t="s">
        <v>1307</v>
      </c>
      <c r="C146" s="935">
        <v>124637</v>
      </c>
      <c r="D146" s="935">
        <v>0</v>
      </c>
      <c r="E146" s="936">
        <f>AVERAGE(C146:D146)</f>
        <v>62318.5</v>
      </c>
      <c r="F146" s="936"/>
    </row>
    <row r="147" spans="1:6">
      <c r="A147" s="934"/>
      <c r="B147" s="943" t="s">
        <v>1406</v>
      </c>
      <c r="C147" s="935">
        <v>0</v>
      </c>
      <c r="D147" s="935">
        <v>1909</v>
      </c>
      <c r="E147" s="936">
        <f>AVERAGE(C147:D147)</f>
        <v>954.5</v>
      </c>
      <c r="F147" s="936"/>
    </row>
    <row r="148" spans="1:6">
      <c r="A148" s="934"/>
      <c r="B148" s="943" t="s">
        <v>1308</v>
      </c>
      <c r="C148" s="935">
        <v>3694067</v>
      </c>
      <c r="D148" s="935">
        <v>2851415</v>
      </c>
      <c r="E148" s="936">
        <f t="shared" si="3"/>
        <v>3272741</v>
      </c>
      <c r="F148" s="936"/>
    </row>
    <row r="149" spans="1:6">
      <c r="A149" s="934"/>
      <c r="B149" s="943" t="s">
        <v>1309</v>
      </c>
      <c r="C149" s="935">
        <v>2179096</v>
      </c>
      <c r="D149" s="935">
        <v>1637133</v>
      </c>
      <c r="E149" s="936">
        <f t="shared" si="3"/>
        <v>1908114.5</v>
      </c>
      <c r="F149" s="936"/>
    </row>
    <row r="150" spans="1:6">
      <c r="A150" s="934"/>
      <c r="B150" s="943" t="s">
        <v>1310</v>
      </c>
      <c r="C150" s="935">
        <v>2172189</v>
      </c>
      <c r="D150" s="935">
        <v>1822745</v>
      </c>
      <c r="E150" s="936">
        <f t="shared" si="3"/>
        <v>1997467</v>
      </c>
      <c r="F150" s="936"/>
    </row>
    <row r="151" spans="1:6">
      <c r="A151" s="934"/>
      <c r="B151" s="943" t="s">
        <v>1311</v>
      </c>
      <c r="C151" s="935">
        <v>1021306</v>
      </c>
      <c r="D151" s="935">
        <v>817628</v>
      </c>
      <c r="E151" s="936">
        <f t="shared" si="3"/>
        <v>919467</v>
      </c>
      <c r="F151" s="936"/>
    </row>
    <row r="152" spans="1:6">
      <c r="A152" s="934"/>
      <c r="B152" s="943" t="s">
        <v>1363</v>
      </c>
      <c r="C152" s="935">
        <v>1324923</v>
      </c>
      <c r="D152" s="935">
        <v>309218</v>
      </c>
      <c r="E152" s="936">
        <f t="shared" si="3"/>
        <v>817070.5</v>
      </c>
      <c r="F152" s="936"/>
    </row>
    <row r="153" spans="1:6">
      <c r="A153" s="934"/>
      <c r="B153" s="943" t="s">
        <v>1312</v>
      </c>
      <c r="C153" s="935">
        <v>724</v>
      </c>
      <c r="D153" s="935">
        <v>727</v>
      </c>
      <c r="E153" s="936">
        <f t="shared" si="3"/>
        <v>725.5</v>
      </c>
      <c r="F153" s="936"/>
    </row>
    <row r="154" spans="1:6">
      <c r="A154" s="934"/>
      <c r="B154" s="943" t="s">
        <v>1313</v>
      </c>
      <c r="C154" s="935">
        <v>80</v>
      </c>
      <c r="D154" s="935">
        <v>81</v>
      </c>
      <c r="E154" s="936">
        <f t="shared" si="3"/>
        <v>80.5</v>
      </c>
      <c r="F154" s="936"/>
    </row>
    <row r="155" spans="1:6">
      <c r="A155" s="934"/>
      <c r="B155" s="943" t="s">
        <v>1314</v>
      </c>
      <c r="C155" s="935">
        <v>13239</v>
      </c>
      <c r="D155" s="935">
        <v>13289</v>
      </c>
      <c r="E155" s="936">
        <f t="shared" si="3"/>
        <v>13264</v>
      </c>
      <c r="F155" s="936"/>
    </row>
    <row r="156" spans="1:6">
      <c r="A156" s="934"/>
      <c r="B156" s="943" t="s">
        <v>1315</v>
      </c>
      <c r="C156" s="935">
        <v>938679</v>
      </c>
      <c r="D156" s="935">
        <v>941287</v>
      </c>
      <c r="E156" s="936">
        <f t="shared" si="3"/>
        <v>939983</v>
      </c>
      <c r="F156" s="936"/>
    </row>
    <row r="157" spans="1:6">
      <c r="A157" s="934"/>
      <c r="B157" s="1245" t="s">
        <v>1316</v>
      </c>
      <c r="C157" s="935">
        <v>946495</v>
      </c>
      <c r="D157" s="935">
        <v>905992</v>
      </c>
      <c r="E157" s="936">
        <f t="shared" si="3"/>
        <v>926243.5</v>
      </c>
      <c r="F157" s="936"/>
    </row>
    <row r="158" spans="1:6">
      <c r="A158" s="934"/>
      <c r="B158" s="1245" t="s">
        <v>1317</v>
      </c>
      <c r="C158" s="935">
        <v>1003</v>
      </c>
      <c r="D158" s="935">
        <v>922</v>
      </c>
      <c r="E158" s="936">
        <f t="shared" si="3"/>
        <v>962.5</v>
      </c>
      <c r="F158" s="936"/>
    </row>
    <row r="159" spans="1:6">
      <c r="A159" s="934"/>
      <c r="B159" s="1274" t="s">
        <v>1364</v>
      </c>
      <c r="C159" s="935">
        <v>75908</v>
      </c>
      <c r="D159" s="935">
        <v>3358103</v>
      </c>
      <c r="E159" s="936">
        <f>AVERAGE(C159:D159)</f>
        <v>1717005.5</v>
      </c>
      <c r="F159" s="936"/>
    </row>
    <row r="160" spans="1:6">
      <c r="A160" s="934"/>
      <c r="B160" s="1245" t="s">
        <v>1318</v>
      </c>
      <c r="C160" s="935">
        <v>106713</v>
      </c>
      <c r="D160" s="935">
        <v>107126</v>
      </c>
      <c r="E160" s="936">
        <f t="shared" si="3"/>
        <v>106919.5</v>
      </c>
      <c r="F160" s="936"/>
    </row>
    <row r="161" spans="1:6">
      <c r="A161" s="934"/>
      <c r="B161" s="950" t="s">
        <v>1319</v>
      </c>
      <c r="C161" s="935">
        <v>129628</v>
      </c>
      <c r="D161" s="935">
        <v>130057</v>
      </c>
      <c r="E161" s="936">
        <f t="shared" si="3"/>
        <v>129842.5</v>
      </c>
      <c r="F161" s="936"/>
    </row>
    <row r="162" spans="1:6">
      <c r="A162" s="934"/>
      <c r="B162" s="950" t="s">
        <v>1320</v>
      </c>
      <c r="C162" s="935">
        <v>22038</v>
      </c>
      <c r="D162" s="935">
        <v>22121</v>
      </c>
      <c r="E162" s="936">
        <f t="shared" si="3"/>
        <v>22079.5</v>
      </c>
      <c r="F162" s="936"/>
    </row>
    <row r="163" spans="1:6">
      <c r="A163" s="934"/>
      <c r="B163" s="1245" t="s">
        <v>1321</v>
      </c>
      <c r="C163" s="935">
        <v>26856534</v>
      </c>
      <c r="D163" s="935">
        <v>26856534</v>
      </c>
      <c r="E163" s="936">
        <f t="shared" si="3"/>
        <v>26856534</v>
      </c>
      <c r="F163" s="936"/>
    </row>
    <row r="164" spans="1:6">
      <c r="A164" s="934"/>
      <c r="B164" s="943" t="s">
        <v>1322</v>
      </c>
      <c r="C164" s="935">
        <v>1124158</v>
      </c>
      <c r="D164" s="935">
        <v>1867130</v>
      </c>
      <c r="E164" s="936">
        <f t="shared" si="3"/>
        <v>1495644</v>
      </c>
      <c r="F164" s="936"/>
    </row>
    <row r="165" spans="1:6">
      <c r="A165" s="934"/>
      <c r="B165" s="943" t="s">
        <v>1323</v>
      </c>
      <c r="C165" s="935">
        <v>1521154</v>
      </c>
      <c r="D165" s="935">
        <v>3161351</v>
      </c>
      <c r="E165" s="936">
        <f t="shared" si="3"/>
        <v>2341252.5</v>
      </c>
      <c r="F165" s="936"/>
    </row>
    <row r="166" spans="1:6">
      <c r="A166" s="934"/>
      <c r="B166" s="943" t="s">
        <v>1324</v>
      </c>
      <c r="C166" s="935">
        <v>646712</v>
      </c>
      <c r="D166" s="935">
        <v>914307</v>
      </c>
      <c r="E166" s="936">
        <f t="shared" si="3"/>
        <v>780509.5</v>
      </c>
      <c r="F166" s="936"/>
    </row>
    <row r="167" spans="1:6">
      <c r="A167" s="934"/>
      <c r="B167" s="943" t="s">
        <v>1325</v>
      </c>
      <c r="C167" s="935">
        <v>740514</v>
      </c>
      <c r="D167" s="935">
        <v>1356923</v>
      </c>
      <c r="E167" s="936">
        <f>AVERAGE(C167:D167)</f>
        <v>1048718.5</v>
      </c>
      <c r="F167" s="936"/>
    </row>
    <row r="168" spans="1:6">
      <c r="A168" s="934"/>
      <c r="B168" s="943" t="s">
        <v>1326</v>
      </c>
      <c r="C168" s="935">
        <v>3641211</v>
      </c>
      <c r="D168" s="935">
        <v>3622951</v>
      </c>
      <c r="E168" s="936">
        <f t="shared" si="3"/>
        <v>3632081</v>
      </c>
      <c r="F168" s="936"/>
    </row>
    <row r="169" spans="1:6">
      <c r="A169" s="934"/>
      <c r="B169" s="943" t="s">
        <v>1327</v>
      </c>
      <c r="C169" s="935">
        <v>3184353</v>
      </c>
      <c r="D169" s="935">
        <v>3184353</v>
      </c>
      <c r="E169" s="936">
        <f t="shared" si="3"/>
        <v>3184353</v>
      </c>
      <c r="F169" s="936"/>
    </row>
    <row r="170" spans="1:6">
      <c r="A170" s="934"/>
      <c r="B170" s="943" t="s">
        <v>1298</v>
      </c>
      <c r="C170" s="935">
        <v>336828</v>
      </c>
      <c r="D170" s="935">
        <v>360660</v>
      </c>
      <c r="E170" s="936">
        <f t="shared" si="3"/>
        <v>348744</v>
      </c>
      <c r="F170" s="936"/>
    </row>
    <row r="171" spans="1:6">
      <c r="A171" s="934"/>
      <c r="B171" s="943" t="s">
        <v>1328</v>
      </c>
      <c r="C171" s="935">
        <v>235726</v>
      </c>
      <c r="D171" s="935">
        <v>235726</v>
      </c>
      <c r="E171" s="936">
        <f t="shared" si="3"/>
        <v>235726</v>
      </c>
      <c r="F171" s="936"/>
    </row>
    <row r="172" spans="1:6">
      <c r="A172" s="934"/>
      <c r="B172" s="950" t="s">
        <v>1329</v>
      </c>
      <c r="C172" s="935">
        <v>2404276</v>
      </c>
      <c r="D172" s="935">
        <v>0</v>
      </c>
      <c r="E172" s="936">
        <f t="shared" si="3"/>
        <v>1202138</v>
      </c>
      <c r="F172" s="936"/>
    </row>
    <row r="173" spans="1:6">
      <c r="A173" s="934"/>
      <c r="B173" s="940"/>
      <c r="C173" s="940"/>
      <c r="D173" s="940"/>
      <c r="E173" s="946"/>
    </row>
    <row r="174" spans="1:6" ht="15.65" thickBot="1">
      <c r="A174" s="934">
        <v>4</v>
      </c>
      <c r="B174" s="948" t="s">
        <v>1102</v>
      </c>
      <c r="C174" s="951">
        <f>SUM(C136:C172)</f>
        <v>86661969</v>
      </c>
      <c r="D174" s="951">
        <f>SUM(D136:D172)</f>
        <v>88970292</v>
      </c>
      <c r="E174" s="951">
        <f>SUM(E136:E172)</f>
        <v>87816130.5</v>
      </c>
    </row>
    <row r="175" spans="1:6" ht="15.65" thickTop="1"/>
  </sheetData>
  <mergeCells count="1">
    <mergeCell ref="A4:D4"/>
  </mergeCells>
  <pageMargins left="0.7" right="0.7" top="0.75" bottom="0.75" header="0.3" footer="0.3"/>
  <pageSetup scale="63" orientation="portrait" r:id="rId1"/>
  <rowBreaks count="2" manualBreakCount="2">
    <brk id="73" max="4" man="1"/>
    <brk id="125" max="4"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tabColor theme="5"/>
  </sheetPr>
  <dimension ref="A1:L43"/>
  <sheetViews>
    <sheetView view="pageBreakPreview" topLeftCell="A10" zoomScale="85" zoomScaleNormal="85" zoomScaleSheetLayoutView="85" workbookViewId="0">
      <selection activeCell="B42" sqref="B42:K44"/>
    </sheetView>
  </sheetViews>
  <sheetFormatPr defaultColWidth="8.90625" defaultRowHeight="20.05" customHeight="1"/>
  <cols>
    <col min="1" max="1" width="3" style="52" customWidth="1"/>
    <col min="2" max="2" width="17.36328125" style="46" customWidth="1"/>
    <col min="3" max="3" width="8.90625" style="46"/>
    <col min="4" max="4" width="2.81640625" style="46" customWidth="1"/>
    <col min="5" max="9" width="12.81640625" style="52" customWidth="1"/>
    <col min="10" max="10" width="18.08984375" style="46" customWidth="1"/>
    <col min="11" max="11" width="11.90625" style="46" bestFit="1" customWidth="1"/>
    <col min="12" max="16384" width="8.90625" style="46"/>
  </cols>
  <sheetData>
    <row r="1" spans="1:11" ht="20.05" customHeight="1">
      <c r="A1" s="55" t="str">
        <f ca="1">RIGHT(CELL("filename",D2),LEN(CELL("filename",D2))-FIND("]",CELL("filename",D2)))</f>
        <v>WP03-A ADIT Summary</v>
      </c>
    </row>
    <row r="2" spans="1:11" ht="20.05" customHeight="1">
      <c r="C2" s="135"/>
      <c r="E2" s="1336" t="s">
        <v>597</v>
      </c>
      <c r="F2" s="1336"/>
      <c r="G2" s="1336"/>
      <c r="H2" s="1336"/>
      <c r="I2" s="1336"/>
      <c r="J2" s="1336"/>
      <c r="K2" s="1336"/>
    </row>
    <row r="3" spans="1:11" ht="20.05" customHeight="1">
      <c r="A3" s="267"/>
      <c r="B3" s="268"/>
      <c r="C3" s="268"/>
      <c r="D3" s="268"/>
      <c r="E3" s="269" t="s">
        <v>266</v>
      </c>
      <c r="F3" s="269" t="s">
        <v>267</v>
      </c>
      <c r="G3" s="269" t="s">
        <v>268</v>
      </c>
      <c r="H3" s="269" t="s">
        <v>269</v>
      </c>
      <c r="I3" s="269" t="s">
        <v>270</v>
      </c>
      <c r="J3" s="268"/>
      <c r="K3" s="269" t="s">
        <v>10</v>
      </c>
    </row>
    <row r="4" spans="1:11" ht="20.05" customHeight="1">
      <c r="A4" s="267"/>
      <c r="B4" s="268"/>
      <c r="C4" s="268"/>
      <c r="D4" s="268"/>
      <c r="E4" s="270" t="s">
        <v>273</v>
      </c>
      <c r="F4" s="270" t="s">
        <v>273</v>
      </c>
      <c r="G4" s="270" t="s">
        <v>273</v>
      </c>
      <c r="H4" s="269"/>
      <c r="I4" s="270" t="s">
        <v>273</v>
      </c>
      <c r="J4" s="268"/>
      <c r="K4" s="268"/>
    </row>
    <row r="5" spans="1:11" ht="20.05" customHeight="1">
      <c r="A5" s="267"/>
      <c r="B5" s="268"/>
      <c r="C5" s="268"/>
      <c r="D5" s="271"/>
      <c r="E5" s="272"/>
      <c r="F5" s="272" t="s">
        <v>274</v>
      </c>
      <c r="G5" s="272" t="s">
        <v>345</v>
      </c>
      <c r="H5" s="272" t="s">
        <v>359</v>
      </c>
      <c r="I5" s="272" t="s">
        <v>361</v>
      </c>
      <c r="J5" s="268"/>
      <c r="K5" s="268"/>
    </row>
    <row r="6" spans="1:11" ht="20.05" customHeight="1">
      <c r="A6" s="275">
        <v>1</v>
      </c>
      <c r="B6" s="273" t="s">
        <v>272</v>
      </c>
      <c r="C6" s="49">
        <v>2016</v>
      </c>
      <c r="D6" s="271"/>
      <c r="E6" s="278">
        <f>-(E13)</f>
        <v>0</v>
      </c>
      <c r="F6" s="278">
        <f>-(F13+J26-F26-G26-H26-I26)</f>
        <v>0</v>
      </c>
      <c r="G6" s="278">
        <f>-(G13+J33-F33-G33-H33-I33)</f>
        <v>0</v>
      </c>
      <c r="H6" s="278">
        <f>H13+J39-F39-G39-H39-I39</f>
        <v>0</v>
      </c>
      <c r="I6" s="278">
        <f t="shared" ref="I6:I7" si="0">-(I13)</f>
        <v>0</v>
      </c>
      <c r="J6" s="268"/>
      <c r="K6" s="278">
        <f t="shared" ref="K6:K7" si="1">SUM(E6:I6)</f>
        <v>0</v>
      </c>
    </row>
    <row r="7" spans="1:11" ht="20.05" customHeight="1">
      <c r="A7" s="275">
        <v>2</v>
      </c>
      <c r="B7" s="273" t="s">
        <v>272</v>
      </c>
      <c r="C7" s="274">
        <f>C6+1</f>
        <v>2017</v>
      </c>
      <c r="D7" s="271"/>
      <c r="E7" s="278">
        <f>-(E14)</f>
        <v>0</v>
      </c>
      <c r="F7" s="278">
        <f>-(F14+J27-F27-G27-H27-I27)</f>
        <v>0</v>
      </c>
      <c r="G7" s="278">
        <f>-(G14+J34-F34-G34-H34-I34)</f>
        <v>2425980.0800000019</v>
      </c>
      <c r="H7" s="278">
        <f>H14+J40-F40-G40-H40-I40</f>
        <v>-352590.74000000209</v>
      </c>
      <c r="I7" s="278">
        <f t="shared" si="0"/>
        <v>0</v>
      </c>
      <c r="J7" s="268"/>
      <c r="K7" s="278">
        <f t="shared" si="1"/>
        <v>2073389.3399999999</v>
      </c>
    </row>
    <row r="8" spans="1:11" ht="20.05" customHeight="1">
      <c r="A8" s="267"/>
      <c r="B8" s="268"/>
      <c r="C8" s="268"/>
      <c r="D8" s="271"/>
      <c r="E8" s="272"/>
      <c r="F8" s="272"/>
      <c r="G8" s="272"/>
      <c r="H8" s="272"/>
      <c r="I8" s="272"/>
      <c r="J8" s="268"/>
      <c r="K8" s="268"/>
    </row>
    <row r="9" spans="1:11" ht="20.05" customHeight="1">
      <c r="A9" s="275">
        <v>3</v>
      </c>
      <c r="B9" s="276" t="s">
        <v>271</v>
      </c>
      <c r="C9" s="276"/>
      <c r="D9" s="277" t="s">
        <v>260</v>
      </c>
      <c r="E9" s="278">
        <f>-(E16)</f>
        <v>0</v>
      </c>
      <c r="F9" s="278">
        <f>-(F16+J28-F28-G28-H28-I28)</f>
        <v>0</v>
      </c>
      <c r="G9" s="278">
        <f>-(G16+J35-F35-G35-H35-I35)</f>
        <v>1212990.040000001</v>
      </c>
      <c r="H9" s="278">
        <f>H16+J41-F41-G41-H41-I41</f>
        <v>-176295.37000000104</v>
      </c>
      <c r="I9" s="278">
        <f>-(I16)</f>
        <v>0</v>
      </c>
      <c r="J9" s="278"/>
      <c r="K9" s="278">
        <f>SUM(E9:I9)</f>
        <v>1036694.6699999999</v>
      </c>
    </row>
    <row r="11" spans="1:11" ht="20.05" customHeight="1">
      <c r="E11" s="1336" t="s">
        <v>710</v>
      </c>
      <c r="F11" s="1336"/>
      <c r="G11" s="1336"/>
      <c r="H11" s="1336"/>
      <c r="I11" s="1336"/>
      <c r="J11" s="1336"/>
      <c r="K11" s="1336"/>
    </row>
    <row r="12" spans="1:11" ht="20.05" customHeight="1">
      <c r="E12" s="384" t="s">
        <v>266</v>
      </c>
      <c r="F12" s="384" t="s">
        <v>267</v>
      </c>
      <c r="G12" s="384" t="s">
        <v>268</v>
      </c>
      <c r="H12" s="384" t="s">
        <v>269</v>
      </c>
      <c r="I12" s="384" t="s">
        <v>270</v>
      </c>
      <c r="K12" s="384" t="s">
        <v>10</v>
      </c>
    </row>
    <row r="13" spans="1:11" ht="20.05" customHeight="1">
      <c r="A13" s="280">
        <v>4</v>
      </c>
      <c r="B13" s="59" t="s">
        <v>272</v>
      </c>
      <c r="C13" s="122">
        <f>C6</f>
        <v>2016</v>
      </c>
      <c r="E13" s="125">
        <f>'WP03-B ADIT Detail'!H248</f>
        <v>0</v>
      </c>
      <c r="F13" s="661">
        <f>'WP03-B ADIT Detail'!H108</f>
        <v>0</v>
      </c>
      <c r="G13" s="661">
        <f>'WP03-B ADIT Detail'!H178</f>
        <v>0</v>
      </c>
      <c r="H13" s="661">
        <f>'WP03-B ADIT Detail'!H47</f>
        <v>0</v>
      </c>
      <c r="I13" s="661">
        <f>'WP03-B ADIT Detail'!H314</f>
        <v>0</v>
      </c>
      <c r="K13" s="125">
        <f t="shared" ref="K13:K14" si="2">SUM(E13:I13)</f>
        <v>0</v>
      </c>
    </row>
    <row r="14" spans="1:11" ht="20.05" customHeight="1">
      <c r="A14" s="280">
        <v>5</v>
      </c>
      <c r="B14" s="59" t="s">
        <v>272</v>
      </c>
      <c r="C14" s="48">
        <f>C13+1</f>
        <v>2017</v>
      </c>
      <c r="E14" s="125">
        <f>'WP03-B ADIT Detail'!H264</f>
        <v>0</v>
      </c>
      <c r="F14" s="661">
        <f>'WP03-B ADIT Detail'!H126</f>
        <v>0</v>
      </c>
      <c r="G14" s="661">
        <f>'WP03-B ADIT Detail'!H197</f>
        <v>0</v>
      </c>
      <c r="H14" s="661">
        <f>'WP03-B ADIT Detail'!H62</f>
        <v>0</v>
      </c>
      <c r="I14" s="661">
        <f>'WP03-B ADIT Detail'!H330</f>
        <v>0</v>
      </c>
      <c r="K14" s="125">
        <f t="shared" si="2"/>
        <v>0</v>
      </c>
    </row>
    <row r="15" spans="1:11" ht="20.05" customHeight="1">
      <c r="B15" s="59"/>
      <c r="C15" s="48"/>
      <c r="E15" s="60"/>
      <c r="F15" s="60"/>
      <c r="G15" s="60"/>
      <c r="H15" s="384"/>
      <c r="I15" s="60"/>
    </row>
    <row r="16" spans="1:11" ht="20.05" customHeight="1">
      <c r="A16" s="280">
        <v>6</v>
      </c>
      <c r="B16" s="46" t="s">
        <v>271</v>
      </c>
      <c r="E16" s="125">
        <f>'WP03-B ADIT Detail'!H283</f>
        <v>0</v>
      </c>
      <c r="F16" s="125">
        <f>'WP03-B ADIT Detail'!H146</f>
        <v>0</v>
      </c>
      <c r="G16" s="125">
        <f>'WP03-B ADIT Detail'!H219</f>
        <v>0</v>
      </c>
      <c r="H16" s="125">
        <f>'WP03-B ADIT Detail'!H77</f>
        <v>0</v>
      </c>
      <c r="I16" s="125">
        <f>'WP03-B ADIT Detail'!H349</f>
        <v>0</v>
      </c>
      <c r="J16" s="125"/>
      <c r="K16" s="125">
        <f>SUM(E16:I16)</f>
        <v>0</v>
      </c>
    </row>
    <row r="19" spans="1:12" ht="20.05" customHeight="1">
      <c r="A19" s="46" t="s">
        <v>261</v>
      </c>
      <c r="D19" s="52"/>
      <c r="I19" s="46"/>
    </row>
    <row r="20" spans="1:12" ht="33.85" customHeight="1">
      <c r="A20" s="156" t="s">
        <v>260</v>
      </c>
      <c r="B20" s="1327" t="s">
        <v>442</v>
      </c>
      <c r="C20" s="1327"/>
      <c r="D20" s="1327"/>
      <c r="E20" s="1327"/>
      <c r="F20" s="1327"/>
      <c r="G20" s="1327"/>
      <c r="H20" s="1327"/>
      <c r="I20" s="1327"/>
      <c r="J20" s="1327"/>
      <c r="K20" s="1327"/>
      <c r="L20" s="1327"/>
    </row>
    <row r="21" spans="1:12" ht="20.05" customHeight="1">
      <c r="B21" s="1329"/>
      <c r="C21" s="1329"/>
      <c r="D21" s="1329"/>
      <c r="E21" s="1329"/>
      <c r="F21" s="1329"/>
      <c r="G21" s="1329"/>
      <c r="H21" s="1329"/>
      <c r="I21" s="1329"/>
      <c r="J21" s="1329"/>
      <c r="K21" s="1329"/>
    </row>
    <row r="22" spans="1:12" ht="20.05" customHeight="1">
      <c r="A22" s="52" t="s">
        <v>274</v>
      </c>
      <c r="B22" s="1329" t="s">
        <v>362</v>
      </c>
      <c r="C22" s="1329"/>
      <c r="D22" s="1329"/>
      <c r="E22" s="1329"/>
      <c r="F22" s="1329"/>
      <c r="G22" s="1329"/>
      <c r="H22" s="1329"/>
      <c r="I22" s="1329"/>
      <c r="J22" s="1329"/>
      <c r="K22" s="1329"/>
    </row>
    <row r="23" spans="1:12" ht="20.05" customHeight="1">
      <c r="B23" s="382"/>
      <c r="C23" s="382"/>
      <c r="D23" s="382"/>
      <c r="E23" s="382"/>
      <c r="F23" s="46"/>
      <c r="H23" s="382"/>
      <c r="I23" s="142"/>
      <c r="J23" s="382"/>
    </row>
    <row r="24" spans="1:12" ht="20.05" customHeight="1">
      <c r="B24" s="382"/>
      <c r="C24" s="382"/>
      <c r="D24" s="382"/>
      <c r="E24" s="382"/>
      <c r="F24" s="382"/>
      <c r="I24" s="382"/>
      <c r="J24" s="382"/>
    </row>
    <row r="25" spans="1:12" ht="50.25" customHeight="1">
      <c r="B25" s="382"/>
      <c r="C25" s="382"/>
      <c r="D25" s="382"/>
      <c r="E25" s="382"/>
      <c r="F25" s="603" t="s">
        <v>355</v>
      </c>
      <c r="G25" s="144" t="s">
        <v>356</v>
      </c>
      <c r="H25" s="144" t="s">
        <v>357</v>
      </c>
      <c r="I25" s="144" t="s">
        <v>509</v>
      </c>
      <c r="J25" s="418" t="s">
        <v>515</v>
      </c>
    </row>
    <row r="26" spans="1:12" s="142" customFormat="1" ht="20.05" customHeight="1">
      <c r="A26" s="52"/>
      <c r="B26" s="382"/>
      <c r="C26" s="382"/>
      <c r="D26" s="382"/>
      <c r="E26" s="145">
        <v>2016</v>
      </c>
      <c r="F26" s="157">
        <v>0</v>
      </c>
      <c r="G26" s="157">
        <v>0</v>
      </c>
      <c r="H26" s="157">
        <v>0</v>
      </c>
      <c r="I26" s="157">
        <v>0</v>
      </c>
      <c r="J26" s="142">
        <f>'WP03-B ADIT Detail'!J12</f>
        <v>0</v>
      </c>
    </row>
    <row r="27" spans="1:12" s="142" customFormat="1" ht="20.05" customHeight="1">
      <c r="A27" s="52"/>
      <c r="B27" s="382"/>
      <c r="C27" s="382"/>
      <c r="D27" s="382"/>
      <c r="E27" s="145">
        <v>2017</v>
      </c>
      <c r="F27" s="157">
        <v>0</v>
      </c>
      <c r="G27" s="157">
        <v>0</v>
      </c>
      <c r="H27" s="157">
        <v>0</v>
      </c>
      <c r="I27" s="157">
        <f>'Attach 5a - ADIT Norm JC-T'!S14</f>
        <v>0</v>
      </c>
      <c r="J27" s="142">
        <f>'WP03-B ADIT Detail'!K12</f>
        <v>0</v>
      </c>
    </row>
    <row r="28" spans="1:12" s="142" customFormat="1" ht="20.05" customHeight="1">
      <c r="A28" s="52"/>
      <c r="B28" s="382"/>
      <c r="C28" s="382"/>
      <c r="D28" s="46" t="s">
        <v>271</v>
      </c>
      <c r="E28" s="46"/>
      <c r="F28" s="157">
        <f>AVERAGE(F26:F27)</f>
        <v>0</v>
      </c>
      <c r="G28" s="157">
        <f t="shared" ref="G28:H28" si="3">AVERAGE(G26:G27)</f>
        <v>0</v>
      </c>
      <c r="H28" s="157">
        <f t="shared" si="3"/>
        <v>0</v>
      </c>
      <c r="I28" s="157">
        <f>AVERAGE(I26:I27)</f>
        <v>0</v>
      </c>
      <c r="J28" s="803">
        <f>AVERAGE(J26:J27)</f>
        <v>0</v>
      </c>
    </row>
    <row r="29" spans="1:12" s="142" customFormat="1" ht="20.05" customHeight="1">
      <c r="A29" s="52" t="s">
        <v>345</v>
      </c>
      <c r="B29" s="1329" t="s">
        <v>358</v>
      </c>
      <c r="C29" s="1329"/>
      <c r="D29" s="1329"/>
      <c r="E29" s="1329"/>
      <c r="F29" s="1329"/>
      <c r="G29" s="1329"/>
      <c r="H29" s="1329"/>
      <c r="I29" s="1329"/>
      <c r="J29" s="1329"/>
      <c r="K29" s="1329"/>
    </row>
    <row r="30" spans="1:12" ht="20.05" customHeight="1">
      <c r="B30" s="382"/>
      <c r="C30" s="382"/>
      <c r="D30" s="382"/>
      <c r="E30" s="382"/>
      <c r="F30" s="46"/>
      <c r="H30" s="382"/>
      <c r="I30" s="382"/>
      <c r="J30" s="382"/>
    </row>
    <row r="31" spans="1:12" ht="20.05" customHeight="1">
      <c r="B31" s="382"/>
      <c r="C31" s="382"/>
      <c r="D31" s="382"/>
      <c r="E31" s="382"/>
      <c r="F31" s="382"/>
      <c r="H31" s="382"/>
      <c r="I31" s="382"/>
      <c r="J31" s="382"/>
    </row>
    <row r="32" spans="1:12" ht="50.25" customHeight="1">
      <c r="B32" s="382"/>
      <c r="C32" s="382"/>
      <c r="D32" s="382"/>
      <c r="E32" s="382"/>
      <c r="F32" s="603" t="s">
        <v>355</v>
      </c>
      <c r="G32" s="144" t="s">
        <v>356</v>
      </c>
      <c r="H32" s="144" t="s">
        <v>357</v>
      </c>
      <c r="I32" s="144" t="s">
        <v>509</v>
      </c>
      <c r="J32" s="418" t="s">
        <v>515</v>
      </c>
    </row>
    <row r="33" spans="1:11" s="142" customFormat="1" ht="20.05" customHeight="1">
      <c r="A33" s="52"/>
      <c r="B33" s="382"/>
      <c r="C33" s="382"/>
      <c r="D33" s="382"/>
      <c r="E33" s="145">
        <f>E26</f>
        <v>2016</v>
      </c>
      <c r="F33" s="157">
        <v>0</v>
      </c>
      <c r="G33" s="157">
        <v>0</v>
      </c>
      <c r="H33" s="157">
        <v>0</v>
      </c>
      <c r="I33" s="157">
        <v>0</v>
      </c>
      <c r="J33" s="46">
        <f>'WP03-B ADIT Detail'!J13</f>
        <v>0</v>
      </c>
    </row>
    <row r="34" spans="1:11" s="142" customFormat="1" ht="20.05" customHeight="1">
      <c r="A34" s="52"/>
      <c r="B34" s="382"/>
      <c r="C34" s="382"/>
      <c r="D34" s="382"/>
      <c r="E34" s="145">
        <f>E27</f>
        <v>2017</v>
      </c>
      <c r="F34" s="157">
        <v>0</v>
      </c>
      <c r="G34" s="157">
        <v>0</v>
      </c>
      <c r="H34" s="157">
        <v>0</v>
      </c>
      <c r="I34" s="157">
        <f>'Attch 5a - ADIT Normalization'!S26</f>
        <v>2425980.0800000019</v>
      </c>
      <c r="J34" s="46">
        <f>'WP03-B ADIT Detail'!K13</f>
        <v>0</v>
      </c>
    </row>
    <row r="35" spans="1:11" s="142" customFormat="1" ht="20.05" customHeight="1">
      <c r="A35" s="52"/>
      <c r="B35" s="382"/>
      <c r="C35" s="382"/>
      <c r="D35" s="46" t="s">
        <v>271</v>
      </c>
      <c r="E35" s="46"/>
      <c r="F35" s="157">
        <f>AVERAGE(F33:F34)</f>
        <v>0</v>
      </c>
      <c r="G35" s="157">
        <f t="shared" ref="G35:J35" si="4">AVERAGE(G33:G34)</f>
        <v>0</v>
      </c>
      <c r="H35" s="157">
        <f t="shared" si="4"/>
        <v>0</v>
      </c>
      <c r="I35" s="157">
        <f t="shared" si="4"/>
        <v>1212990.040000001</v>
      </c>
      <c r="J35" s="803">
        <f t="shared" si="4"/>
        <v>0</v>
      </c>
    </row>
    <row r="36" spans="1:11" s="142" customFormat="1" ht="20.05" customHeight="1">
      <c r="A36" s="52" t="s">
        <v>359</v>
      </c>
      <c r="B36" s="1329" t="s">
        <v>360</v>
      </c>
      <c r="C36" s="1329"/>
      <c r="D36" s="1329"/>
      <c r="E36" s="1329"/>
      <c r="F36" s="1329"/>
      <c r="G36" s="1329"/>
      <c r="H36" s="1329"/>
      <c r="I36" s="1329"/>
      <c r="J36" s="1329"/>
      <c r="K36" s="1329"/>
    </row>
    <row r="37" spans="1:11" s="142" customFormat="1" ht="20.05" customHeight="1">
      <c r="A37" s="52"/>
      <c r="B37" s="382"/>
      <c r="C37" s="382"/>
      <c r="D37" s="382"/>
      <c r="E37" s="382"/>
      <c r="G37" s="52"/>
      <c r="H37" s="46"/>
      <c r="I37" s="382"/>
      <c r="J37" s="382"/>
      <c r="K37" s="46"/>
    </row>
    <row r="38" spans="1:11" s="142" customFormat="1" ht="50.25" customHeight="1">
      <c r="A38" s="52"/>
      <c r="B38" s="382"/>
      <c r="C38" s="382"/>
      <c r="D38" s="382"/>
      <c r="E38" s="145"/>
      <c r="F38" s="147" t="s">
        <v>355</v>
      </c>
      <c r="G38" s="144" t="s">
        <v>356</v>
      </c>
      <c r="H38" s="144" t="s">
        <v>357</v>
      </c>
      <c r="I38" s="144" t="s">
        <v>509</v>
      </c>
      <c r="J38" s="418" t="s">
        <v>515</v>
      </c>
    </row>
    <row r="39" spans="1:11" s="142" customFormat="1" ht="20.05" customHeight="1">
      <c r="A39" s="52"/>
      <c r="B39" s="382"/>
      <c r="C39" s="382"/>
      <c r="D39" s="382"/>
      <c r="E39" s="145">
        <f>E33</f>
        <v>2016</v>
      </c>
      <c r="F39" s="157">
        <v>0</v>
      </c>
      <c r="G39" s="157">
        <v>0</v>
      </c>
      <c r="H39" s="157">
        <v>0</v>
      </c>
      <c r="I39" s="157">
        <v>0</v>
      </c>
      <c r="J39" s="142">
        <f>'WP03-B ADIT Detail'!J14</f>
        <v>0</v>
      </c>
    </row>
    <row r="40" spans="1:11" s="142" customFormat="1" ht="20.05" customHeight="1">
      <c r="A40" s="52"/>
      <c r="B40" s="382"/>
      <c r="C40" s="382"/>
      <c r="D40" s="382"/>
      <c r="E40" s="145">
        <f>E34</f>
        <v>2017</v>
      </c>
      <c r="F40" s="157">
        <v>0</v>
      </c>
      <c r="G40" s="157">
        <v>0</v>
      </c>
      <c r="H40" s="157">
        <v>0</v>
      </c>
      <c r="I40" s="157">
        <f>'Attch 5a - ADIT Normalization'!S12</f>
        <v>352590.74000000209</v>
      </c>
      <c r="J40" s="142">
        <f>'WP03-B ADIT Detail'!K14</f>
        <v>0</v>
      </c>
    </row>
    <row r="41" spans="1:11" s="142" customFormat="1" ht="20.05" customHeight="1">
      <c r="A41" s="52"/>
      <c r="B41" s="382"/>
      <c r="C41" s="382"/>
      <c r="D41" s="46" t="s">
        <v>271</v>
      </c>
      <c r="E41" s="46"/>
      <c r="F41" s="157">
        <f>AVERAGE(F39:F40)</f>
        <v>0</v>
      </c>
      <c r="G41" s="157">
        <f t="shared" ref="G41:J41" si="5">AVERAGE(G39:G40)</f>
        <v>0</v>
      </c>
      <c r="H41" s="157">
        <f t="shared" si="5"/>
        <v>0</v>
      </c>
      <c r="I41" s="157">
        <f t="shared" si="5"/>
        <v>176295.37000000104</v>
      </c>
      <c r="J41" s="803">
        <f t="shared" si="5"/>
        <v>0</v>
      </c>
    </row>
    <row r="42" spans="1:11" s="142" customFormat="1" ht="20.05" customHeight="1">
      <c r="A42" s="52"/>
      <c r="B42" s="382"/>
      <c r="C42" s="382"/>
      <c r="D42" s="382"/>
      <c r="E42" s="145"/>
      <c r="F42" s="146"/>
      <c r="G42" s="146"/>
      <c r="H42" s="382"/>
      <c r="I42" s="382"/>
      <c r="J42" s="382"/>
      <c r="K42" s="382"/>
    </row>
    <row r="43" spans="1:11" ht="59.95" customHeight="1">
      <c r="A43" s="143" t="s">
        <v>361</v>
      </c>
      <c r="B43" s="1328" t="s">
        <v>275</v>
      </c>
      <c r="C43" s="1328"/>
      <c r="D43" s="1328"/>
      <c r="E43" s="1328"/>
      <c r="F43" s="1328"/>
      <c r="G43" s="1328"/>
      <c r="H43" s="1328"/>
      <c r="I43" s="1328"/>
      <c r="J43" s="1328"/>
      <c r="K43" s="1328"/>
    </row>
  </sheetData>
  <mergeCells count="8">
    <mergeCell ref="B29:K29"/>
    <mergeCell ref="B36:K36"/>
    <mergeCell ref="B43:K43"/>
    <mergeCell ref="E2:K2"/>
    <mergeCell ref="E11:K11"/>
    <mergeCell ref="B20:L20"/>
    <mergeCell ref="B21:K21"/>
    <mergeCell ref="B22:K22"/>
  </mergeCells>
  <pageMargins left="0.7" right="0.7" top="0.75" bottom="0.75" header="0.3" footer="0.3"/>
  <pageSetup scale="56"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31</vt:i4>
      </vt:variant>
      <vt:variant>
        <vt:lpstr>Named Ranges</vt:lpstr>
      </vt:variant>
      <vt:variant>
        <vt:i4>28</vt:i4>
      </vt:variant>
    </vt:vector>
  </HeadingPairs>
  <TitlesOfParts>
    <vt:vector size="59" baseType="lpstr">
      <vt:lpstr>Attachment H-28A MAIT </vt:lpstr>
      <vt:lpstr>Attachment 1 - Sched 1A</vt:lpstr>
      <vt:lpstr>Attachment 2 - Incentive ROE</vt:lpstr>
      <vt:lpstr>Attachment 3 - Gross Plant</vt:lpstr>
      <vt:lpstr>Attachment 4 - Accum Depr</vt:lpstr>
      <vt:lpstr>Attachment 5 - ADIT</vt:lpstr>
      <vt:lpstr>Attch 5a - ADIT Normalization</vt:lpstr>
      <vt:lpstr>Attachment 5b - ADIT Detail</vt:lpstr>
      <vt:lpstr>WP03-A ADIT Summary</vt:lpstr>
      <vt:lpstr>WP03-B ADIT Detail</vt:lpstr>
      <vt:lpstr>Attach 5a - ADIT Norm JC-T</vt:lpstr>
      <vt:lpstr>Attachment 6 - PBOP</vt:lpstr>
      <vt:lpstr>Attachment 7 - Taxes Other </vt:lpstr>
      <vt:lpstr>Attachment 8 - Cap Structure</vt:lpstr>
      <vt:lpstr>Attach 9 - Stated-value Inputs</vt:lpstr>
      <vt:lpstr>Attachment 10 - Debt Cost</vt:lpstr>
      <vt:lpstr>Attachment 11 - TEC</vt:lpstr>
      <vt:lpstr>Attach 11a - TEC Cost Support</vt:lpstr>
      <vt:lpstr>Attachment 12 - TEC True-up</vt:lpstr>
      <vt:lpstr>Attachment 13 - Rev Req True-up</vt:lpstr>
      <vt:lpstr>Attach 13a-TEC Rev Req True up</vt:lpstr>
      <vt:lpstr>Attachment 14 - Other Rate Base</vt:lpstr>
      <vt:lpstr>Attachment 15 - Income Tax Adj</vt:lpstr>
      <vt:lpstr>Attach 16a Reg Asset-Storms</vt:lpstr>
      <vt:lpstr>Attach 16b Reg Asset-Veg Mgmt</vt:lpstr>
      <vt:lpstr>Attach 16c Reg Asset-start Cost</vt:lpstr>
      <vt:lpstr>Attachment 17 - Abandoned Plant</vt:lpstr>
      <vt:lpstr>Attachment 18 - CWIP</vt:lpstr>
      <vt:lpstr>Attachment 19 - Tax Rates</vt:lpstr>
      <vt:lpstr>Attachment 20 - O&amp;M and A&amp;G</vt:lpstr>
      <vt:lpstr>Attachment 21 - Revenue Credits</vt:lpstr>
      <vt:lpstr>'Attach 11a - TEC Cost Support'!Print_Area</vt:lpstr>
      <vt:lpstr>'Attach 13a-TEC Rev Req True up'!Print_Area</vt:lpstr>
      <vt:lpstr>'Attach 16a Reg Asset-Storms'!Print_Area</vt:lpstr>
      <vt:lpstr>'Attach 16b Reg Asset-Veg Mgmt'!Print_Area</vt:lpstr>
      <vt:lpstr>'Attach 16c Reg Asset-start Cost'!Print_Area</vt:lpstr>
      <vt:lpstr>'Attach 5a - ADIT Norm JC-T'!Print_Area</vt:lpstr>
      <vt:lpstr>'Attach 9 - Stated-value Inputs'!Print_Area</vt:lpstr>
      <vt:lpstr>'Attachment 1 - Sched 1A'!Print_Area</vt:lpstr>
      <vt:lpstr>'Attachment 10 - Debt Cost'!Print_Area</vt:lpstr>
      <vt:lpstr>'Attachment 11 - TEC'!Print_Area</vt:lpstr>
      <vt:lpstr>'Attachment 12 - TEC True-up'!Print_Area</vt:lpstr>
      <vt:lpstr>'Attachment 13 - Rev Req True-up'!Print_Area</vt:lpstr>
      <vt:lpstr>'Attachment 14 - Other Rate Base'!Print_Area</vt:lpstr>
      <vt:lpstr>'Attachment 15 - Income Tax Adj'!Print_Area</vt:lpstr>
      <vt:lpstr>'Attachment 17 - Abandoned Plant'!Print_Area</vt:lpstr>
      <vt:lpstr>'Attachment 19 - Tax Rates'!Print_Area</vt:lpstr>
      <vt:lpstr>'Attachment 2 - Incentive ROE'!Print_Area</vt:lpstr>
      <vt:lpstr>'Attachment 20 - O&amp;M and A&amp;G'!Print_Area</vt:lpstr>
      <vt:lpstr>'Attachment 21 - Revenue Credits'!Print_Area</vt:lpstr>
      <vt:lpstr>'Attachment 3 - Gross Plant'!Print_Area</vt:lpstr>
      <vt:lpstr>'Attachment 4 - Accum Depr'!Print_Area</vt:lpstr>
      <vt:lpstr>'Attachment 5 - ADIT'!Print_Area</vt:lpstr>
      <vt:lpstr>'Attachment 5b - ADIT Detail'!Print_Area</vt:lpstr>
      <vt:lpstr>'Attachment H-28A MAIT '!Print_Area</vt:lpstr>
      <vt:lpstr>'Attch 5a - ADIT Normalization'!Print_Area</vt:lpstr>
      <vt:lpstr>'WP03-B ADIT Detail'!Print_Area</vt:lpstr>
      <vt:lpstr>'Attachment 11 - TEC'!Print_Titles</vt:lpstr>
      <vt:lpstr>'Attachment 12 - TEC True-up'!Print_Titles</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Schock, Michael C</dc:creator>
  <cp:lastModifiedBy>Alston &amp; Bird</cp:lastModifiedBy>
  <cp:lastPrinted>2020-06-01T19:26:22Z</cp:lastPrinted>
  <dcterms:created xsi:type="dcterms:W3CDTF">2008-03-20T17:17:42Z</dcterms:created>
  <dcterms:modified xsi:type="dcterms:W3CDTF">2020-06-01T20:30:33Z</dcterms:modified>
</cp:coreProperties>
</file>