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ANALYSIS\Transource\Maryland\2020 Projection\Filing Documents\"/>
    </mc:Choice>
  </mc:AlternateContent>
  <bookViews>
    <workbookView xWindow="420" yWindow="7290" windowWidth="27930" windowHeight="6345" tabRatio="881"/>
  </bookViews>
  <sheets>
    <sheet name="Attachment H-30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'4a-ADIT'!$A$1:$H$80</definedName>
    <definedName name="_xlnm.Print_Area" localSheetId="6">'4b-Ending ADIT'!$A$1:$H$88</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'4a-ADIT'!$B$1:$H$101</definedName>
    <definedName name="Z_28948E05_8F34_4F1E_96FB_A80A6A844600_.wvu.PrintArea" localSheetId="6" hidden="1">'4b-Ending ADIT'!$B$1:$H$109</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'4a-ADIT'!$B$1:$H$101</definedName>
    <definedName name="Z_63011E91_4609_4523_98FE_FD252E915668_.wvu.PrintArea" localSheetId="6" hidden="1">'4b-Ending ADIT'!$B$1:$H$109</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'4a-ADIT'!$B$1:$H$101</definedName>
    <definedName name="Z_6928E596_79BD_4CEC_9F0D_07E62D69B2A5_.wvu.PrintArea" localSheetId="6" hidden="1">'4b-Ending ADIT'!$B$1:$H$109</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'4a-ADIT'!$B$1:$H$101</definedName>
    <definedName name="Z_71B42B22_A376_44B5_B0C1_23FC1AA3DBA2_.wvu.PrintArea" localSheetId="6" hidden="1">'4b-Ending ADIT'!$B$1:$H$109</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'4a-ADIT'!$B$1:$H$101</definedName>
    <definedName name="Z_8FBB4DC9_2D51_4AB9_80D8_F8474B404C29_.wvu.PrintArea" localSheetId="6" hidden="1">'4b-Ending ADIT'!$B$1:$H$109</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'4a-ADIT'!$B$1:$H$101</definedName>
    <definedName name="Z_B647CB7F_C846_4278_B6B1_1EF7F3C004F5_.wvu.PrintArea" localSheetId="6" hidden="1">'4b-Ending ADIT'!$B$1:$H$109</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'4a-ADIT'!$B$1:$H$101</definedName>
    <definedName name="Z_DC91DEF3_837B_4BB9_A81E_3B78C5914E6C_.wvu.PrintArea" localSheetId="6" hidden="1">'4b-Ending ADIT'!$B$1:$H$109</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H-30A'!$A$1:$J$247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'4a-ADIT'!$B$1:$H$101</definedName>
    <definedName name="Z_FAAD9AAC_1337_43AB_BF1F_CCF9DFCF5B78_.wvu.PrintArea" localSheetId="6" hidden="1">'4b-Ending ADIT'!$B$1:$H$109</definedName>
  </definedNames>
  <calcPr calcId="162913"/>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workbook>
</file>

<file path=xl/calcChain.xml><?xml version="1.0" encoding="utf-8"?>
<calcChain xmlns="http://schemas.openxmlformats.org/spreadsheetml/2006/main">
  <c r="A64" i="21" l="1"/>
  <c r="A65" i="21"/>
  <c r="A66" i="21" s="1"/>
  <c r="A64" i="18"/>
  <c r="A65" i="18"/>
  <c r="A66" i="18" s="1"/>
  <c r="A67" i="18" s="1"/>
  <c r="E32" i="8" l="1"/>
  <c r="G205" i="1" l="1"/>
  <c r="C69" i="21" l="1"/>
  <c r="D154" i="1" l="1"/>
  <c r="D74" i="21" l="1"/>
  <c r="G50" i="21" l="1"/>
  <c r="F50" i="21"/>
  <c r="E50" i="21"/>
  <c r="E53" i="21" s="1"/>
  <c r="E56" i="21" s="1"/>
  <c r="D50" i="21"/>
  <c r="G49" i="18"/>
  <c r="F49" i="18"/>
  <c r="E49" i="18"/>
  <c r="E52" i="18" s="1"/>
  <c r="D49" i="18"/>
  <c r="C50" i="21" l="1"/>
  <c r="C49" i="18"/>
  <c r="E66" i="5" l="1"/>
  <c r="H1" i="18"/>
  <c r="H1" i="21"/>
  <c r="I1" i="20"/>
  <c r="G85" i="21" l="1"/>
  <c r="F85" i="21"/>
  <c r="E85" i="21"/>
  <c r="D85" i="21"/>
  <c r="G69" i="21"/>
  <c r="F69" i="21"/>
  <c r="E69" i="21"/>
  <c r="D69" i="21"/>
  <c r="B36" i="21"/>
  <c r="G29" i="21"/>
  <c r="F29" i="21"/>
  <c r="E29" i="21"/>
  <c r="D29" i="21"/>
  <c r="B1" i="21"/>
  <c r="B35" i="21" s="1"/>
  <c r="E32" i="21" l="1"/>
  <c r="E88" i="21"/>
  <c r="E72" i="21"/>
  <c r="C29" i="21"/>
  <c r="C85" i="21"/>
  <c r="D77" i="18"/>
  <c r="E74" i="21" l="1"/>
  <c r="A20" i="21"/>
  <c r="A21" i="21" s="1"/>
  <c r="A22" i="21" s="1"/>
  <c r="A23" i="21" s="1"/>
  <c r="A24" i="21" s="1"/>
  <c r="A25" i="21" s="1"/>
  <c r="A26" i="21" s="1"/>
  <c r="A27" i="21" s="1"/>
  <c r="A28" i="21" s="1"/>
  <c r="A1" i="20"/>
  <c r="F31" i="20"/>
  <c r="G31" i="20" s="1"/>
  <c r="G30" i="20"/>
  <c r="G29" i="20"/>
  <c r="G28" i="20"/>
  <c r="G27" i="20"/>
  <c r="G26" i="20"/>
  <c r="G25" i="20"/>
  <c r="G24" i="20"/>
  <c r="G23" i="20"/>
  <c r="G22" i="20"/>
  <c r="G21" i="20"/>
  <c r="G20" i="20"/>
  <c r="G19" i="20"/>
  <c r="A11" i="20"/>
  <c r="A12" i="20" s="1"/>
  <c r="B36" i="18"/>
  <c r="B35" i="18"/>
  <c r="B1" i="18"/>
  <c r="B34" i="18" s="1"/>
  <c r="G77" i="18"/>
  <c r="F77" i="18"/>
  <c r="E77" i="18"/>
  <c r="G64" i="18"/>
  <c r="F64" i="18"/>
  <c r="E64" i="18"/>
  <c r="E67" i="18" s="1"/>
  <c r="D64" i="18"/>
  <c r="G29" i="18"/>
  <c r="F29" i="18"/>
  <c r="E29" i="18"/>
  <c r="D29" i="18"/>
  <c r="A29" i="21" l="1"/>
  <c r="E80" i="18"/>
  <c r="E32" i="18"/>
  <c r="E13" i="20"/>
  <c r="A13" i="20"/>
  <c r="A19" i="20" s="1"/>
  <c r="A20" i="20" s="1"/>
  <c r="A21" i="20" s="1"/>
  <c r="A22" i="20" s="1"/>
  <c r="A23" i="20" s="1"/>
  <c r="A24" i="20" s="1"/>
  <c r="A25" i="20" s="1"/>
  <c r="A26" i="20" s="1"/>
  <c r="A27" i="20" s="1"/>
  <c r="A28" i="20" s="1"/>
  <c r="A29" i="20" s="1"/>
  <c r="A30" i="20" s="1"/>
  <c r="A31" i="20" s="1"/>
  <c r="A33" i="20" s="1"/>
  <c r="A35" i="20" s="1"/>
  <c r="E12" i="20"/>
  <c r="C64" i="18"/>
  <c r="C77" i="18"/>
  <c r="C29" i="18"/>
  <c r="A30" i="21" l="1"/>
  <c r="A31" i="21" s="1"/>
  <c r="A32" i="21" s="1"/>
  <c r="A48" i="21" s="1"/>
  <c r="A49" i="21" s="1"/>
  <c r="A50" i="21" s="1"/>
  <c r="A51" i="21" s="1"/>
  <c r="A52" i="21" s="1"/>
  <c r="A53" i="21" s="1"/>
  <c r="C19" i="20"/>
  <c r="B35" i="20"/>
  <c r="A54" i="21" l="1"/>
  <c r="A55" i="21" s="1"/>
  <c r="A56" i="21" s="1"/>
  <c r="A61" i="21" s="1"/>
  <c r="A62" i="21" s="1"/>
  <c r="A63" i="21" s="1"/>
  <c r="A67" i="21" s="1"/>
  <c r="A68" i="21" s="1"/>
  <c r="A69" i="21" s="1"/>
  <c r="A70" i="21" s="1"/>
  <c r="A71" i="21" s="1"/>
  <c r="A72" i="21" s="1"/>
  <c r="A73" i="21" s="1"/>
  <c r="A74" i="21" s="1"/>
  <c r="A79" i="21" s="1"/>
  <c r="D19" i="20"/>
  <c r="H19" i="20"/>
  <c r="I19" i="20" s="1"/>
  <c r="E10" i="20" l="1"/>
  <c r="A80" i="21"/>
  <c r="A81" i="21" s="1"/>
  <c r="A82" i="21" s="1"/>
  <c r="A83" i="21" s="1"/>
  <c r="A84" i="21" s="1"/>
  <c r="A85" i="21" s="1"/>
  <c r="A86" i="21" s="1"/>
  <c r="A87" i="21" s="1"/>
  <c r="A88" i="21" s="1"/>
  <c r="A20" i="18"/>
  <c r="A21" i="18" s="1"/>
  <c r="A22" i="18" s="1"/>
  <c r="A23" i="18" s="1"/>
  <c r="A24" i="18" s="1"/>
  <c r="A25" i="18" s="1"/>
  <c r="A26" i="18" s="1"/>
  <c r="A27" i="18" s="1"/>
  <c r="A28" i="18" s="1"/>
  <c r="A29" i="18" s="1"/>
  <c r="A30" i="18" l="1"/>
  <c r="A31" i="18" s="1"/>
  <c r="A32" i="18" s="1"/>
  <c r="E21" i="14"/>
  <c r="D21" i="14"/>
  <c r="F21" i="14" s="1"/>
  <c r="F20" i="14"/>
  <c r="F19" i="14"/>
  <c r="A47" i="18" l="1"/>
  <c r="A48" i="18" l="1"/>
  <c r="A49" i="18" s="1"/>
  <c r="A50" i="18" s="1"/>
  <c r="A51" i="18" s="1"/>
  <c r="A52" i="18" s="1"/>
  <c r="A57" i="18" s="1"/>
  <c r="A58" i="18" s="1"/>
  <c r="A9" i="7"/>
  <c r="A59" i="18" l="1"/>
  <c r="A60" i="18" s="1"/>
  <c r="A61" i="18" s="1"/>
  <c r="A62" i="18" s="1"/>
  <c r="A63" i="18" s="1"/>
  <c r="E11" i="20"/>
  <c r="A72" i="18"/>
  <c r="A73" i="18" s="1"/>
  <c r="A74" i="18" s="1"/>
  <c r="A75" i="18" s="1"/>
  <c r="A76" i="18" s="1"/>
  <c r="D9" i="9"/>
  <c r="D10" i="9" s="1"/>
  <c r="A77" i="18" l="1"/>
  <c r="A78" i="18" s="1"/>
  <c r="A79" i="18" s="1"/>
  <c r="A80" i="18" s="1"/>
  <c r="E10" i="9"/>
  <c r="E12" i="9"/>
  <c r="E33" i="8" l="1"/>
  <c r="H21" i="6"/>
  <c r="I21" i="6" s="1"/>
  <c r="H12" i="3" l="1"/>
  <c r="F5" i="2" l="1"/>
  <c r="D22" i="1" l="1"/>
  <c r="D11" i="9" l="1"/>
  <c r="D13" i="9" s="1"/>
  <c r="D15" i="9" s="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D66" i="5"/>
  <c r="A73" i="5" l="1"/>
  <c r="A72" i="5"/>
  <c r="A71" i="5"/>
  <c r="A27" i="4" l="1"/>
  <c r="A29" i="4" s="1"/>
  <c r="K25" i="4"/>
  <c r="E25" i="4"/>
  <c r="K21" i="4"/>
  <c r="E21"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s="1"/>
  <c r="A69" i="2" l="1"/>
  <c r="L69" i="2" s="1"/>
  <c r="A31" i="4"/>
  <c r="C21" i="1"/>
  <c r="E29" i="4"/>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G39" i="10"/>
  <c r="I39" i="10" s="1"/>
  <c r="G38" i="10"/>
  <c r="I38" i="10" s="1"/>
  <c r="F22" i="10"/>
  <c r="G22" i="10" s="1"/>
  <c r="F21" i="10"/>
  <c r="G21" i="10" s="1"/>
  <c r="F20" i="10"/>
  <c r="G20" i="10" s="1"/>
  <c r="H20" i="10"/>
  <c r="D20" i="1" l="1"/>
  <c r="I20" i="1" s="1"/>
  <c r="D38" i="4"/>
  <c r="K17" i="4" s="1"/>
  <c r="K29" i="4" s="1"/>
  <c r="F24" i="4"/>
  <c r="G24" i="4" s="1"/>
  <c r="F23" i="4"/>
  <c r="G23" i="4" s="1"/>
  <c r="F17" i="4"/>
  <c r="G17" i="4" s="1"/>
  <c r="F19" i="4"/>
  <c r="G19" i="4" s="1"/>
  <c r="F20" i="4"/>
  <c r="G20" i="4" s="1"/>
  <c r="G44" i="10"/>
  <c r="G51" i="10" s="1"/>
  <c r="I44" i="10"/>
  <c r="I51" i="10" s="1"/>
  <c r="H21" i="10"/>
  <c r="H22" i="10"/>
  <c r="G25" i="4" l="1"/>
  <c r="I17" i="4"/>
  <c r="G21" i="4"/>
  <c r="F29" i="4"/>
  <c r="F24" i="10"/>
  <c r="G24" i="10" s="1"/>
  <c r="F23" i="10"/>
  <c r="G23" i="10" s="1"/>
  <c r="H25" i="10"/>
  <c r="H23" i="10"/>
  <c r="G29" i="4" l="1"/>
  <c r="F25" i="10"/>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H19" i="6" s="1"/>
  <c r="D40" i="6" l="1"/>
  <c r="F20" i="6" s="1"/>
  <c r="H20" i="6" l="1"/>
  <c r="G204" i="1" s="1"/>
  <c r="H11" i="3" s="1"/>
  <c r="D204" i="1"/>
  <c r="E11" i="3" s="1"/>
  <c r="F12" i="6"/>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E15" i="9" s="1"/>
  <c r="F15" i="9" l="1"/>
  <c r="D128" i="1" s="1"/>
  <c r="I79" i="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42" i="5"/>
  <c r="D93" i="1" s="1"/>
  <c r="I93" i="1" s="1"/>
  <c r="C23" i="5"/>
  <c r="D66" i="1" s="1"/>
  <c r="I184" i="1" s="1"/>
  <c r="D58" i="1"/>
  <c r="D112" i="1" s="1"/>
  <c r="D177" i="1" s="1"/>
  <c r="D218" i="1" s="1"/>
  <c r="F119" i="1"/>
  <c r="F120" i="1" s="1"/>
  <c r="E23" i="3"/>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E27" i="3"/>
  <c r="I131" i="1"/>
  <c r="B21" i="3" l="1"/>
  <c r="E205" i="1"/>
  <c r="A132" i="1"/>
  <c r="A133" i="1" s="1"/>
  <c r="A134" i="1" s="1"/>
  <c r="C197" i="1"/>
  <c r="A18" i="1"/>
  <c r="A200" i="1"/>
  <c r="A201" i="1" s="1"/>
  <c r="A202" i="1" s="1"/>
  <c r="A203" i="1" s="1"/>
  <c r="A71" i="1"/>
  <c r="A72" i="1" s="1"/>
  <c r="C79" i="1" s="1"/>
  <c r="I189" i="1"/>
  <c r="A19" i="3"/>
  <c r="A20" i="3" s="1"/>
  <c r="A21" i="3" s="1"/>
  <c r="D164" i="1"/>
  <c r="D165" i="1"/>
  <c r="A136" i="1" l="1"/>
  <c r="A137" i="1" s="1"/>
  <c r="A138" i="1" s="1"/>
  <c r="C100" i="1"/>
  <c r="F12" i="3"/>
  <c r="I205" i="1"/>
  <c r="C155" i="1"/>
  <c r="A20" i="1"/>
  <c r="A21" i="1" s="1"/>
  <c r="E204" i="1"/>
  <c r="I20" i="6"/>
  <c r="E203" i="1"/>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A22" i="1" l="1"/>
  <c r="A24" i="1" s="1"/>
  <c r="C24" i="1"/>
  <c r="F10" i="3"/>
  <c r="F11" i="3"/>
  <c r="I11" i="3" s="1"/>
  <c r="I204" i="1"/>
  <c r="C80" i="1"/>
  <c r="C14" i="1"/>
  <c r="A212" i="1"/>
  <c r="C15" i="1" s="1"/>
  <c r="C206" i="1"/>
  <c r="A139" i="1"/>
  <c r="C140" i="1" s="1"/>
  <c r="A75" i="1"/>
  <c r="C81" i="1"/>
  <c r="I127" i="1"/>
  <c r="I197" i="1"/>
  <c r="I17" i="1"/>
  <c r="I73" i="1"/>
  <c r="I80" i="1" s="1"/>
  <c r="I120" i="1"/>
  <c r="B26" i="3"/>
  <c r="B28" i="3"/>
  <c r="B27" i="3"/>
  <c r="A26" i="3"/>
  <c r="A27" i="3" s="1"/>
  <c r="A28" i="3" s="1"/>
  <c r="A29" i="3" s="1"/>
  <c r="A31" i="3" l="1"/>
  <c r="D31" i="3"/>
  <c r="G70" i="21"/>
  <c r="G72" i="21" s="1"/>
  <c r="G74" i="21" s="1"/>
  <c r="G30" i="21"/>
  <c r="G32" i="21" s="1"/>
  <c r="G86" i="21"/>
  <c r="G88" i="21" s="1"/>
  <c r="G54" i="21"/>
  <c r="G51" i="21"/>
  <c r="G53" i="21" s="1"/>
  <c r="G50" i="18"/>
  <c r="G52" i="18" s="1"/>
  <c r="G78" i="18"/>
  <c r="G80" i="18" s="1"/>
  <c r="G65" i="18"/>
  <c r="G67" i="18" s="1"/>
  <c r="G30" i="18"/>
  <c r="G32" i="18" s="1"/>
  <c r="G125" i="1"/>
  <c r="I125" i="1" s="1"/>
  <c r="G124" i="1"/>
  <c r="A140" i="1"/>
  <c r="C82" i="1"/>
  <c r="A76" i="1"/>
  <c r="G145" i="1"/>
  <c r="G126" i="1"/>
  <c r="G144" i="1"/>
  <c r="G123" i="1"/>
  <c r="G68" i="1"/>
  <c r="G138" i="1"/>
  <c r="G122" i="1"/>
  <c r="G128" i="1"/>
  <c r="G121" i="1"/>
  <c r="G75" i="1"/>
  <c r="I16" i="1"/>
  <c r="A33" i="3"/>
  <c r="B29" i="3"/>
  <c r="A34" i="3" l="1"/>
  <c r="A35" i="3" s="1"/>
  <c r="A36" i="3" s="1"/>
  <c r="A37" i="3" s="1"/>
  <c r="A38" i="3" s="1"/>
  <c r="D35" i="3"/>
  <c r="D36" i="3"/>
  <c r="G56" i="21"/>
  <c r="A142" i="1"/>
  <c r="A143" i="1" s="1"/>
  <c r="A144" i="1" s="1"/>
  <c r="A145" i="1" s="1"/>
  <c r="A146" i="1" s="1"/>
  <c r="A147" i="1" s="1"/>
  <c r="A148" i="1" s="1"/>
  <c r="A149" i="1" s="1"/>
  <c r="A150" i="1" s="1"/>
  <c r="A151" i="1" s="1"/>
  <c r="A153" i="1" s="1"/>
  <c r="A154" i="1" s="1"/>
  <c r="A78" i="1"/>
  <c r="A79" i="1" s="1"/>
  <c r="A80" i="1" s="1"/>
  <c r="C83" i="1"/>
  <c r="I122" i="1"/>
  <c r="A81" i="1" l="1"/>
  <c r="A82" i="1" s="1"/>
  <c r="C151" i="1"/>
  <c r="B158" i="1"/>
  <c r="A155" i="1"/>
  <c r="A83" i="1"/>
  <c r="I123" i="1"/>
  <c r="I145" i="1"/>
  <c r="I144" i="1"/>
  <c r="A156" i="1" l="1"/>
  <c r="A157" i="1" s="1"/>
  <c r="A158" i="1" s="1"/>
  <c r="A85" i="1"/>
  <c r="A86" i="1" s="1"/>
  <c r="A87" i="1" s="1"/>
  <c r="A88" i="1" s="1"/>
  <c r="A89" i="1" s="1"/>
  <c r="A90" i="1" s="1"/>
  <c r="I126" i="1"/>
  <c r="I128" i="1"/>
  <c r="A159" i="1" l="1"/>
  <c r="A160" i="1" s="1"/>
  <c r="A161" i="1" s="1"/>
  <c r="A162" i="1" s="1"/>
  <c r="E42" i="5" l="1"/>
  <c r="D86" i="1" s="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I12" i="3"/>
  <c r="A21" i="14" l="1"/>
  <c r="A24" i="14" l="1"/>
  <c r="A25" i="14" s="1"/>
  <c r="A26" i="14" s="1"/>
  <c r="A27" i="14" s="1"/>
  <c r="A28" i="14" s="1"/>
  <c r="A29" i="14" s="1"/>
  <c r="A30" i="14" l="1"/>
  <c r="A31" i="14" s="1"/>
  <c r="A32" i="14" s="1"/>
  <c r="C32" i="14"/>
  <c r="H12" i="20"/>
  <c r="H13" i="20" s="1"/>
  <c r="C34" i="14" l="1"/>
  <c r="A34" i="14"/>
  <c r="C212" i="1" s="1"/>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3" i="21" l="1"/>
  <c r="C73" i="21" l="1"/>
  <c r="H25" i="4" l="1"/>
  <c r="I24" i="4" l="1"/>
  <c r="I20" i="4"/>
  <c r="I23" i="4"/>
  <c r="I25" i="4" l="1"/>
  <c r="G42" i="5" l="1"/>
  <c r="D88" i="1" s="1"/>
  <c r="H42" i="5"/>
  <c r="D89" i="1" s="1"/>
  <c r="G40" i="6" l="1"/>
  <c r="F14" i="6" s="1"/>
  <c r="F40" i="6"/>
  <c r="F13" i="6" s="1"/>
  <c r="F65" i="5"/>
  <c r="F64" i="5"/>
  <c r="F63" i="5"/>
  <c r="F62" i="5"/>
  <c r="F61" i="5"/>
  <c r="F60" i="5"/>
  <c r="F59" i="5"/>
  <c r="F58" i="5"/>
  <c r="F57" i="5"/>
  <c r="F56" i="5"/>
  <c r="F55" i="5"/>
  <c r="F54" i="5"/>
  <c r="D14" i="11" l="1"/>
  <c r="D23" i="5"/>
  <c r="D68" i="1" s="1"/>
  <c r="I42" i="5"/>
  <c r="D90" i="1" s="1"/>
  <c r="H23" i="5"/>
  <c r="D102" i="1" s="1"/>
  <c r="J23" i="5"/>
  <c r="D75" i="1" s="1"/>
  <c r="F23" i="5"/>
  <c r="D97" i="1" s="1"/>
  <c r="I97" i="1" s="1"/>
  <c r="G23" i="5"/>
  <c r="D101" i="1" s="1"/>
  <c r="F53" i="5"/>
  <c r="F66" i="5" s="1"/>
  <c r="C66" i="5" s="1"/>
  <c r="E40" i="6" l="1"/>
  <c r="F11" i="6" s="1"/>
  <c r="F15" i="6" s="1"/>
  <c r="F21" i="6" s="1"/>
  <c r="D205" i="1" s="1"/>
  <c r="E12" i="3" s="1"/>
  <c r="I101" i="1"/>
  <c r="I75" i="1"/>
  <c r="I76" i="1" s="1"/>
  <c r="D76" i="1"/>
  <c r="D82" i="1"/>
  <c r="D83" i="1" s="1"/>
  <c r="D69" i="1"/>
  <c r="I68" i="1"/>
  <c r="E22" i="3" l="1"/>
  <c r="E26" i="3" s="1"/>
  <c r="D163" i="1"/>
  <c r="C40" i="6"/>
  <c r="D33" i="11"/>
  <c r="D35" i="11" s="1"/>
  <c r="I82" i="1"/>
  <c r="I83" i="1" s="1"/>
  <c r="G83" i="1" s="1"/>
  <c r="I69" i="1"/>
  <c r="G69" i="1" s="1"/>
  <c r="D151" i="1"/>
  <c r="I138" i="1"/>
  <c r="I23" i="2" s="1"/>
  <c r="I124" i="1"/>
  <c r="I121" i="1"/>
  <c r="I119" i="1"/>
  <c r="I118" i="1"/>
  <c r="F19" i="6" l="1"/>
  <c r="D140" i="1"/>
  <c r="M59" i="2"/>
  <c r="M61" i="2" s="1"/>
  <c r="M69" i="2" s="1"/>
  <c r="I137" i="1"/>
  <c r="I140" i="1" s="1"/>
  <c r="G87" i="1"/>
  <c r="H26" i="3"/>
  <c r="H27" i="3" s="1"/>
  <c r="F31" i="18"/>
  <c r="F32" i="18" s="1"/>
  <c r="C32" i="18" s="1"/>
  <c r="F71" i="21"/>
  <c r="F72" i="21" s="1"/>
  <c r="G165" i="1"/>
  <c r="I165" i="1" s="1"/>
  <c r="G164" i="1"/>
  <c r="I164" i="1" s="1"/>
  <c r="F52" i="21"/>
  <c r="F53" i="21" s="1"/>
  <c r="G89" i="1"/>
  <c r="I89" i="1" s="1"/>
  <c r="G90" i="1"/>
  <c r="I90" i="1" s="1"/>
  <c r="G163" i="1"/>
  <c r="I163" i="1" s="1"/>
  <c r="F66" i="18"/>
  <c r="F67" i="18" s="1"/>
  <c r="C67" i="18" s="1"/>
  <c r="F31" i="21"/>
  <c r="F32" i="21" s="1"/>
  <c r="C32" i="21" s="1"/>
  <c r="F51" i="18"/>
  <c r="F52" i="18" s="1"/>
  <c r="C52" i="18" s="1"/>
  <c r="G88" i="1"/>
  <c r="I88" i="1" s="1"/>
  <c r="F87" i="21"/>
  <c r="F88" i="21" s="1"/>
  <c r="C88" i="21" s="1"/>
  <c r="F55" i="21"/>
  <c r="F79" i="18"/>
  <c r="F80" i="18" s="1"/>
  <c r="C80" i="18" s="1"/>
  <c r="G147" i="1"/>
  <c r="I147" i="1" s="1"/>
  <c r="G102" i="1"/>
  <c r="I102" i="1" s="1"/>
  <c r="G149" i="1"/>
  <c r="I149" i="1" s="1"/>
  <c r="G150" i="1"/>
  <c r="I150" i="1" s="1"/>
  <c r="G203" i="1"/>
  <c r="I19" i="6"/>
  <c r="I22" i="6" s="1"/>
  <c r="D203" i="1"/>
  <c r="F22" i="6"/>
  <c r="I26" i="3" l="1"/>
  <c r="H10" i="3"/>
  <c r="I10" i="3" s="1"/>
  <c r="I13" i="3" s="1"/>
  <c r="I203" i="1"/>
  <c r="D206" i="1"/>
  <c r="E10" i="3"/>
  <c r="E13" i="3" s="1"/>
  <c r="C72" i="21"/>
  <c r="F74" i="21"/>
  <c r="C74" i="21" s="1"/>
  <c r="F42" i="5" s="1"/>
  <c r="D87" i="1" s="1"/>
  <c r="I87" i="1" s="1"/>
  <c r="I151" i="1"/>
  <c r="I27" i="2" s="1"/>
  <c r="H28" i="3"/>
  <c r="I28" i="3" s="1"/>
  <c r="I27" i="3"/>
  <c r="F56" i="21"/>
  <c r="C56" i="21" s="1"/>
  <c r="C53" i="21"/>
  <c r="I206" i="1" l="1"/>
  <c r="D155" i="1" s="1"/>
  <c r="E18" i="3"/>
  <c r="D133" i="1" l="1"/>
  <c r="D134" i="1" s="1"/>
  <c r="D100" i="1" s="1"/>
  <c r="D103" i="1" s="1"/>
  <c r="I132" i="1"/>
  <c r="I133" i="1" s="1"/>
  <c r="I134" i="1" s="1"/>
  <c r="I19" i="2" l="1"/>
  <c r="I100" i="1"/>
  <c r="I103" i="1" s="1"/>
  <c r="E23" i="5" l="1"/>
  <c r="D92" i="1" s="1"/>
  <c r="I92" i="1" s="1"/>
  <c r="D95" i="1" l="1"/>
  <c r="D105" i="1" s="1"/>
  <c r="D169" i="1" s="1"/>
  <c r="D162" i="1" s="1"/>
  <c r="D166" i="1" s="1"/>
  <c r="D171" i="1" s="1"/>
  <c r="I15" i="2"/>
  <c r="I28" i="2" s="1"/>
  <c r="K28" i="2" s="1"/>
  <c r="I16" i="2"/>
  <c r="I95" i="1"/>
  <c r="I105" i="1" s="1"/>
  <c r="J5" i="3" l="1"/>
  <c r="I169" i="1"/>
  <c r="I59" i="2"/>
  <c r="I61" i="2" s="1"/>
  <c r="I69" i="2" s="1"/>
  <c r="I24" i="2"/>
  <c r="K24" i="2" s="1"/>
  <c r="F59" i="2"/>
  <c r="F61" i="2" s="1"/>
  <c r="F69" i="2" s="1"/>
  <c r="I20" i="2"/>
  <c r="K20" i="2" s="1"/>
  <c r="I40" i="2" l="1"/>
  <c r="I41" i="2" s="1"/>
  <c r="K41" i="2" s="1"/>
  <c r="J33" i="3"/>
  <c r="I162" i="1"/>
  <c r="I166" i="1" s="1"/>
  <c r="J37" i="3"/>
  <c r="J14" i="3"/>
  <c r="I25" i="3" s="1"/>
  <c r="I29" i="3" s="1"/>
  <c r="J29" i="3" s="1"/>
  <c r="J31" i="3" s="1"/>
  <c r="I171" i="1" l="1"/>
  <c r="I11" i="1" s="1"/>
  <c r="D27" i="14" s="1"/>
  <c r="I36" i="2"/>
  <c r="I37" i="2" s="1"/>
  <c r="J34" i="3"/>
  <c r="J35" i="3" s="1"/>
  <c r="J36" i="3" s="1"/>
  <c r="J38" i="3" s="1"/>
  <c r="D30" i="14" l="1"/>
  <c r="F30" i="14" s="1"/>
  <c r="D29" i="14"/>
  <c r="F27" i="14"/>
  <c r="P60" i="2"/>
  <c r="P64" i="2"/>
  <c r="P63" i="2"/>
  <c r="P59" i="2"/>
  <c r="I43" i="2"/>
  <c r="K37" i="2"/>
  <c r="K43" i="2" s="1"/>
  <c r="D32" i="14" l="1"/>
  <c r="F29" i="14"/>
  <c r="P65" i="2"/>
  <c r="P61" i="2"/>
  <c r="J63" i="2"/>
  <c r="K63" i="2" s="1"/>
  <c r="J59" i="2"/>
  <c r="K59" i="2" s="1"/>
  <c r="J64" i="2"/>
  <c r="K64" i="2" s="1"/>
  <c r="J60" i="2"/>
  <c r="K60" i="2" s="1"/>
  <c r="D34" i="14" l="1"/>
  <c r="F32" i="14"/>
  <c r="P69" i="2"/>
  <c r="K65" i="2"/>
  <c r="K61" i="2"/>
  <c r="F34" i="14" l="1"/>
  <c r="I212" i="1"/>
  <c r="D15" i="1" s="1"/>
  <c r="K69" i="2"/>
  <c r="D18" i="1" l="1"/>
  <c r="I15" i="1"/>
  <c r="I18" i="1" s="1"/>
  <c r="I30" i="2" s="1"/>
  <c r="I31" i="2" s="1"/>
  <c r="K31" i="2" s="1"/>
  <c r="K33" i="2" s="1"/>
  <c r="G59" i="2" l="1"/>
  <c r="H59" i="2" s="1"/>
  <c r="G60" i="2"/>
  <c r="H60" i="2" s="1"/>
  <c r="N60" i="2" s="1"/>
  <c r="G64" i="2"/>
  <c r="H64" i="2" s="1"/>
  <c r="N64" i="2" s="1"/>
  <c r="G63" i="2"/>
  <c r="H63" i="2" s="1"/>
  <c r="I19" i="4"/>
  <c r="I21" i="4" s="1"/>
  <c r="I29" i="4" s="1"/>
  <c r="H21" i="4"/>
  <c r="H29" i="4" s="1"/>
  <c r="D9" i="7" s="1"/>
  <c r="G9" i="7" s="1"/>
  <c r="S64" i="2" l="1"/>
  <c r="Q64" i="2"/>
  <c r="H65" i="2"/>
  <c r="N63" i="2"/>
  <c r="Q60" i="2"/>
  <c r="S60" i="2"/>
  <c r="H61" i="2"/>
  <c r="H69" i="2" s="1"/>
  <c r="N59" i="2"/>
  <c r="D23" i="7"/>
  <c r="I56" i="7"/>
  <c r="Q63" i="2" l="1"/>
  <c r="S63" i="2"/>
  <c r="S65" i="2"/>
  <c r="Q65" i="2"/>
  <c r="N61" i="2"/>
  <c r="S59" i="2"/>
  <c r="S61" i="2" s="1"/>
  <c r="S69" i="2" s="1"/>
  <c r="Q59" i="2"/>
  <c r="Q61" i="2" s="1"/>
  <c r="Q69" i="2" s="1"/>
  <c r="N65" i="2"/>
  <c r="H23" i="7"/>
  <c r="D24" i="7"/>
  <c r="N69" i="2" l="1"/>
  <c r="D25" i="7"/>
  <c r="H24" i="7"/>
  <c r="K24" i="7" s="1"/>
  <c r="K23" i="7"/>
  <c r="H25" i="7" l="1"/>
  <c r="D26" i="7"/>
  <c r="D27" i="7" l="1"/>
  <c r="H26" i="7"/>
  <c r="K26" i="7" s="1"/>
  <c r="K25" i="7"/>
  <c r="D28" i="7" l="1"/>
  <c r="H27" i="7"/>
  <c r="K27" i="7" l="1"/>
  <c r="D29" i="7"/>
  <c r="H28" i="7"/>
  <c r="K28" i="7" s="1"/>
  <c r="D30" i="7" l="1"/>
  <c r="H29" i="7"/>
  <c r="K29" i="7" s="1"/>
  <c r="H30" i="7" l="1"/>
  <c r="D31" i="7"/>
  <c r="D32" i="7" l="1"/>
  <c r="H31" i="7"/>
  <c r="K31" i="7" s="1"/>
  <c r="K30" i="7"/>
  <c r="D33" i="7" l="1"/>
  <c r="H32" i="7"/>
  <c r="K32" i="7" s="1"/>
  <c r="D34" i="7" l="1"/>
  <c r="H34" i="7" s="1"/>
  <c r="H33" i="7"/>
  <c r="K33" i="7" s="1"/>
  <c r="K34" i="7" l="1"/>
  <c r="K35" i="7" s="1"/>
  <c r="D38" i="7" s="1"/>
  <c r="H38" i="7" s="1"/>
  <c r="K38" i="7" s="1"/>
  <c r="H35" i="7"/>
  <c r="D41" i="7" l="1"/>
  <c r="I41" i="7"/>
  <c r="I42" i="7" l="1"/>
  <c r="I43" i="7" s="1"/>
  <c r="I44" i="7" s="1"/>
  <c r="I45" i="7" s="1"/>
  <c r="I46" i="7" s="1"/>
  <c r="I47" i="7" s="1"/>
  <c r="I48" i="7" s="1"/>
  <c r="I49" i="7" s="1"/>
  <c r="I50" i="7" s="1"/>
  <c r="I51" i="7" s="1"/>
  <c r="I52" i="7" s="1"/>
  <c r="K41" i="7"/>
  <c r="D42" i="7" s="1"/>
  <c r="H41" i="7"/>
  <c r="I55" i="7" l="1"/>
  <c r="I57" i="7" s="1"/>
  <c r="J31" i="4" s="1"/>
  <c r="J19" i="4" s="1"/>
  <c r="H42" i="7"/>
  <c r="K42" i="7"/>
  <c r="D43" i="7" s="1"/>
  <c r="J23" i="4" l="1"/>
  <c r="J17" i="4"/>
  <c r="J20" i="4"/>
  <c r="L20" i="4" s="1"/>
  <c r="T60" i="2" s="1"/>
  <c r="U60" i="2" s="1"/>
  <c r="J24" i="4"/>
  <c r="L24" i="4" s="1"/>
  <c r="T64" i="2" s="1"/>
  <c r="U64" i="2" s="1"/>
  <c r="K43" i="7"/>
  <c r="D44" i="7" s="1"/>
  <c r="H43" i="7"/>
  <c r="L17" i="4"/>
  <c r="L23" i="4"/>
  <c r="L19" i="4"/>
  <c r="T59" i="2" s="1"/>
  <c r="J21" i="4" l="1"/>
  <c r="J25" i="4"/>
  <c r="L21" i="4"/>
  <c r="L25" i="4"/>
  <c r="L29" i="4" s="1"/>
  <c r="T63" i="2"/>
  <c r="K44" i="7"/>
  <c r="D45" i="7" s="1"/>
  <c r="H44" i="7"/>
  <c r="J29" i="4" l="1"/>
  <c r="D21" i="1" s="1"/>
  <c r="I21" i="1" s="1"/>
  <c r="I24" i="1" s="1"/>
  <c r="H45" i="7"/>
  <c r="K45" i="7"/>
  <c r="D46" i="7" s="1"/>
  <c r="T65" i="2"/>
  <c r="U63" i="2"/>
  <c r="U65" i="2" s="1"/>
  <c r="T61" i="2"/>
  <c r="T69" i="2" s="1"/>
  <c r="U59" i="2"/>
  <c r="U61" i="2" s="1"/>
  <c r="U69" i="2" l="1"/>
  <c r="K46" i="7"/>
  <c r="D47" i="7" s="1"/>
  <c r="H46" i="7"/>
  <c r="K47" i="7" l="1"/>
  <c r="D48" i="7" s="1"/>
  <c r="H47" i="7"/>
  <c r="H48" i="7" l="1"/>
  <c r="K48" i="7"/>
  <c r="D49" i="7" s="1"/>
  <c r="H49" i="7" l="1"/>
  <c r="K49" i="7"/>
  <c r="D50" i="7" s="1"/>
  <c r="K50" i="7" l="1"/>
  <c r="D51" i="7" s="1"/>
  <c r="H50" i="7"/>
  <c r="K51" i="7" l="1"/>
  <c r="D52" i="7" s="1"/>
  <c r="H51" i="7"/>
  <c r="K52" i="7" l="1"/>
  <c r="H52" i="7"/>
  <c r="H53" i="7" s="1"/>
</calcChain>
</file>

<file path=xl/comments1.xml><?xml version="1.0" encoding="utf-8"?>
<comments xmlns="http://schemas.openxmlformats.org/spreadsheetml/2006/main">
  <authors>
    <author>s998095</author>
  </authors>
  <commentList>
    <comment ref="D21" authorId="0" shapeId="0">
      <text>
        <r>
          <rPr>
            <sz val="9"/>
            <color indexed="81"/>
            <rFont val="Tahoma"/>
            <family val="2"/>
          </rPr>
          <t>Jim martin 6/28/18- this is to be populated only for projections when the true up from the prior rate year is rolled into projected rates. Should be blank when using this template to compute true ups. Inserted the *0 logic to blank this out in the 2017 true up. Will need this in every future true up. Remove the *0 when this template is used for the 2019 projection and future projections which will allow this cell to populate with the correct number.</t>
        </r>
      </text>
    </comment>
  </commentList>
</comments>
</file>

<file path=xl/comments2.xml><?xml version="1.0" encoding="utf-8"?>
<comments xmlns="http://schemas.openxmlformats.org/spreadsheetml/2006/main">
  <authors>
    <author>s199989</author>
  </authors>
  <commentList>
    <comment ref="T56" authorId="0" shapeId="0">
      <text>
        <r>
          <rPr>
            <b/>
            <sz val="9"/>
            <color indexed="81"/>
            <rFont val="Tahoma"/>
            <family val="2"/>
          </rPr>
          <t>s199989:</t>
        </r>
        <r>
          <rPr>
            <sz val="9"/>
            <color indexed="81"/>
            <rFont val="Tahoma"/>
            <family val="2"/>
          </rPr>
          <t xml:space="preserve">
Zero during true-up. Projection should reference most recent year true-up amount</t>
        </r>
      </text>
    </comment>
  </commentList>
</comments>
</file>

<file path=xl/comments3.xml><?xml version="1.0" encoding="utf-8"?>
<comments xmlns="http://schemas.openxmlformats.org/spreadsheetml/2006/main">
  <authors>
    <author>Mary Williamson</author>
    <author>Jim Martin</author>
  </authors>
  <commentList>
    <comment ref="D9" authorId="0" shapeId="0">
      <text>
        <r>
          <rPr>
            <i/>
            <sz val="9"/>
            <color indexed="81"/>
            <rFont val="Tahoma"/>
            <family val="2"/>
          </rPr>
          <t>Jim Martin</t>
        </r>
        <r>
          <rPr>
            <b/>
            <sz val="9"/>
            <color indexed="81"/>
            <rFont val="Tahoma"/>
            <family val="2"/>
          </rPr>
          <t xml:space="preserve">
Inputs are from the CY Actuarial Reports (UMWA and Non-UMWA).  </t>
        </r>
      </text>
    </comment>
    <comment ref="E9" authorId="1" shapeId="0">
      <text>
        <r>
          <rPr>
            <b/>
            <sz val="9"/>
            <color indexed="81"/>
            <rFont val="Tahoma"/>
            <family val="2"/>
          </rPr>
          <t>Jim Martin:</t>
        </r>
        <r>
          <rPr>
            <sz val="9"/>
            <color indexed="81"/>
            <rFont val="Tahoma"/>
            <family val="2"/>
          </rPr>
          <t xml:space="preserve">
source - S. Busser affidavit from KCP&amp;L</t>
        </r>
      </text>
    </comment>
    <comment ref="D10" authorId="1" shapeId="0">
      <text>
        <r>
          <rPr>
            <b/>
            <sz val="9"/>
            <color indexed="81"/>
            <rFont val="Tahoma"/>
            <family val="2"/>
          </rPr>
          <t>Jim Martin:</t>
        </r>
        <r>
          <rPr>
            <sz val="9"/>
            <color indexed="81"/>
            <rFont val="Tahoma"/>
            <family val="2"/>
          </rPr>
          <t xml:space="preserve">
ratio of retired to total</t>
        </r>
      </text>
    </comment>
    <comment ref="E10" authorId="1" shapeId="0">
      <text>
        <r>
          <rPr>
            <b/>
            <sz val="9"/>
            <color indexed="81"/>
            <rFont val="Tahoma"/>
            <family val="2"/>
          </rPr>
          <t>Jim Martin:</t>
        </r>
        <r>
          <rPr>
            <sz val="9"/>
            <color indexed="81"/>
            <rFont val="Tahoma"/>
            <family val="2"/>
          </rPr>
          <t xml:space="preserve">
ratio of retired to total</t>
        </r>
      </text>
    </comment>
    <comment ref="E12" authorId="1" shapeId="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<sst xmlns="http://schemas.openxmlformats.org/spreadsheetml/2006/main" count="1617" uniqueCount="934">
  <si>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</si>
  <si>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</si>
  <si>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</si>
  <si>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</si>
  <si>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</si>
  <si>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</si>
  <si>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</si>
  <si>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</si>
  <si>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</si>
  <si>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</si>
  <si>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</si>
  <si>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</si>
  <si>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</si>
  <si>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</si>
  <si>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</si>
  <si>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</si>
  <si>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</si>
  <si>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</si>
  <si>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</si>
  <si>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</si>
  <si>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</si>
  <si>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</si>
  <si>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</si>
  <si>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</si>
  <si>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</si>
  <si>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</si>
  <si>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</si>
  <si>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</si>
  <si>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</si>
  <si>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</si>
  <si>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</si>
  <si>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</si>
  <si>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</si>
  <si>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</si>
  <si>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</si>
  <si>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</si>
  <si>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</si>
  <si>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</si>
  <si>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</si>
  <si>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</si>
  <si>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</si>
  <si>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</si>
  <si>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</si>
  <si>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</si>
  <si>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</si>
  <si>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</si>
  <si>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</si>
  <si>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</si>
  <si>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</si>
  <si>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</si>
  <si>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</si>
  <si>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</si>
  <si>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</si>
  <si>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</si>
  <si>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</si>
  <si>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</si>
  <si>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</si>
  <si>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</si>
  <si>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</si>
  <si>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</si>
  <si>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</si>
  <si>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</si>
  <si>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</si>
  <si>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</si>
  <si>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</si>
  <si>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</si>
  <si>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</si>
  <si>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</si>
  <si>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</si>
  <si>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</si>
  <si>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</si>
  <si>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</si>
  <si>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</si>
  <si>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</si>
  <si>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</si>
  <si>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</si>
  <si>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</si>
  <si>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</si>
  <si>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</si>
  <si>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</si>
  <si>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</si>
  <si>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</si>
  <si>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</si>
  <si>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</si>
  <si>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</si>
  <si>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</si>
  <si>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</si>
  <si>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</si>
  <si>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</si>
  <si>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</si>
  <si>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</si>
  <si>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</si>
  <si>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</si>
  <si>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</si>
  <si>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</si>
  <si>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</si>
  <si>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</si>
  <si>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</si>
  <si>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</si>
  <si>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</si>
  <si>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</si>
  <si>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</si>
  <si>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</si>
  <si>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</si>
  <si>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</si>
  <si>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</si>
  <si>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</si>
  <si>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</si>
  <si>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</si>
  <si>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</si>
  <si>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</si>
  <si>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</si>
  <si>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</si>
  <si>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</si>
  <si>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</si>
  <si>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</si>
  <si>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</si>
  <si>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</si>
  <si>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</si>
  <si>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</si>
  <si>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</si>
  <si>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</si>
  <si>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</si>
  <si>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</si>
  <si>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</si>
  <si>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</si>
  <si>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</si>
  <si>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</si>
  <si>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</si>
  <si>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</si>
  <si>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</si>
  <si>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</si>
  <si>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</si>
  <si>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</si>
  <si>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</si>
  <si>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</si>
  <si>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</si>
  <si>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</si>
  <si>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</si>
  <si>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</si>
  <si>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</si>
  <si>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</si>
  <si>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</si>
  <si>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</si>
  <si>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</si>
  <si>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</si>
  <si>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</si>
  <si>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</si>
  <si>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</si>
  <si>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</si>
  <si>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</si>
  <si>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</si>
  <si>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</si>
  <si>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</si>
  <si>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</si>
  <si>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</si>
  <si>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</si>
  <si>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</si>
  <si>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</si>
  <si>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</si>
  <si>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</si>
  <si>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</si>
  <si>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</si>
  <si>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</si>
  <si>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</si>
  <si>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</si>
  <si>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</si>
  <si>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</si>
  <si>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</si>
  <si>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</si>
  <si>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</si>
  <si>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</si>
  <si>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</si>
  <si>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</si>
  <si>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</si>
  <si>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</si>
  <si>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</si>
  <si>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</si>
  <si>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</si>
  <si>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</si>
  <si>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</si>
  <si>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</si>
  <si>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</si>
  <si>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</si>
  <si>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</si>
  <si>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</si>
  <si>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</si>
  <si>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</si>
  <si>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</si>
  <si>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</si>
  <si>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</si>
  <si>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</si>
  <si>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</si>
  <si>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</si>
  <si>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</si>
  <si>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</si>
  <si>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</si>
  <si>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</si>
  <si>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</si>
  <si>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</si>
  <si>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</si>
  <si>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</si>
  <si>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</si>
  <si>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</si>
  <si>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</si>
  <si>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</si>
  <si>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</si>
  <si>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</si>
  <si>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</si>
  <si>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</si>
  <si>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</si>
  <si>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</si>
  <si>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</si>
  <si>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</si>
  <si>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</si>
  <si>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</si>
  <si>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</si>
  <si>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</si>
  <si>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</si>
  <si>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</si>
  <si>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</si>
  <si>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</si>
  <si>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</si>
  <si>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</si>
  <si>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</si>
  <si>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</si>
  <si>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</si>
  <si>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</si>
  <si>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</si>
  <si>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</si>
  <si>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</si>
  <si>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</si>
  <si>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</si>
  <si>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</si>
  <si>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</si>
  <si>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</si>
  <si>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</si>
  <si>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</si>
  <si>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</si>
  <si>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</si>
  <si>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</si>
  <si>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</si>
  <si>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</si>
  <si>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</si>
  <si>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</si>
  <si>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</si>
  <si>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</si>
  <si>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</si>
  <si>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</si>
  <si>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</si>
  <si>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</si>
  <si>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</si>
  <si>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</si>
  <si>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</si>
  <si>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</si>
  <si>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</si>
  <si>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</si>
  <si>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</si>
  <si>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</si>
  <si>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</si>
  <si>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</si>
  <si>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</si>
  <si>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</si>
  <si>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</si>
  <si>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</si>
  <si>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</si>
  <si>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</si>
  <si>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</si>
  <si>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</si>
  <si>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</si>
  <si>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</si>
  <si>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</si>
  <si>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</si>
  <si>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</si>
  <si>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</si>
  <si>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</si>
  <si>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</si>
  <si>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</si>
  <si>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</si>
  <si>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</si>
  <si>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</si>
  <si>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</si>
  <si>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</si>
  <si>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</si>
  <si>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</si>
  <si>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</si>
  <si>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</si>
  <si>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</si>
  <si>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</si>
  <si>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</si>
  <si>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</si>
  <si>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</si>
  <si>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</si>
  <si>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</si>
  <si>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</si>
  <si>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</si>
  <si>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</si>
  <si>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</si>
  <si>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</si>
  <si>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</si>
  <si>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</si>
  <si>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</si>
  <si>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</si>
  <si>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</si>
  <si>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</si>
  <si>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</si>
  <si>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</si>
  <si>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</si>
  <si>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</si>
  <si>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</si>
  <si>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</si>
  <si>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</si>
  <si>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</si>
  <si>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</si>
  <si>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</si>
  <si>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</si>
  <si>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</si>
  <si>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</si>
  <si>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</si>
  <si>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</si>
  <si>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</si>
  <si>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</si>
  <si>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</si>
  <si>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</si>
  <si>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</si>
  <si>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</si>
  <si>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</si>
  <si>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</si>
  <si>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</si>
  <si>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</si>
  <si>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</si>
  <si>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</si>
  <si>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</si>
  <si>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</si>
  <si>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</si>
  <si>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</si>
  <si>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</si>
  <si>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</si>
  <si>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</si>
  <si>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</si>
  <si>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</si>
  <si>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</si>
  <si>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</si>
  <si>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</si>
  <si>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</si>
  <si>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</si>
  <si>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</si>
  <si>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</si>
  <si>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</si>
  <si>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</si>
  <si>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</si>
  <si>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</si>
  <si>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</si>
  <si>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</si>
  <si>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</si>
  <si>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</si>
  <si>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</si>
  <si>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</si>
  <si>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</si>
  <si>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</si>
  <si>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</si>
  <si>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</si>
  <si>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</si>
  <si>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</si>
  <si>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</si>
  <si>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</si>
  <si>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</si>
  <si>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</si>
  <si>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</si>
  <si>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</si>
  <si>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</si>
  <si>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</si>
  <si>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</si>
  <si>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</si>
  <si>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</si>
  <si>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</si>
  <si>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</si>
  <si>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</si>
  <si>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</si>
  <si>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</si>
  <si>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</si>
  <si>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</si>
  <si>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</si>
  <si>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</si>
  <si>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</si>
  <si>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</si>
  <si>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</si>
  <si>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</si>
  <si>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</si>
  <si>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</si>
  <si>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</si>
  <si>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</si>
  <si>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</si>
  <si>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</si>
  <si>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</si>
  <si>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</si>
  <si>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</si>
  <si>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</si>
  <si>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</si>
  <si>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</si>
  <si>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</si>
  <si>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</si>
  <si>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</si>
  <si>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</si>
  <si>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</si>
  <si>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</si>
  <si>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</si>
  <si>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</si>
  <si>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</si>
  <si>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</si>
  <si>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</si>
  <si>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</si>
  <si>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</si>
  <si>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</si>
  <si>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</si>
  <si>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</si>
  <si>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</si>
  <si>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</si>
  <si>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</si>
  <si>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</si>
  <si>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</si>
  <si>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</si>
  <si>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</si>
  <si>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</si>
  <si>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</si>
  <si>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</si>
  <si>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</si>
  <si>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</si>
  <si>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</si>
  <si>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</si>
  <si>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</si>
  <si>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</si>
  <si>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</si>
  <si>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</si>
  <si>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</si>
  <si>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</si>
  <si>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</si>
  <si>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</si>
  <si>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</si>
  <si>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</si>
  <si>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</si>
  <si>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</si>
  <si>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</si>
  <si>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</si>
  <si>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</si>
  <si>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</si>
  <si>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</si>
  <si>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</si>
  <si>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</si>
  <si>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</si>
  <si>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</si>
  <si>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</si>
  <si>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</si>
  <si>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</si>
  <si>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</si>
  <si>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</si>
  <si>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</si>
  <si>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</si>
  <si>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</si>
  <si>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</si>
  <si>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</si>
  <si>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</si>
  <si>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</si>
  <si>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</si>
  <si>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</si>
  <si>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</si>
  <si>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</si>
  <si>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</si>
  <si>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</si>
  <si>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</si>
  <si>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</si>
  <si>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</si>
  <si>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</si>
  <si>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</si>
  <si>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</si>
  <si>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</si>
  <si>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</si>
  <si>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</si>
  <si>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</si>
  <si>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</si>
  <si>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</si>
  <si>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</si>
  <si>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</si>
  <si>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</si>
  <si>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</si>
  <si>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</si>
  <si>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</si>
  <si>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</si>
  <si>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</si>
  <si>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</si>
  <si>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</si>
  <si>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</si>
  <si>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</si>
  <si>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1</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</si>
  <si>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</si>
  <si>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</si>
  <si>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</si>
  <si>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</si>
  <si>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</si>
  <si>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</si>
  <si>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</si>
  <si>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</si>
  <si>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</si>
  <si>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</si>
  <si>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</si>
  <si>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</si>
  <si>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</si>
  <si>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</si>
  <si>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</si>
  <si>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</si>
  <si>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</si>
  <si>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</si>
  <si>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</si>
  <si>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</si>
  <si>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</si>
  <si>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</si>
  <si>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</si>
  <si>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</si>
  <si>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</si>
  <si>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</si>
  <si>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</si>
  <si>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</si>
  <si>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</si>
  <si>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</si>
  <si>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</si>
  <si>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</si>
  <si>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</si>
  <si>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</si>
  <si>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</si>
  <si>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</si>
  <si>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</si>
  <si>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</si>
  <si>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</si>
  <si>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</si>
  <si>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</si>
  <si>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</si>
  <si>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</si>
  <si>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</si>
  <si>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</si>
  <si>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</si>
  <si>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</si>
  <si>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</si>
  <si>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</si>
  <si>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</si>
  <si>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</si>
  <si>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</si>
  <si>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</si>
  <si>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</si>
  <si>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</si>
  <si>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</si>
  <si>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</si>
  <si>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</si>
  <si>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</si>
  <si>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</si>
  <si>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Description of Adjustment</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</si>
  <si>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</si>
  <si>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</si>
  <si>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</si>
  <si>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</si>
  <si>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</si>
  <si>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</si>
  <si>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</si>
  <si>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</si>
  <si>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</si>
  <si>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</si>
  <si>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</si>
  <si>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</si>
  <si>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</si>
  <si>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</si>
  <si>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</si>
  <si>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</si>
  <si>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</si>
  <si>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</si>
  <si>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</si>
  <si>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</si>
  <si>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</si>
  <si>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</si>
  <si>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</si>
  <si>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</si>
  <si>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</si>
  <si>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</si>
  <si>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</si>
  <si>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</si>
  <si>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</si>
  <si>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</si>
  <si>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</si>
  <si>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</si>
  <si>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</si>
  <si>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</si>
  <si>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</si>
  <si>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</si>
  <si>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</si>
  <si>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</si>
  <si>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</si>
  <si>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</si>
  <si>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</si>
  <si>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</si>
  <si>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</si>
  <si>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</si>
  <si>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</si>
  <si>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</si>
  <si>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</si>
  <si>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</si>
  <si>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</si>
  <si>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</si>
  <si>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</si>
  <si>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</si>
  <si>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</si>
  <si>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</si>
  <si>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</si>
  <si>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</si>
  <si>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</si>
  <si>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</si>
  <si>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</si>
  <si>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</si>
  <si>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</si>
  <si>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</si>
  <si>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</si>
  <si>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</si>
  <si>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</si>
  <si>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</si>
  <si>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</si>
  <si>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</si>
  <si>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</si>
  <si>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</si>
  <si>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</si>
  <si>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</si>
  <si>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</si>
  <si>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</si>
  <si>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</si>
  <si>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</si>
  <si>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</si>
  <si>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</si>
  <si>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</si>
  <si>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</si>
  <si>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</si>
  <si>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</si>
  <si>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</si>
  <si>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</si>
  <si>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</si>
  <si>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</si>
  <si>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</si>
  <si>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</si>
  <si>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</si>
  <si>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</si>
  <si>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</si>
  <si>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</si>
  <si>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</si>
  <si>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</si>
  <si>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</si>
  <si>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</si>
  <si>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</si>
  <si>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</si>
  <si>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</si>
  <si>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</si>
  <si>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</si>
  <si>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</si>
  <si>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</si>
  <si>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</si>
  <si>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</si>
  <si>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</si>
  <si>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</si>
  <si>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</si>
  <si>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</si>
  <si>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</si>
  <si>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</si>
  <si>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</si>
  <si>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</si>
  <si>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</si>
  <si>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</si>
  <si>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</si>
  <si>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</si>
  <si>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</si>
  <si>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</si>
  <si>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</si>
  <si>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</si>
  <si>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</si>
  <si>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</si>
  <si>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</si>
  <si>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</si>
  <si>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</si>
  <si>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</si>
  <si>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</si>
  <si>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</si>
  <si>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</si>
  <si>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</si>
  <si>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</si>
  <si>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</si>
  <si>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</si>
  <si>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</si>
  <si>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</si>
  <si>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</si>
  <si>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</si>
  <si>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</si>
  <si>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</si>
  <si>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</si>
  <si>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</si>
  <si>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</si>
  <si>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</si>
  <si>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</si>
  <si>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</si>
  <si>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</si>
  <si>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</si>
  <si>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</si>
  <si>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</si>
  <si>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</si>
  <si>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</si>
  <si>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</si>
  <si>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</si>
  <si>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</si>
  <si>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</si>
  <si>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</si>
  <si>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</si>
  <si>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</si>
  <si>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</si>
  <si>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</si>
  <si>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</si>
  <si>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</si>
  <si>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</si>
  <si>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</si>
  <si>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</si>
  <si>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</si>
  <si>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</si>
  <si>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</si>
  <si>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</si>
  <si>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</si>
  <si>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</si>
  <si>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</si>
  <si>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</si>
  <si>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</si>
  <si>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</si>
  <si>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</si>
  <si>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</si>
  <si>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</si>
  <si>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</si>
  <si>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</si>
  <si>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</si>
  <si>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</si>
  <si>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</si>
  <si>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</si>
  <si>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</si>
  <si>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</si>
  <si>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</si>
  <si>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</si>
  <si>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</si>
  <si>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</si>
  <si>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</si>
  <si>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</si>
  <si>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</si>
  <si>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</si>
  <si>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</si>
  <si>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</si>
  <si>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</si>
  <si>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</si>
  <si>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</si>
  <si>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</si>
  <si>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</si>
  <si>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</si>
  <si>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</si>
  <si>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</si>
  <si>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</si>
  <si>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</si>
  <si>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</si>
  <si>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</si>
  <si>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</si>
  <si>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</si>
  <si>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</si>
  <si>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</si>
  <si>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</si>
  <si>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</si>
  <si>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</si>
  <si>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</si>
  <si>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</si>
  <si>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</si>
  <si>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</si>
  <si>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</si>
  <si>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</si>
  <si>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</si>
  <si>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</si>
  <si>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</si>
  <si>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</si>
  <si>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</si>
  <si>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</si>
  <si>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</si>
  <si>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</si>
  <si>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</si>
  <si>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</si>
  <si>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</si>
  <si>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</si>
  <si>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</si>
  <si>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</si>
  <si>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</si>
  <si>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</si>
  <si>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</si>
  <si>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</si>
  <si>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</si>
  <si>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</si>
  <si>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</si>
  <si>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</si>
  <si>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</si>
  <si>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</si>
  <si>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</si>
  <si>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</si>
  <si>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</si>
  <si>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</si>
  <si>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</si>
  <si>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</si>
  <si>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</si>
  <si>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</si>
  <si>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</si>
  <si>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</si>
  <si>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</si>
  <si>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</si>
  <si>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</si>
  <si>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</si>
  <si>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</si>
  <si>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</si>
  <si>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</si>
  <si>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</si>
  <si>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</si>
  <si>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</si>
  <si>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</si>
  <si>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</si>
  <si>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</si>
  <si>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</si>
  <si>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</si>
  <si>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</si>
  <si>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</si>
  <si>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</si>
  <si>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</si>
  <si>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</si>
  <si>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</si>
  <si>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</si>
  <si>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</si>
  <si>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</si>
  <si>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</si>
  <si>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</si>
  <si>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</si>
  <si>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</si>
  <si>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</si>
  <si>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</si>
  <si>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</si>
  <si>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</si>
  <si>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</si>
  <si>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</si>
  <si>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</si>
  <si>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</si>
  <si>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</si>
  <si>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</si>
  <si>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</si>
  <si>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</si>
  <si>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</si>
  <si>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</si>
  <si>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</si>
  <si>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</si>
  <si>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</si>
  <si>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</si>
  <si>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</si>
  <si>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</si>
  <si>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</si>
  <si>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</si>
  <si>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</si>
  <si>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</si>
  <si>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</si>
  <si>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</si>
  <si>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</si>
  <si>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</si>
  <si>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</si>
  <si>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</si>
  <si>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</si>
  <si>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</si>
  <si>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</si>
  <si>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</si>
  <si>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</si>
  <si>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</si>
  <si>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</si>
  <si>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</si>
  <si>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</si>
  <si>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</si>
  <si>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</si>
  <si>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</si>
  <si>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</si>
  <si>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</si>
  <si>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</si>
  <si>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</si>
  <si>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</si>
  <si>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</si>
  <si>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</si>
  <si>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</si>
  <si>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</si>
  <si>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</si>
  <si>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</si>
  <si>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</si>
  <si>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</si>
  <si>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</si>
  <si>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</si>
  <si>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</si>
  <si>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</si>
  <si>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</si>
  <si>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</si>
  <si>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</si>
  <si>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</si>
  <si>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</si>
  <si>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</si>
  <si>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</si>
  <si>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</si>
  <si>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</si>
  <si>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</si>
  <si>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</si>
  <si>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</si>
  <si>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12/31/20</t>
  </si>
  <si>
    <t>911Q-DSIT  DSIT Entry-Normalized</t>
  </si>
  <si>
    <t>Electric operations DSIT</t>
  </si>
  <si>
    <t>960F-XS Excess ADFIT 282.4 - Protected</t>
  </si>
  <si>
    <t>Gross-up on Excess ADIT related to Plant</t>
  </si>
  <si>
    <t>960F-XS Excess ADFIT 283.4 - Unprotected</t>
  </si>
  <si>
    <t>Gross-up on Excess ADIT related to Non-Plant</t>
  </si>
  <si>
    <t>230A-Book vs Tax Plant Timing Differences</t>
  </si>
  <si>
    <t>Related to Capitalized Plant Timing Differences</t>
  </si>
  <si>
    <t>712K Capitalized Software Cost-Book</t>
  </si>
  <si>
    <t>Related to Capitalized Software Timing Differences</t>
  </si>
  <si>
    <t>910K-Removal Costs</t>
  </si>
  <si>
    <t>Related to Removal Cost Expenditures</t>
  </si>
  <si>
    <t>960F-XS Excess ADFIT 282.1 - Protected</t>
  </si>
  <si>
    <t>Related to Excess ADIT on Plant Timing Differences</t>
  </si>
  <si>
    <t>280A-Flow-Thru Book Depreciation</t>
  </si>
  <si>
    <t>Related to Flow-Back of AFUDC-Equity</t>
  </si>
  <si>
    <t>310A AFUDC-Equity</t>
  </si>
  <si>
    <t>Related to Capitalized Interest Timing Differences</t>
  </si>
  <si>
    <t>671S  Reg Asset - Pre Construction Costs</t>
  </si>
  <si>
    <t>Book Deferral Timing Differences</t>
  </si>
  <si>
    <t>960F-XS Excess ADFIT 283.1 - Unprotected</t>
  </si>
  <si>
    <t>Related to Excess ADIT on Non-Plant Timing Differences</t>
  </si>
  <si>
    <t>380J-Capitalized Interest for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</si>
</sst>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20">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7" fillId="0" borderId="0"/>
  </cellStyleXfs>
  <cellXfs count="1040">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171" fontId="57" fillId="14" borderId="0" xfId="265" applyNumberFormat="1" applyFont="1" applyFill="1" applyAlignment="1">
      <alignment horizontal="right"/>
    </xf>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43" fontId="57" fillId="15" borderId="10" xfId="59" applyFont="1" applyFill="1" applyBorder="1" applyAlignment="1">
      <alignment horizontal="left"/>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4" fontId="47" fillId="0" borderId="0" xfId="0" applyFont="1" applyAlignment="1">
      <alignment vertical="center"/>
    </xf>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74" fontId="47" fillId="15" borderId="0" xfId="0" quotePrefix="1" applyFont="1" applyFill="1" applyAlignment="1">
      <alignment horizontal="center"/>
    </xf>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15" borderId="0" xfId="59" applyFont="1" applyFill="1"/>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10" fontId="57" fillId="15" borderId="0" xfId="187" applyNumberFormat="1" applyFont="1" applyFill="1" applyBorder="1"/>
    <xf numFmtId="0" fontId="57" fillId="14" borderId="0" xfId="187" applyFont="1" applyFill="1" applyBorder="1"/>
    <xf numFmtId="10" fontId="57" fillId="15" borderId="0" xfId="187"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10" fontId="57" fillId="14" borderId="0" xfId="265" applyNumberFormat="1" applyFont="1" applyFill="1" applyAlignment="1" applyProtection="1">
      <alignment vertical="top"/>
      <protection locked="0"/>
    </xf>
    <xf numFmtId="0" fontId="17" fillId="14" borderId="42" xfId="9819" applyFont="1" applyFill="1" applyBorder="1" applyAlignment="1">
      <alignment wrapText="1"/>
    </xf>
    <xf numFmtId="0" fontId="17" fillId="14" borderId="41" xfId="9819" applyFont="1" applyFill="1" applyBorder="1" applyAlignment="1">
      <alignment wrapText="1"/>
    </xf>
    <xf numFmtId="0" fontId="57" fillId="15" borderId="0" xfId="187" applyFont="1" applyFill="1" applyBorder="1"/>
    <xf numFmtId="10" fontId="57" fillId="15" borderId="0" xfId="282" applyNumberFormat="1" applyFont="1" applyFill="1" applyBorder="1"/>
    <xf numFmtId="175" fontId="57" fillId="14" borderId="0" xfId="59" applyNumberFormat="1" applyFont="1" applyFill="1" applyBorder="1"/>
    <xf numFmtId="175" fontId="57" fillId="15" borderId="3" xfId="59" applyNumberFormat="1" applyFont="1" applyFill="1" applyBorder="1"/>
    <xf numFmtId="175" fontId="57" fillId="15" borderId="0" xfId="86" applyNumberFormat="1" applyFont="1" applyFill="1" applyBorder="1" applyAlignment="1">
      <alignment horizontal="right"/>
    </xf>
    <xf numFmtId="0" fontId="57" fillId="14" borderId="0" xfId="59" applyNumberFormat="1" applyFont="1" applyFill="1" applyBorder="1"/>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57" fillId="0" borderId="0" xfId="210" applyNumberFormat="1" applyFont="1" applyFill="1" applyAlignment="1" applyProtection="1">
      <alignment vertical="top" wrapText="1"/>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201" applyFont="1" applyFill="1" applyBorder="1" applyAlignment="1">
      <alignment horizontal="left" vertical="top" wrapText="1"/>
    </xf>
    <xf numFmtId="49" fontId="57" fillId="0" borderId="0" xfId="201" applyNumberFormat="1" applyFont="1" applyFill="1" applyBorder="1" applyAlignment="1">
      <alignment horizontal="left" vertical="top" wrapText="1"/>
    </xf>
    <xf numFmtId="174" fontId="57" fillId="0" borderId="0" xfId="0" applyFont="1" applyFill="1" applyAlignment="1">
      <alignment horizontal="left"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64" fillId="0" borderId="0" xfId="211" applyFont="1" applyAlignment="1">
      <alignment horizontal="center" wrapText="1"/>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147" fillId="0" borderId="0" xfId="184" applyFont="1" applyFill="1" applyBorder="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xf numFmtId="164" fontId="47" fillId="0" borderId="0" xfId="265" applyNumberFormat="1" applyFont="1" applyAlignment="1"/>
  </cellXfs>
  <cellStyles count="9820">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11 8" xfId="9819"/>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371475</xdr:colOff>
          <xdr:row>4</xdr:row>
          <xdr:rowOff>9525</xdr:rowOff>
        </xdr:from>
        <xdr:to>
          <xdr:col>1</xdr:col>
          <xdr:colOff>1019175</xdr:colOff>
          <xdr:row>4</xdr:row>
          <xdr:rowOff>9525</xdr:rowOff>
        </xdr:to>
        <xdr:sp macro="" textlink="">
          <xdr:nvSpPr>
            <xdr:cNvPr id="98305" name="Object 1" hidden="1">
              <a:extLst>
                <a:ext uri="{63B3BB69-23CF-44E3-9099-C40C66FF867C}">
                  <a14:compatExt spid="_x0000_s983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361950</xdr:colOff>
          <xdr:row>3</xdr:row>
          <xdr:rowOff>152400</xdr:rowOff>
        </xdr:from>
        <xdr:to>
          <xdr:col>2</xdr:col>
          <xdr:colOff>1000125</xdr:colOff>
          <xdr:row>3</xdr:row>
          <xdr:rowOff>152400</xdr:rowOff>
        </xdr:to>
        <xdr:sp macro="" textlink="">
          <xdr:nvSpPr>
            <xdr:cNvPr id="96257" name="Object 1" hidden="1">
              <a:extLst>
                <a:ext uri="{63B3BB69-23CF-44E3-9099-C40C66FF867C}">
                  <a14:compatExt spid="_x0000_s96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4.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2.bin"/><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9"/>
  <sheetViews>
    <sheetView tabSelected="1" zoomScaleNormal="100" zoomScaleSheetLayoutView="85" workbookViewId="0"/>
  </sheetViews>
  <sheetFormatPr defaultColWidth="8.88671875" defaultRowHeight="12.75"/>
  <cols>
    <col min="1" max="1" width="6.77734375" style="14" customWidth="1"/>
    <col min="2" max="2" width="43.5546875" style="14" customWidth="1"/>
    <col min="3" max="3" width="36.109375" style="14" customWidth="1"/>
    <col min="4" max="4" width="16.33203125" style="14" customWidth="1"/>
    <col min="5" max="5" width="6.77734375" style="14" customWidth="1"/>
    <col min="6" max="6" width="7.33203125" style="14" customWidth="1"/>
    <col min="7" max="7" width="9.44140625" style="14" customWidth="1"/>
    <col min="8" max="8" width="4.88671875" style="14" customWidth="1"/>
    <col min="9" max="9" width="13.5546875" style="14" customWidth="1"/>
    <col min="10" max="10" width="5.6640625" style="14" customWidth="1"/>
    <col min="11" max="11" width="14.44140625" style="14" bestFit="1" customWidth="1"/>
    <col min="12" max="12" width="14.6640625" style="14" bestFit="1" customWidth="1"/>
    <col min="13" max="16384" width="8.88671875" style="14"/>
  </cols>
  <sheetData>
    <row r="1" spans="1:10">
      <c r="A1" s="103"/>
      <c r="B1" s="103"/>
      <c r="C1" s="103"/>
      <c r="D1" s="103"/>
      <c r="E1" s="103"/>
      <c r="F1" s="103"/>
      <c r="G1" s="103"/>
      <c r="H1" s="103"/>
      <c r="I1" s="103"/>
      <c r="J1" s="104" t="s">
        <v>628</v>
      </c>
    </row>
    <row r="2" spans="1:10">
      <c r="A2" s="103"/>
      <c r="B2" s="103"/>
      <c r="C2" s="103"/>
      <c r="D2" s="103"/>
      <c r="E2" s="103"/>
      <c r="F2" s="103"/>
      <c r="G2" s="103"/>
      <c r="H2" s="103"/>
      <c r="I2" s="103"/>
      <c r="J2" s="103"/>
    </row>
    <row r="3" spans="1:10">
      <c r="A3" s="34"/>
      <c r="B3" s="26" t="s">
        <v>1</v>
      </c>
      <c r="C3" s="201"/>
      <c r="D3" s="105" t="s">
        <v>901</v>
      </c>
      <c r="E3" s="26"/>
      <c r="F3" s="26"/>
      <c r="G3" s="106"/>
      <c r="H3" s="107"/>
      <c r="I3" s="108"/>
      <c r="J3" s="19" t="s">
        <v>910</v>
      </c>
    </row>
    <row r="4" spans="1:10">
      <c r="A4" s="34"/>
      <c r="C4" s="27"/>
      <c r="D4" s="30" t="s">
        <v>97</v>
      </c>
      <c r="E4" s="27"/>
      <c r="F4" s="27"/>
      <c r="G4" s="27"/>
      <c r="H4" s="109"/>
      <c r="I4" s="109"/>
      <c r="J4" s="110"/>
    </row>
    <row r="5" spans="1:10" ht="13.5">
      <c r="A5" s="34"/>
      <c r="B5" s="111"/>
      <c r="C5" s="118"/>
      <c r="D5" s="264" t="s">
        <v>902</v>
      </c>
      <c r="E5" s="118"/>
      <c r="F5" s="118"/>
      <c r="G5" s="118"/>
      <c r="H5" s="110"/>
      <c r="I5" s="110"/>
      <c r="J5" s="110"/>
    </row>
    <row r="6" spans="1:10" ht="13.5">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5" thickBot="1">
      <c r="A10" s="31" t="s">
        <v>10</v>
      </c>
      <c r="B10" s="110"/>
      <c r="C10" s="142" t="s">
        <v>199</v>
      </c>
      <c r="D10" s="110"/>
      <c r="E10" s="110"/>
      <c r="F10" s="110"/>
      <c r="G10" s="110"/>
      <c r="H10" s="110"/>
      <c r="I10" s="31" t="s">
        <v>11</v>
      </c>
      <c r="J10" s="110"/>
    </row>
    <row r="11" spans="1:10">
      <c r="A11" s="105">
        <v>1</v>
      </c>
      <c r="B11" s="110" t="s">
        <v>521</v>
      </c>
      <c r="C11" s="110" t="s">
        <v>565</v>
      </c>
      <c r="D11" s="116"/>
      <c r="E11" s="110"/>
      <c r="F11" s="110"/>
      <c r="G11" s="110"/>
      <c r="H11" s="110"/>
      <c r="I11" s="117">
        <f>+I171</f>
        <v>1898876.449819338</v>
      </c>
      <c r="J11" s="118"/>
    </row>
    <row r="12" spans="1:10">
      <c r="A12" s="105"/>
      <c r="B12" s="110"/>
      <c r="C12" s="110"/>
      <c r="D12" s="110"/>
      <c r="E12" s="110"/>
      <c r="F12" s="110"/>
      <c r="G12" s="110"/>
      <c r="H12" s="110"/>
      <c r="I12" s="116"/>
      <c r="J12" s="110"/>
    </row>
    <row r="13" spans="1:10" ht="13.5" thickBot="1">
      <c r="A13" s="105" t="s">
        <v>2</v>
      </c>
      <c r="B13" s="29" t="s">
        <v>12</v>
      </c>
      <c r="C13" s="35" t="s">
        <v>504</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768</v>
      </c>
      <c r="C15" s="502" t="str">
        <f>"(page 4, line "&amp;A212&amp;")"</f>
        <v>(page 4, line 21)</v>
      </c>
      <c r="D15" s="158">
        <f>+I212</f>
        <v>0</v>
      </c>
      <c r="E15" s="27"/>
      <c r="F15" s="27" t="s">
        <v>15</v>
      </c>
      <c r="G15" s="167">
        <f>$I$189</f>
        <v>1</v>
      </c>
      <c r="H15" s="42"/>
      <c r="I15" s="16">
        <f>+G15*D15</f>
        <v>0</v>
      </c>
      <c r="J15" s="110"/>
    </row>
    <row r="16" spans="1:10">
      <c r="A16" s="479">
        <f>+A15+1</f>
        <v>4</v>
      </c>
      <c r="B16" s="120" t="s">
        <v>245</v>
      </c>
      <c r="C16" s="328" t="s">
        <v>511</v>
      </c>
      <c r="D16" s="325">
        <v>0</v>
      </c>
      <c r="E16" s="27"/>
      <c r="F16" s="27" t="s">
        <v>15</v>
      </c>
      <c r="G16" s="167">
        <f>$I$189</f>
        <v>1</v>
      </c>
      <c r="H16" s="42"/>
      <c r="I16" s="16">
        <f>+G16*D16</f>
        <v>0</v>
      </c>
      <c r="J16" s="110"/>
    </row>
    <row r="17" spans="1:12" ht="13.5" thickBot="1">
      <c r="A17" s="105">
        <f>+A16+1</f>
        <v>5</v>
      </c>
      <c r="B17" s="120" t="s">
        <v>103</v>
      </c>
      <c r="C17" s="121"/>
      <c r="D17" s="325">
        <v>0</v>
      </c>
      <c r="E17" s="27"/>
      <c r="F17" s="27" t="s">
        <v>15</v>
      </c>
      <c r="G17" s="167">
        <f>$I$189</f>
        <v>1</v>
      </c>
      <c r="H17" s="42"/>
      <c r="I17" s="40">
        <f>+G17*D17</f>
        <v>0</v>
      </c>
      <c r="J17" s="110"/>
    </row>
    <row r="18" spans="1:12">
      <c r="A18" s="479">
        <f>+A17+1</f>
        <v>6</v>
      </c>
      <c r="B18" s="29" t="s">
        <v>216</v>
      </c>
      <c r="C18" s="110" t="str">
        <f>"(Sum of Lines "&amp;A14&amp;" through "&amp;A17&amp;")"</f>
        <v>(Sum of Lines 2 through 5)</v>
      </c>
      <c r="D18" s="480">
        <f>SUM(D14:D17)</f>
        <v>0</v>
      </c>
      <c r="E18" s="27"/>
      <c r="F18" s="27"/>
      <c r="G18" s="43"/>
      <c r="H18" s="42"/>
      <c r="I18" s="480">
        <f>SUM(I14:I17)</f>
        <v>0</v>
      </c>
      <c r="J18" s="110"/>
    </row>
    <row r="19" spans="1:12">
      <c r="A19" s="105"/>
      <c r="B19" s="34"/>
      <c r="C19" s="110"/>
      <c r="D19" s="469" t="s">
        <v>2</v>
      </c>
      <c r="E19" s="110"/>
      <c r="F19" s="110"/>
      <c r="G19" s="122"/>
      <c r="H19" s="110"/>
      <c r="I19" s="34"/>
      <c r="J19" s="110"/>
    </row>
    <row r="20" spans="1:12" s="321" customFormat="1">
      <c r="A20" s="479">
        <f>+A18+1</f>
        <v>7</v>
      </c>
      <c r="B20" s="120" t="s">
        <v>697</v>
      </c>
      <c r="C20" s="121" t="s">
        <v>491</v>
      </c>
      <c r="D20" s="158">
        <f>+'11-Corrections'!F30</f>
        <v>0</v>
      </c>
      <c r="E20" s="27"/>
      <c r="F20" s="27" t="s">
        <v>77</v>
      </c>
      <c r="G20" s="167">
        <v>1</v>
      </c>
      <c r="H20" s="27"/>
      <c r="I20" s="406">
        <f>+G20*D20</f>
        <v>0</v>
      </c>
      <c r="J20" s="110"/>
      <c r="L20" s="123"/>
    </row>
    <row r="21" spans="1:12">
      <c r="A21" s="124">
        <f>+A20+1</f>
        <v>8</v>
      </c>
      <c r="B21" s="125" t="s">
        <v>98</v>
      </c>
      <c r="C21" s="301" t="str">
        <f>"Attachment 3, line "&amp;'3-Project True-up'!A29&amp;", Col. G+H"</f>
        <v>Attachment 3, line 9, Col. G+H</v>
      </c>
      <c r="D21" s="158">
        <f>(+'3-Project True-up'!I29+'3-Project True-up'!J29)</f>
        <v>-286101.9107137713</v>
      </c>
      <c r="E21" s="126"/>
      <c r="F21" s="127" t="s">
        <v>77</v>
      </c>
      <c r="G21" s="167">
        <v>1</v>
      </c>
      <c r="H21" s="126"/>
      <c r="I21" s="16">
        <f>+G21*D21</f>
        <v>-286101.9107137713</v>
      </c>
      <c r="J21" s="128"/>
    </row>
    <row r="22" spans="1:12" s="321" customFormat="1">
      <c r="A22" s="124">
        <f>+A21+1</f>
        <v>9</v>
      </c>
      <c r="B22" s="125" t="s">
        <v>740</v>
      </c>
      <c r="C22" s="301" t="s">
        <v>739</v>
      </c>
      <c r="D22" s="158">
        <f>+'13 - 30.9 credits'!D8</f>
        <v>0</v>
      </c>
      <c r="E22" s="126"/>
      <c r="F22" s="541" t="s">
        <v>77</v>
      </c>
      <c r="G22" s="167">
        <v>1</v>
      </c>
      <c r="H22" s="126"/>
      <c r="I22" s="406">
        <f>+G22*D22</f>
        <v>0</v>
      </c>
      <c r="J22" s="128"/>
    </row>
    <row r="23" spans="1:12">
      <c r="A23" s="124"/>
      <c r="B23" s="125"/>
      <c r="C23" s="301"/>
      <c r="D23" s="470"/>
      <c r="E23" s="129"/>
      <c r="F23" s="129"/>
      <c r="G23" s="129"/>
      <c r="H23" s="129"/>
      <c r="I23" s="130"/>
      <c r="J23" s="128"/>
    </row>
    <row r="24" spans="1:12" ht="13.5" thickBot="1">
      <c r="A24" s="124">
        <f>+A22+1</f>
        <v>10</v>
      </c>
      <c r="B24" s="125" t="s">
        <v>399</v>
      </c>
      <c r="C24" s="541" t="str">
        <f>"( Line "&amp;A11&amp;" less line "&amp;A18&amp;" plus lines "&amp;A20&amp;","&amp;A21&amp;", and "&amp;A22&amp;")"</f>
        <v>( Line 1 less line 6 plus lines 7,8, and 9)</v>
      </c>
      <c r="D24" s="129"/>
      <c r="E24" s="130"/>
      <c r="F24" s="130"/>
      <c r="G24" s="130"/>
      <c r="H24" s="130"/>
      <c r="I24" s="131">
        <f>+I11-I18+I20+I21+I22</f>
        <v>1612774.5391055667</v>
      </c>
      <c r="J24" s="128"/>
    </row>
    <row r="25" spans="1:12" ht="13.5"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627</v>
      </c>
    </row>
    <row r="55" spans="1:10">
      <c r="A55" s="34"/>
      <c r="B55" s="110"/>
      <c r="C55" s="110"/>
      <c r="D55" s="110"/>
      <c r="E55" s="110"/>
      <c r="F55" s="110"/>
      <c r="G55" s="110"/>
      <c r="H55" s="110"/>
      <c r="I55" s="110"/>
      <c r="J55" s="110"/>
    </row>
    <row r="56" spans="1:10">
      <c r="A56" s="34"/>
      <c r="B56" s="29" t="s">
        <v>1</v>
      </c>
      <c r="C56" s="29"/>
      <c r="D56" s="105" t="str">
        <f>+D3</f>
        <v>Rate Formula Template - Attachment H-30A</v>
      </c>
      <c r="E56" s="29"/>
      <c r="F56" s="29"/>
      <c r="G56" s="29"/>
      <c r="H56" s="29"/>
      <c r="I56" s="103"/>
      <c r="J56" s="138" t="str">
        <f>J3</f>
        <v>For  the 12 months ended 12/31/20</v>
      </c>
    </row>
    <row r="57" spans="1:10">
      <c r="A57" s="34"/>
      <c r="B57" s="139"/>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983"/>
      <c r="B59" s="983"/>
      <c r="C59" s="983"/>
      <c r="D59" s="983"/>
      <c r="E59" s="983"/>
      <c r="F59" s="983"/>
      <c r="G59" s="983"/>
      <c r="H59" s="983"/>
      <c r="I59" s="983"/>
      <c r="J59" s="983"/>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5" thickBot="1">
      <c r="A63" s="327" t="s">
        <v>10</v>
      </c>
      <c r="B63" s="144" t="s">
        <v>328</v>
      </c>
      <c r="C63" s="27"/>
      <c r="D63" s="27"/>
      <c r="E63" s="27"/>
      <c r="F63" s="27"/>
      <c r="G63" s="27"/>
      <c r="H63" s="27"/>
      <c r="I63" s="27"/>
      <c r="J63" s="27"/>
    </row>
    <row r="64" spans="1:10">
      <c r="A64" s="299"/>
      <c r="B64" s="29" t="s">
        <v>539</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5" thickBot="1">
      <c r="A68" s="299">
        <f t="shared" si="0"/>
        <v>4</v>
      </c>
      <c r="B68" s="29" t="s">
        <v>88</v>
      </c>
      <c r="C68" s="42" t="s">
        <v>249</v>
      </c>
      <c r="D68" s="147">
        <f>'4- Rate Base'!D23</f>
        <v>91538.382584470237</v>
      </c>
      <c r="E68" s="27"/>
      <c r="F68" s="27" t="s">
        <v>23</v>
      </c>
      <c r="G68" s="167">
        <f>$I$197</f>
        <v>1</v>
      </c>
      <c r="H68" s="42"/>
      <c r="I68" s="147">
        <f>+G68*D68</f>
        <v>91538.382584470237</v>
      </c>
      <c r="J68" s="27"/>
    </row>
    <row r="69" spans="1:10">
      <c r="A69" s="299">
        <f t="shared" si="0"/>
        <v>5</v>
      </c>
      <c r="B69" s="26" t="s">
        <v>212</v>
      </c>
      <c r="C69" s="27" t="s">
        <v>507</v>
      </c>
      <c r="D69" s="406">
        <f>SUM(D65:D68)</f>
        <v>91538.382584470237</v>
      </c>
      <c r="E69" s="27"/>
      <c r="F69" s="27" t="s">
        <v>24</v>
      </c>
      <c r="G69" s="330">
        <f>IF(I69&gt;0,I69/D69,1)</f>
        <v>1</v>
      </c>
      <c r="H69" s="42"/>
      <c r="I69" s="406">
        <f>SUM(I65:I68)</f>
        <v>91538.382584470237</v>
      </c>
      <c r="J69" s="149"/>
    </row>
    <row r="70" spans="1:10">
      <c r="A70" s="299"/>
      <c r="B70" s="29"/>
      <c r="C70" s="27"/>
      <c r="D70" s="16"/>
      <c r="E70" s="27"/>
      <c r="F70" s="27"/>
      <c r="G70" s="331"/>
      <c r="H70" s="27"/>
      <c r="I70" s="16"/>
      <c r="J70" s="149"/>
    </row>
    <row r="71" spans="1:10">
      <c r="A71" s="299">
        <f>+A69+1</f>
        <v>6</v>
      </c>
      <c r="B71" s="29" t="s">
        <v>538</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5" thickBot="1">
      <c r="A75" s="299">
        <f t="shared" si="0"/>
        <v>10</v>
      </c>
      <c r="B75" s="29" t="s">
        <v>88</v>
      </c>
      <c r="C75" s="27" t="s">
        <v>255</v>
      </c>
      <c r="D75" s="147">
        <f>'4- Rate Base'!J23</f>
        <v>17335.029651462744</v>
      </c>
      <c r="E75" s="27"/>
      <c r="F75" s="27" t="s">
        <v>23</v>
      </c>
      <c r="G75" s="167">
        <f>$I$197</f>
        <v>1</v>
      </c>
      <c r="H75" s="42"/>
      <c r="I75" s="147">
        <f>+G75*D75</f>
        <v>17335.029651462744</v>
      </c>
      <c r="J75" s="27"/>
    </row>
    <row r="76" spans="1:10">
      <c r="A76" s="299">
        <f t="shared" si="0"/>
        <v>11</v>
      </c>
      <c r="B76" s="29" t="s">
        <v>213</v>
      </c>
      <c r="C76" s="27" t="s">
        <v>226</v>
      </c>
      <c r="D76" s="406">
        <f>SUM(D72:D75)</f>
        <v>17335.029651462744</v>
      </c>
      <c r="E76" s="27"/>
      <c r="F76" s="27"/>
      <c r="G76" s="25"/>
      <c r="H76" s="42"/>
      <c r="I76" s="406">
        <f>SUM(I72:I75)</f>
        <v>17335.029651462744</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5" thickBot="1">
      <c r="A82" s="299">
        <f t="shared" si="0"/>
        <v>16</v>
      </c>
      <c r="B82" s="29" t="s">
        <v>88</v>
      </c>
      <c r="C82" s="27" t="str">
        <f>"(line "&amp;A68&amp;" - line "&amp;A75&amp;")"</f>
        <v>(line 4 - line 10)</v>
      </c>
      <c r="D82" s="147">
        <f>D68-D75</f>
        <v>74203.352933007496</v>
      </c>
      <c r="E82" s="42"/>
      <c r="F82" s="42"/>
      <c r="G82" s="148"/>
      <c r="H82" s="42"/>
      <c r="I82" s="147">
        <f>I68-I75</f>
        <v>74203.352933007496</v>
      </c>
      <c r="J82" s="149"/>
    </row>
    <row r="83" spans="1:10">
      <c r="A83" s="299">
        <f t="shared" si="0"/>
        <v>17</v>
      </c>
      <c r="B83" s="29" t="s">
        <v>215</v>
      </c>
      <c r="C83" s="27" t="str">
        <f>"( Sum of line "&amp;A69&amp;" - line "&amp;A76&amp;")"</f>
        <v>( Sum of line 5 - line 11)</v>
      </c>
      <c r="D83" s="406">
        <f>SUM(D79:D82)</f>
        <v>74203.352933007496</v>
      </c>
      <c r="E83" s="42"/>
      <c r="F83" s="42" t="s">
        <v>26</v>
      </c>
      <c r="G83" s="330">
        <f>IF(I83&gt;0,I83/D83,1)</f>
        <v>1</v>
      </c>
      <c r="H83" s="42"/>
      <c r="I83" s="406">
        <f>SUM(I79:I82)</f>
        <v>74203.352933007496</v>
      </c>
      <c r="J83" s="27"/>
    </row>
    <row r="84" spans="1:10">
      <c r="A84" s="299"/>
      <c r="B84" s="34"/>
      <c r="C84" s="27"/>
      <c r="D84" s="16"/>
      <c r="E84" s="27"/>
      <c r="F84" s="34"/>
      <c r="G84" s="481"/>
      <c r="H84" s="27"/>
      <c r="I84" s="16"/>
      <c r="J84" s="149"/>
    </row>
    <row r="85" spans="1:10">
      <c r="A85" s="299">
        <f>+A83+1</f>
        <v>18</v>
      </c>
      <c r="B85" s="26" t="s">
        <v>256</v>
      </c>
      <c r="C85" s="27"/>
      <c r="D85" s="16"/>
      <c r="E85" s="27"/>
      <c r="F85" s="27"/>
      <c r="G85" s="481"/>
      <c r="H85" s="27"/>
      <c r="I85" s="16"/>
      <c r="J85" s="27"/>
    </row>
    <row r="86" spans="1:10">
      <c r="A86" s="299">
        <f>+A85+1</f>
        <v>19</v>
      </c>
      <c r="B86" s="542" t="s">
        <v>852</v>
      </c>
      <c r="C86" s="541" t="s">
        <v>513</v>
      </c>
      <c r="D86" s="47">
        <f>-'4- Rate Base'!E42</f>
        <v>0</v>
      </c>
      <c r="E86" s="27"/>
      <c r="F86" s="502" t="s">
        <v>21</v>
      </c>
      <c r="G86" s="953" t="s">
        <v>105</v>
      </c>
      <c r="H86" s="42"/>
      <c r="I86" s="16">
        <v>0</v>
      </c>
      <c r="J86" s="149"/>
    </row>
    <row r="87" spans="1:10" s="321" customFormat="1">
      <c r="A87" s="299">
        <f t="shared" ref="A87:A90" si="1">+A86+1</f>
        <v>20</v>
      </c>
      <c r="B87" s="542" t="s">
        <v>853</v>
      </c>
      <c r="C87" s="541" t="s">
        <v>854</v>
      </c>
      <c r="D87" s="545">
        <f>-'4- Rate Base'!F42</f>
        <v>-1516.7678082191778</v>
      </c>
      <c r="E87" s="541"/>
      <c r="F87" s="502" t="s">
        <v>27</v>
      </c>
      <c r="G87" s="167">
        <f>+G83</f>
        <v>1</v>
      </c>
      <c r="H87" s="42"/>
      <c r="I87" s="406">
        <f t="shared" ref="I87:I89" si="2">D87*G87</f>
        <v>-1516.7678082191778</v>
      </c>
      <c r="J87" s="149"/>
    </row>
    <row r="88" spans="1:10" s="321" customFormat="1">
      <c r="A88" s="299">
        <f t="shared" si="1"/>
        <v>21</v>
      </c>
      <c r="B88" s="542" t="s">
        <v>855</v>
      </c>
      <c r="C88" s="541" t="s">
        <v>856</v>
      </c>
      <c r="D88" s="545">
        <f>-'4- Rate Base'!G42</f>
        <v>-152166.5</v>
      </c>
      <c r="E88" s="541"/>
      <c r="F88" s="502" t="s">
        <v>27</v>
      </c>
      <c r="G88" s="167">
        <f>+G83</f>
        <v>1</v>
      </c>
      <c r="H88" s="42"/>
      <c r="I88" s="406">
        <f>D88*G88</f>
        <v>-152166.5</v>
      </c>
      <c r="J88" s="149"/>
    </row>
    <row r="89" spans="1:10" s="321" customFormat="1">
      <c r="A89" s="299">
        <f t="shared" si="1"/>
        <v>22</v>
      </c>
      <c r="B89" s="542" t="s">
        <v>857</v>
      </c>
      <c r="C89" s="541" t="s">
        <v>858</v>
      </c>
      <c r="D89" s="545">
        <f>+'4- Rate Base'!H42</f>
        <v>12576</v>
      </c>
      <c r="E89" s="541"/>
      <c r="F89" s="502" t="s">
        <v>27</v>
      </c>
      <c r="G89" s="167">
        <f>+G83</f>
        <v>1</v>
      </c>
      <c r="H89" s="42"/>
      <c r="I89" s="406">
        <f t="shared" si="2"/>
        <v>12576</v>
      </c>
      <c r="J89" s="149"/>
    </row>
    <row r="90" spans="1:10">
      <c r="A90" s="299">
        <f t="shared" si="1"/>
        <v>23</v>
      </c>
      <c r="B90" s="34" t="s">
        <v>89</v>
      </c>
      <c r="C90" s="34" t="s">
        <v>859</v>
      </c>
      <c r="D90" s="47">
        <f>-'4- Rate Base'!I42</f>
        <v>0</v>
      </c>
      <c r="E90" s="27"/>
      <c r="F90" s="27" t="s">
        <v>27</v>
      </c>
      <c r="G90" s="167">
        <f>+$G$83</f>
        <v>1</v>
      </c>
      <c r="H90" s="42"/>
      <c r="I90" s="40">
        <f>D90*G90</f>
        <v>0</v>
      </c>
      <c r="J90" s="149"/>
    </row>
    <row r="91" spans="1:10" s="215" customFormat="1">
      <c r="A91" s="299">
        <f t="shared" si="0"/>
        <v>24</v>
      </c>
      <c r="B91" s="32" t="s">
        <v>377</v>
      </c>
      <c r="C91" s="32" t="s">
        <v>603</v>
      </c>
      <c r="D91" s="47">
        <f>+'4- Rate Base'!K73</f>
        <v>0</v>
      </c>
      <c r="E91" s="35"/>
      <c r="F91" s="35" t="s">
        <v>77</v>
      </c>
      <c r="G91" s="168">
        <f>G92</f>
        <v>1</v>
      </c>
      <c r="H91" s="159"/>
      <c r="I91" s="47">
        <f>+G91*D91</f>
        <v>0</v>
      </c>
      <c r="J91" s="300"/>
    </row>
    <row r="92" spans="1:10">
      <c r="A92" s="299">
        <f t="shared" si="0"/>
        <v>25</v>
      </c>
      <c r="B92" s="129" t="s">
        <v>87</v>
      </c>
      <c r="C92" s="155" t="s">
        <v>862</v>
      </c>
      <c r="D92" s="47">
        <f>'4- Rate Base'!E23</f>
        <v>11519160.989384614</v>
      </c>
      <c r="E92" s="152"/>
      <c r="F92" s="153" t="str">
        <f>+F93</f>
        <v>DA</v>
      </c>
      <c r="G92" s="169">
        <v>1</v>
      </c>
      <c r="H92" s="152"/>
      <c r="I92" s="40">
        <f>+G92*D92</f>
        <v>11519160.989384614</v>
      </c>
      <c r="J92" s="149"/>
    </row>
    <row r="93" spans="1:10">
      <c r="A93" s="299">
        <f t="shared" si="0"/>
        <v>26</v>
      </c>
      <c r="B93" s="154" t="s">
        <v>100</v>
      </c>
      <c r="C93" s="155" t="s">
        <v>514</v>
      </c>
      <c r="D93" s="47">
        <f>+'4- Rate Base'!C42</f>
        <v>444085.80000000034</v>
      </c>
      <c r="E93" s="153"/>
      <c r="F93" s="153" t="str">
        <f>+F94</f>
        <v>DA</v>
      </c>
      <c r="G93" s="169">
        <v>1</v>
      </c>
      <c r="H93" s="153"/>
      <c r="I93" s="40">
        <f>+G93*D93</f>
        <v>444085.80000000034</v>
      </c>
      <c r="J93" s="149"/>
    </row>
    <row r="94" spans="1:10" ht="13.5" thickBot="1">
      <c r="A94" s="299">
        <f t="shared" si="0"/>
        <v>27</v>
      </c>
      <c r="B94" s="154" t="s">
        <v>101</v>
      </c>
      <c r="C94" s="155" t="s">
        <v>515</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11822139.521576395</v>
      </c>
      <c r="E95" s="27"/>
      <c r="F95" s="27"/>
      <c r="G95" s="482"/>
      <c r="H95" s="42"/>
      <c r="I95" s="16">
        <f>SUM(I86:I94)</f>
        <v>11822139.521576395</v>
      </c>
      <c r="J95" s="27"/>
    </row>
    <row r="96" spans="1:10">
      <c r="A96" s="299"/>
      <c r="B96" s="34"/>
      <c r="C96" s="27"/>
      <c r="D96" s="16"/>
      <c r="E96" s="27"/>
      <c r="F96" s="27"/>
      <c r="G96" s="329"/>
      <c r="H96" s="27"/>
      <c r="I96" s="16"/>
      <c r="J96" s="149"/>
    </row>
    <row r="97" spans="1:10">
      <c r="A97" s="299">
        <f>+A95+1</f>
        <v>29</v>
      </c>
      <c r="B97" s="26" t="s">
        <v>664</v>
      </c>
      <c r="C97" s="157" t="s">
        <v>516</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537</v>
      </c>
      <c r="C99" s="27" t="s">
        <v>536</v>
      </c>
      <c r="D99" s="16"/>
      <c r="E99" s="27"/>
      <c r="F99" s="27"/>
      <c r="G99" s="329"/>
      <c r="H99" s="42"/>
      <c r="I99" s="16"/>
      <c r="J99" s="27"/>
    </row>
    <row r="100" spans="1:10">
      <c r="A100" s="299">
        <f t="shared" si="0"/>
        <v>31</v>
      </c>
      <c r="B100" s="29" t="s">
        <v>625</v>
      </c>
      <c r="C100" s="34" t="str">
        <f>"1/8*(Page 3, Line "&amp;A134&amp;" minus Page 3, Line "&amp;A131&amp;")"</f>
        <v>1/8*(Page 3, Line 17 minus Page 3, Line 14)</v>
      </c>
      <c r="D100" s="158">
        <f>(D134-D131)/8</f>
        <v>50910.611789869283</v>
      </c>
      <c r="E100" s="35"/>
      <c r="F100" s="35"/>
      <c r="G100" s="329"/>
      <c r="H100" s="159"/>
      <c r="I100" s="158">
        <f>(I134-I131)/8</f>
        <v>50910.611789869283</v>
      </c>
      <c r="J100" s="149"/>
    </row>
    <row r="101" spans="1:10">
      <c r="A101" s="299">
        <f t="shared" si="0"/>
        <v>32</v>
      </c>
      <c r="B101" s="29" t="s">
        <v>162</v>
      </c>
      <c r="C101" s="157" t="s">
        <v>518</v>
      </c>
      <c r="D101" s="158">
        <f>+'4- Rate Base'!G23</f>
        <v>0</v>
      </c>
      <c r="E101" s="27"/>
      <c r="F101" s="27" t="s">
        <v>15</v>
      </c>
      <c r="G101" s="167">
        <f>$I$189</f>
        <v>1</v>
      </c>
      <c r="H101" s="42"/>
      <c r="I101" s="16">
        <f>+G101*D101</f>
        <v>0</v>
      </c>
      <c r="J101" s="149"/>
    </row>
    <row r="102" spans="1:10" ht="13.5" thickBot="1">
      <c r="A102" s="105">
        <f t="shared" si="0"/>
        <v>33</v>
      </c>
      <c r="B102" s="29" t="s">
        <v>90</v>
      </c>
      <c r="C102" s="42" t="s">
        <v>257</v>
      </c>
      <c r="D102" s="170">
        <f>+'4- Rate Base'!H23</f>
        <v>3.0000000000000009E-2</v>
      </c>
      <c r="E102" s="27"/>
      <c r="F102" s="27" t="s">
        <v>28</v>
      </c>
      <c r="G102" s="329">
        <f>+$G$69</f>
        <v>1</v>
      </c>
      <c r="H102" s="42"/>
      <c r="I102" s="147">
        <f>+G102*D102</f>
        <v>3.0000000000000009E-2</v>
      </c>
      <c r="J102" s="149"/>
    </row>
    <row r="103" spans="1:10">
      <c r="A103" s="105">
        <f t="shared" si="0"/>
        <v>34</v>
      </c>
      <c r="B103" s="29" t="s">
        <v>217</v>
      </c>
      <c r="C103" s="27" t="str">
        <f>"( Sum of line "&amp;A100&amp;" - line "&amp;A102&amp;")"</f>
        <v>( Sum of line 31 - line 33)</v>
      </c>
      <c r="D103" s="16">
        <f>SUM(D100:D102)</f>
        <v>50910.641789869282</v>
      </c>
      <c r="E103" s="110"/>
      <c r="F103" s="110"/>
      <c r="G103" s="156"/>
      <c r="H103" s="160"/>
      <c r="I103" s="16">
        <f>I100+I101+I102</f>
        <v>50910.641789869282</v>
      </c>
      <c r="J103" s="110"/>
    </row>
    <row r="104" spans="1:10" ht="13.5" thickBot="1">
      <c r="A104" s="105"/>
      <c r="B104" s="34"/>
      <c r="C104" s="27"/>
      <c r="D104" s="147"/>
      <c r="E104" s="27"/>
      <c r="F104" s="27"/>
      <c r="G104" s="27"/>
      <c r="H104" s="27"/>
      <c r="I104" s="147"/>
      <c r="J104" s="27"/>
    </row>
    <row r="105" spans="1:10" ht="13.5" thickBot="1">
      <c r="A105" s="105">
        <f>+A103+1</f>
        <v>35</v>
      </c>
      <c r="B105" s="29" t="s">
        <v>218</v>
      </c>
      <c r="C105" s="27" t="str">
        <f>"( Sum of line "&amp;A83&amp;", "&amp;A95&amp;", "&amp;A97&amp;", "&amp;A103&amp;")"</f>
        <v>( Sum of line 17, 28, 29, 34)</v>
      </c>
      <c r="D105" s="161">
        <f>+D103+D97+D95+D83</f>
        <v>11947253.516299272</v>
      </c>
      <c r="E105" s="42"/>
      <c r="F105" s="42"/>
      <c r="G105" s="162"/>
      <c r="H105" s="42"/>
      <c r="I105" s="161">
        <f>+I103+I97+I95+I83</f>
        <v>11947253.516299272</v>
      </c>
      <c r="J105" s="149"/>
    </row>
    <row r="106" spans="1:10" ht="13.5"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626</v>
      </c>
    </row>
    <row r="109" spans="1:10">
      <c r="A109" s="105"/>
      <c r="B109" s="29"/>
      <c r="C109" s="27"/>
      <c r="D109" s="27"/>
      <c r="E109" s="27"/>
      <c r="F109" s="27"/>
      <c r="G109" s="27"/>
      <c r="H109" s="27"/>
      <c r="I109" s="27"/>
      <c r="J109" s="164"/>
    </row>
    <row r="110" spans="1:10">
      <c r="A110" s="105"/>
      <c r="B110" s="29" t="s">
        <v>1</v>
      </c>
      <c r="C110" s="27"/>
      <c r="D110" s="105" t="str">
        <f>+D3</f>
        <v>Rate Formula Template - Attachment H-30A</v>
      </c>
      <c r="E110" s="27"/>
      <c r="F110" s="27"/>
      <c r="G110" s="27"/>
      <c r="H110" s="27"/>
      <c r="I110" s="103"/>
      <c r="J110" s="164" t="str">
        <f>J3</f>
        <v>For  the 12 months ended 12/31/20</v>
      </c>
    </row>
    <row r="111" spans="1:10">
      <c r="A111" s="105"/>
      <c r="B111" s="29"/>
      <c r="C111" s="27"/>
      <c r="D111" s="30" t="s">
        <v>97</v>
      </c>
      <c r="E111" s="27"/>
      <c r="F111" s="27"/>
      <c r="G111" s="27"/>
      <c r="H111" s="27"/>
      <c r="I111" s="27"/>
      <c r="J111" s="27"/>
    </row>
    <row r="112" spans="1:10">
      <c r="A112" s="105"/>
      <c r="B112" s="34"/>
      <c r="C112" s="27"/>
      <c r="D112" s="30" t="str">
        <f>+D58</f>
        <v>Transource Maryland, LLC</v>
      </c>
      <c r="E112" s="27"/>
      <c r="F112" s="27"/>
      <c r="G112" s="27"/>
      <c r="H112" s="27"/>
      <c r="I112" s="27"/>
      <c r="J112" s="27"/>
    </row>
    <row r="113" spans="1:10">
      <c r="A113" s="984"/>
      <c r="B113" s="984"/>
      <c r="C113" s="984"/>
      <c r="D113" s="984"/>
      <c r="E113" s="984"/>
      <c r="F113" s="984"/>
      <c r="G113" s="984"/>
      <c r="H113" s="984"/>
      <c r="I113" s="984"/>
      <c r="J113" s="984"/>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5"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3">
        <v>369462.91712975199</v>
      </c>
      <c r="E118" s="27"/>
      <c r="F118" s="27" t="s">
        <v>15</v>
      </c>
      <c r="G118" s="167">
        <f>$I$189</f>
        <v>1</v>
      </c>
      <c r="H118" s="42"/>
      <c r="I118" s="16">
        <f t="shared" ref="I118:I129" si="3">+G118*D118</f>
        <v>369462.91712975199</v>
      </c>
      <c r="J118" s="27"/>
    </row>
    <row r="119" spans="1:10">
      <c r="A119" s="124">
        <f>+A118+1</f>
        <v>2</v>
      </c>
      <c r="B119" s="165" t="s">
        <v>94</v>
      </c>
      <c r="C119" s="27" t="s">
        <v>440</v>
      </c>
      <c r="D119" s="563">
        <v>177634.2</v>
      </c>
      <c r="E119" s="155"/>
      <c r="F119" s="155" t="str">
        <f>+F118</f>
        <v>TP</v>
      </c>
      <c r="G119" s="167">
        <f>$I$189</f>
        <v>1</v>
      </c>
      <c r="H119" s="155"/>
      <c r="I119" s="158">
        <f>+G119*D119</f>
        <v>177634.2</v>
      </c>
      <c r="J119" s="27"/>
    </row>
    <row r="120" spans="1:10">
      <c r="A120" s="124">
        <f t="shared" ref="A120:A166" si="4">+A119+1</f>
        <v>3</v>
      </c>
      <c r="B120" s="38" t="s">
        <v>30</v>
      </c>
      <c r="C120" s="27" t="s">
        <v>441</v>
      </c>
      <c r="D120" s="563">
        <v>0</v>
      </c>
      <c r="E120" s="27"/>
      <c r="F120" s="27" t="str">
        <f>+F119</f>
        <v>TP</v>
      </c>
      <c r="G120" s="167">
        <f>$I$189</f>
        <v>1</v>
      </c>
      <c r="H120" s="42"/>
      <c r="I120" s="16">
        <f t="shared" si="3"/>
        <v>0</v>
      </c>
      <c r="J120" s="27"/>
    </row>
    <row r="121" spans="1:10">
      <c r="A121" s="326">
        <f t="shared" si="4"/>
        <v>4</v>
      </c>
      <c r="B121" s="29" t="s">
        <v>31</v>
      </c>
      <c r="C121" s="27" t="s">
        <v>442</v>
      </c>
      <c r="D121" s="563">
        <v>220462.07107608</v>
      </c>
      <c r="E121" s="27"/>
      <c r="F121" s="27" t="s">
        <v>23</v>
      </c>
      <c r="G121" s="167">
        <f t="shared" ref="G121:G126" si="5">$I$197</f>
        <v>1</v>
      </c>
      <c r="H121" s="42"/>
      <c r="I121" s="16">
        <f t="shared" si="3"/>
        <v>220462.07107608</v>
      </c>
      <c r="J121" s="27" t="s">
        <v>2</v>
      </c>
    </row>
    <row r="122" spans="1:10">
      <c r="A122" s="326">
        <f t="shared" si="4"/>
        <v>5</v>
      </c>
      <c r="B122" s="29" t="s">
        <v>106</v>
      </c>
      <c r="C122" s="502" t="s">
        <v>716</v>
      </c>
      <c r="D122" s="563">
        <v>0</v>
      </c>
      <c r="E122" s="27"/>
      <c r="F122" s="27" t="s">
        <v>23</v>
      </c>
      <c r="G122" s="167">
        <f t="shared" si="5"/>
        <v>1</v>
      </c>
      <c r="H122" s="42"/>
      <c r="I122" s="16">
        <f t="shared" si="3"/>
        <v>0</v>
      </c>
    </row>
    <row r="123" spans="1:10">
      <c r="A123" s="326">
        <f t="shared" si="4"/>
        <v>6</v>
      </c>
      <c r="B123" s="38" t="s">
        <v>560</v>
      </c>
      <c r="C123" s="502" t="s">
        <v>519</v>
      </c>
      <c r="D123" s="563">
        <v>0</v>
      </c>
      <c r="E123" s="27"/>
      <c r="F123" s="27" t="s">
        <v>23</v>
      </c>
      <c r="G123" s="167">
        <f t="shared" si="5"/>
        <v>1</v>
      </c>
      <c r="H123" s="42"/>
      <c r="I123" s="16">
        <f t="shared" si="3"/>
        <v>0</v>
      </c>
      <c r="J123" s="27"/>
    </row>
    <row r="124" spans="1:10" s="321" customFormat="1">
      <c r="A124" s="326">
        <f t="shared" si="4"/>
        <v>7</v>
      </c>
      <c r="B124" s="38" t="s">
        <v>562</v>
      </c>
      <c r="C124" s="502" t="s">
        <v>519</v>
      </c>
      <c r="D124" s="563">
        <v>0</v>
      </c>
      <c r="E124" s="27"/>
      <c r="F124" s="27" t="s">
        <v>23</v>
      </c>
      <c r="G124" s="167">
        <f t="shared" si="5"/>
        <v>1</v>
      </c>
      <c r="H124" s="42"/>
      <c r="I124" s="406">
        <f>+G124*D124</f>
        <v>0</v>
      </c>
      <c r="J124" s="27"/>
    </row>
    <row r="125" spans="1:10" s="321" customFormat="1">
      <c r="A125" s="326">
        <f t="shared" si="4"/>
        <v>8</v>
      </c>
      <c r="B125" s="38" t="s">
        <v>561</v>
      </c>
      <c r="C125" s="502" t="s">
        <v>519</v>
      </c>
      <c r="D125" s="563">
        <v>0</v>
      </c>
      <c r="E125" s="27"/>
      <c r="F125" s="27" t="s">
        <v>23</v>
      </c>
      <c r="G125" s="167">
        <f t="shared" si="5"/>
        <v>1</v>
      </c>
      <c r="H125" s="42"/>
      <c r="I125" s="406">
        <f>+G125*D125</f>
        <v>0</v>
      </c>
      <c r="J125" s="27"/>
    </row>
    <row r="126" spans="1:10" s="13" customFormat="1">
      <c r="A126" s="326">
        <f t="shared" si="4"/>
        <v>9</v>
      </c>
      <c r="B126" s="38" t="s">
        <v>439</v>
      </c>
      <c r="C126" s="502" t="s">
        <v>526</v>
      </c>
      <c r="D126" s="173">
        <f>+'7 - PBOP'!F18</f>
        <v>0</v>
      </c>
      <c r="E126" s="100"/>
      <c r="F126" s="27" t="s">
        <v>23</v>
      </c>
      <c r="G126" s="167">
        <f t="shared" si="5"/>
        <v>1</v>
      </c>
      <c r="H126" s="42"/>
      <c r="I126" s="16">
        <f>+G126*D126</f>
        <v>0</v>
      </c>
      <c r="J126" s="100"/>
    </row>
    <row r="127" spans="1:10">
      <c r="A127" s="326">
        <f t="shared" si="4"/>
        <v>10</v>
      </c>
      <c r="B127" s="38" t="s">
        <v>209</v>
      </c>
      <c r="C127" s="502" t="s">
        <v>520</v>
      </c>
      <c r="D127" s="150">
        <v>0</v>
      </c>
      <c r="E127" s="27"/>
      <c r="F127" s="166" t="s">
        <v>15</v>
      </c>
      <c r="G127" s="167">
        <f>$I$189</f>
        <v>1</v>
      </c>
      <c r="H127" s="42"/>
      <c r="I127" s="16">
        <f t="shared" si="3"/>
        <v>0</v>
      </c>
      <c r="J127" s="27"/>
    </row>
    <row r="128" spans="1:10" s="13" customFormat="1">
      <c r="A128" s="326">
        <f t="shared" si="4"/>
        <v>11</v>
      </c>
      <c r="B128" s="38" t="s">
        <v>206</v>
      </c>
      <c r="C128" s="502" t="s">
        <v>741</v>
      </c>
      <c r="D128" s="173">
        <f>+'7 - PBOP'!F15</f>
        <v>-5005.8938868777295</v>
      </c>
      <c r="E128" s="100"/>
      <c r="F128" s="27" t="s">
        <v>23</v>
      </c>
      <c r="G128" s="167">
        <f>$I$197</f>
        <v>1</v>
      </c>
      <c r="H128" s="42"/>
      <c r="I128" s="16">
        <f>+G128*D128</f>
        <v>-5005.8938868777295</v>
      </c>
      <c r="J128" s="100"/>
    </row>
    <row r="129" spans="1:10" s="507" customFormat="1">
      <c r="A129" s="508">
        <f t="shared" si="4"/>
        <v>12</v>
      </c>
      <c r="B129" s="503" t="s">
        <v>566</v>
      </c>
      <c r="C129" s="502" t="s">
        <v>576</v>
      </c>
      <c r="D129" s="504">
        <v>0</v>
      </c>
      <c r="E129" s="502"/>
      <c r="F129" s="502" t="str">
        <f>+F131</f>
        <v>DA</v>
      </c>
      <c r="G129" s="506">
        <v>1</v>
      </c>
      <c r="H129" s="505"/>
      <c r="I129" s="504">
        <f t="shared" si="3"/>
        <v>0</v>
      </c>
      <c r="J129" s="502"/>
    </row>
    <row r="130" spans="1:10">
      <c r="A130" s="326">
        <f t="shared" si="4"/>
        <v>13</v>
      </c>
      <c r="B130" s="165" t="s">
        <v>95</v>
      </c>
      <c r="C130" s="155"/>
      <c r="D130" s="47"/>
      <c r="E130" s="155"/>
      <c r="F130" s="155"/>
      <c r="G130" s="168"/>
      <c r="H130" s="155"/>
      <c r="I130" s="47"/>
      <c r="J130" s="27"/>
    </row>
    <row r="131" spans="1:10">
      <c r="A131" s="326">
        <f t="shared" si="4"/>
        <v>14</v>
      </c>
      <c r="B131" s="165" t="s">
        <v>528</v>
      </c>
      <c r="C131" s="155" t="s">
        <v>527</v>
      </c>
      <c r="D131" s="150">
        <v>177634.2</v>
      </c>
      <c r="E131" s="153"/>
      <c r="F131" s="153" t="s">
        <v>77</v>
      </c>
      <c r="G131" s="169">
        <v>1</v>
      </c>
      <c r="H131" s="153"/>
      <c r="I131" s="47">
        <f>+G131*D131</f>
        <v>177634.2</v>
      </c>
      <c r="J131" s="27"/>
    </row>
    <row r="132" spans="1:10">
      <c r="A132" s="326">
        <f t="shared" si="4"/>
        <v>15</v>
      </c>
      <c r="B132" s="499" t="s">
        <v>564</v>
      </c>
      <c r="C132" s="502" t="s">
        <v>714</v>
      </c>
      <c r="D132" s="563">
        <v>0</v>
      </c>
      <c r="E132" s="153"/>
      <c r="F132" s="153" t="s">
        <v>15</v>
      </c>
      <c r="G132" s="167">
        <f>$I$189</f>
        <v>1</v>
      </c>
      <c r="H132" s="153"/>
      <c r="I132" s="47">
        <f>+G132*D132</f>
        <v>0</v>
      </c>
      <c r="J132" s="27"/>
    </row>
    <row r="133" spans="1:10" ht="13.5" thickBot="1">
      <c r="A133" s="326">
        <f t="shared" si="4"/>
        <v>16</v>
      </c>
      <c r="B133" s="165" t="s">
        <v>96</v>
      </c>
      <c r="C133" s="155" t="str">
        <f>"( Sum of line "&amp;A131&amp;" - line "&amp;A132&amp;")"" Ties to 321.97b"</f>
        <v>( Sum of line 14 - line 15)" Ties to 321.97b</v>
      </c>
      <c r="D133" s="170">
        <f>SUM(D131:D132)</f>
        <v>177634.2</v>
      </c>
      <c r="E133" s="153"/>
      <c r="F133" s="153"/>
      <c r="G133" s="169"/>
      <c r="H133" s="153"/>
      <c r="I133" s="170">
        <f>SUM(I131:I132)</f>
        <v>177634.2</v>
      </c>
      <c r="J133" s="27"/>
    </row>
    <row r="134" spans="1:10">
      <c r="A134" s="326">
        <f t="shared" si="4"/>
        <v>17</v>
      </c>
      <c r="B134" s="171" t="s">
        <v>219</v>
      </c>
      <c r="C134" s="837" t="s">
        <v>563</v>
      </c>
      <c r="D134" s="16">
        <f>+D118-D119-D120+D121-D122-D123-D124-D125-D126+D127+D128+D129+D133</f>
        <v>584919.09431895427</v>
      </c>
      <c r="E134" s="16"/>
      <c r="F134" s="16"/>
      <c r="G134" s="16"/>
      <c r="H134" s="16"/>
      <c r="I134" s="406">
        <f>+I118-I119-I120+I121-I122-I123-I124-I125-I126+I127+I128+I129+I133</f>
        <v>584919.09431895427</v>
      </c>
      <c r="J134" s="27"/>
    </row>
    <row r="135" spans="1:10">
      <c r="A135" s="326"/>
      <c r="B135" s="34"/>
      <c r="C135" s="502"/>
      <c r="D135" s="16"/>
      <c r="E135" s="16"/>
      <c r="F135" s="16"/>
      <c r="G135" s="16"/>
      <c r="H135" s="16"/>
      <c r="I135" s="16"/>
      <c r="J135" s="27"/>
    </row>
    <row r="136" spans="1:10">
      <c r="A136" s="326">
        <f>+A134+1</f>
        <v>18</v>
      </c>
      <c r="B136" s="29" t="s">
        <v>535</v>
      </c>
      <c r="C136" s="502" t="s">
        <v>374</v>
      </c>
      <c r="D136" s="16"/>
      <c r="E136" s="16"/>
      <c r="F136" s="16"/>
      <c r="G136" s="16"/>
      <c r="H136" s="16"/>
      <c r="I136" s="16"/>
      <c r="J136" s="27"/>
    </row>
    <row r="137" spans="1:10">
      <c r="A137" s="326">
        <f t="shared" si="4"/>
        <v>19</v>
      </c>
      <c r="B137" s="29" t="s">
        <v>29</v>
      </c>
      <c r="C137" s="838" t="s">
        <v>443</v>
      </c>
      <c r="D137" s="150">
        <v>0</v>
      </c>
      <c r="E137" s="16"/>
      <c r="F137" s="16" t="s">
        <v>15</v>
      </c>
      <c r="G137" s="167">
        <f>$I$189</f>
        <v>1</v>
      </c>
      <c r="H137" s="16"/>
      <c r="I137" s="16">
        <f>+G137*D137</f>
        <v>0</v>
      </c>
      <c r="J137" s="149"/>
    </row>
    <row r="138" spans="1:10">
      <c r="A138" s="326">
        <f t="shared" si="4"/>
        <v>20</v>
      </c>
      <c r="B138" s="172" t="s">
        <v>88</v>
      </c>
      <c r="C138" s="838" t="s">
        <v>444</v>
      </c>
      <c r="D138" s="150">
        <v>11290.846653262901</v>
      </c>
      <c r="E138" s="16"/>
      <c r="F138" s="16" t="s">
        <v>23</v>
      </c>
      <c r="G138" s="167">
        <f>$I$197</f>
        <v>1</v>
      </c>
      <c r="H138" s="16"/>
      <c r="I138" s="16">
        <f>+G138*D138</f>
        <v>11290.846653262901</v>
      </c>
      <c r="J138" s="149"/>
    </row>
    <row r="139" spans="1:10" ht="13.5" thickBot="1">
      <c r="A139" s="326">
        <f t="shared" si="4"/>
        <v>21</v>
      </c>
      <c r="B139" s="165" t="s">
        <v>91</v>
      </c>
      <c r="C139" s="502" t="s">
        <v>529</v>
      </c>
      <c r="D139" s="500">
        <v>0</v>
      </c>
      <c r="E139" s="16"/>
      <c r="F139" s="16" t="s">
        <v>77</v>
      </c>
      <c r="G139" s="167">
        <v>1</v>
      </c>
      <c r="H139" s="16"/>
      <c r="I139" s="147">
        <f>+G139*D139</f>
        <v>0</v>
      </c>
      <c r="J139" s="149"/>
    </row>
    <row r="140" spans="1:10">
      <c r="A140" s="326">
        <f t="shared" si="4"/>
        <v>22</v>
      </c>
      <c r="B140" s="29" t="s">
        <v>210</v>
      </c>
      <c r="C140" s="502" t="str">
        <f>"( Sum of line "&amp;A137&amp;" - line "&amp;A139&amp;")"</f>
        <v>( Sum of line 19 - line 21)</v>
      </c>
      <c r="D140" s="406">
        <f>SUM(D137:D139)</f>
        <v>11290.846653262901</v>
      </c>
      <c r="E140" s="16"/>
      <c r="F140" s="16"/>
      <c r="G140" s="167"/>
      <c r="H140" s="16"/>
      <c r="I140" s="16">
        <f>SUM(I137:I139)</f>
        <v>11290.846653262901</v>
      </c>
      <c r="J140" s="27"/>
    </row>
    <row r="141" spans="1:10">
      <c r="A141" s="326"/>
      <c r="B141" s="29"/>
      <c r="C141" s="502"/>
      <c r="D141" s="16"/>
      <c r="E141" s="16"/>
      <c r="F141" s="16"/>
      <c r="G141" s="167"/>
      <c r="H141" s="16"/>
      <c r="I141" s="16"/>
      <c r="J141" s="27"/>
    </row>
    <row r="142" spans="1:10">
      <c r="A142" s="326">
        <f>+A140+1</f>
        <v>23</v>
      </c>
      <c r="B142" s="29" t="s">
        <v>531</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8" t="s">
        <v>715</v>
      </c>
      <c r="D144" s="150">
        <v>0</v>
      </c>
      <c r="E144" s="16"/>
      <c r="F144" s="16" t="s">
        <v>23</v>
      </c>
      <c r="G144" s="167">
        <f>$I$197</f>
        <v>1</v>
      </c>
      <c r="H144" s="16"/>
      <c r="I144" s="16">
        <f>+G144*D144</f>
        <v>0</v>
      </c>
    </row>
    <row r="145" spans="1:10">
      <c r="A145" s="326">
        <f t="shared" si="4"/>
        <v>26</v>
      </c>
      <c r="B145" s="29" t="s">
        <v>34</v>
      </c>
      <c r="C145" s="838" t="s">
        <v>715</v>
      </c>
      <c r="D145" s="563">
        <v>0</v>
      </c>
      <c r="E145" s="16"/>
      <c r="F145" s="16" t="s">
        <v>23</v>
      </c>
      <c r="G145" s="167">
        <f>$I$197</f>
        <v>1</v>
      </c>
      <c r="H145" s="16"/>
      <c r="I145" s="16">
        <f>+G145*D145</f>
        <v>0</v>
      </c>
    </row>
    <row r="146" spans="1:10">
      <c r="A146" s="326">
        <f t="shared" si="4"/>
        <v>27</v>
      </c>
      <c r="B146" s="29" t="s">
        <v>35</v>
      </c>
      <c r="C146" s="838" t="s">
        <v>2</v>
      </c>
      <c r="D146" s="158"/>
      <c r="E146" s="16"/>
      <c r="F146" s="16"/>
      <c r="G146" s="167"/>
      <c r="H146" s="16"/>
      <c r="I146" s="16"/>
    </row>
    <row r="147" spans="1:10">
      <c r="A147" s="326">
        <f t="shared" si="4"/>
        <v>28</v>
      </c>
      <c r="B147" s="29" t="s">
        <v>36</v>
      </c>
      <c r="C147" s="838" t="s">
        <v>715</v>
      </c>
      <c r="D147" s="150">
        <v>96000</v>
      </c>
      <c r="E147" s="16"/>
      <c r="F147" s="16" t="s">
        <v>28</v>
      </c>
      <c r="G147" s="329">
        <f>+$G$69</f>
        <v>1</v>
      </c>
      <c r="H147" s="16"/>
      <c r="I147" s="16">
        <f>+G147*D147</f>
        <v>96000</v>
      </c>
    </row>
    <row r="148" spans="1:10">
      <c r="A148" s="326">
        <f t="shared" si="4"/>
        <v>29</v>
      </c>
      <c r="B148" s="29" t="s">
        <v>37</v>
      </c>
      <c r="C148" s="838" t="s">
        <v>715</v>
      </c>
      <c r="D148" s="150">
        <v>0</v>
      </c>
      <c r="E148" s="16"/>
      <c r="F148" s="158" t="s">
        <v>21</v>
      </c>
      <c r="G148" s="186" t="s">
        <v>105</v>
      </c>
      <c r="H148" s="16"/>
      <c r="I148" s="325">
        <v>0</v>
      </c>
    </row>
    <row r="149" spans="1:10">
      <c r="A149" s="326">
        <f t="shared" si="4"/>
        <v>30</v>
      </c>
      <c r="B149" s="29" t="s">
        <v>38</v>
      </c>
      <c r="C149" s="838" t="s">
        <v>715</v>
      </c>
      <c r="D149" s="150">
        <v>0</v>
      </c>
      <c r="E149" s="16"/>
      <c r="F149" s="16" t="s">
        <v>28</v>
      </c>
      <c r="G149" s="329">
        <f>+$G$69</f>
        <v>1</v>
      </c>
      <c r="H149" s="16"/>
      <c r="I149" s="16">
        <f>+G149*D149</f>
        <v>0</v>
      </c>
    </row>
    <row r="150" spans="1:10" ht="13.5" thickBot="1">
      <c r="A150" s="326">
        <f t="shared" si="4"/>
        <v>31</v>
      </c>
      <c r="B150" s="29" t="s">
        <v>39</v>
      </c>
      <c r="C150" s="838" t="s">
        <v>715</v>
      </c>
      <c r="D150" s="150">
        <v>0</v>
      </c>
      <c r="E150" s="16"/>
      <c r="F150" s="16" t="s">
        <v>28</v>
      </c>
      <c r="G150" s="329">
        <f>+$G$69</f>
        <v>1</v>
      </c>
      <c r="H150" s="16"/>
      <c r="I150" s="147">
        <f>+G150*D150</f>
        <v>0</v>
      </c>
    </row>
    <row r="151" spans="1:10" ht="13.5" thickTop="1">
      <c r="A151" s="326">
        <f t="shared" si="4"/>
        <v>32</v>
      </c>
      <c r="B151" s="29" t="s">
        <v>211</v>
      </c>
      <c r="C151" s="502" t="str">
        <f>"( Sum of line "&amp;A144&amp;" - line "&amp;A150&amp;")"</f>
        <v>( Sum of line 25 - line 31)</v>
      </c>
      <c r="D151" s="367">
        <f>SUM(D144:D150)</f>
        <v>96000</v>
      </c>
      <c r="E151" s="16"/>
      <c r="F151" s="16"/>
      <c r="G151" s="16"/>
      <c r="H151" s="16"/>
      <c r="I151" s="16">
        <f>SUM(I144:I150)</f>
        <v>96000</v>
      </c>
      <c r="J151" s="27"/>
    </row>
    <row r="152" spans="1:10">
      <c r="A152" s="326"/>
      <c r="B152" s="29"/>
      <c r="C152" s="502"/>
      <c r="D152" s="27"/>
      <c r="E152" s="27"/>
      <c r="F152" s="27"/>
      <c r="G152" s="122"/>
      <c r="H152" s="27"/>
      <c r="I152" s="27"/>
      <c r="J152" s="27"/>
    </row>
    <row r="153" spans="1:10">
      <c r="A153" s="326">
        <f>+A151+1</f>
        <v>33</v>
      </c>
      <c r="B153" s="29" t="s">
        <v>533</v>
      </c>
      <c r="C153" s="502" t="s">
        <v>534</v>
      </c>
      <c r="D153" s="27"/>
      <c r="E153" s="27"/>
      <c r="F153" s="34"/>
      <c r="G153" s="36"/>
      <c r="H153" s="27"/>
      <c r="I153" s="34"/>
      <c r="J153" s="34"/>
    </row>
    <row r="154" spans="1:10">
      <c r="A154" s="326">
        <f t="shared" si="4"/>
        <v>34</v>
      </c>
      <c r="B154" s="37" t="s">
        <v>234</v>
      </c>
      <c r="C154" s="502"/>
      <c r="D154" s="388">
        <f>IF(D237&gt;0,1-(((1-D238)*(1-D237))/(1-D238*D237*D239))*(1-D240),0)</f>
        <v>0.27517499999999995</v>
      </c>
      <c r="E154" s="27"/>
      <c r="F154" s="34"/>
      <c r="G154" s="36"/>
      <c r="H154" s="27"/>
      <c r="I154" s="34"/>
      <c r="J154" s="34"/>
    </row>
    <row r="155" spans="1:10">
      <c r="A155" s="326">
        <f t="shared" si="4"/>
        <v>35</v>
      </c>
      <c r="B155" s="34" t="s">
        <v>41</v>
      </c>
      <c r="C155" s="502" t="str">
        <f>"WCLTD = Page 4, Line "&amp;A203&amp;", R = Page 4, Line "&amp;A206</f>
        <v>WCLTD = Page 4, Line 15, R = Page 4, Line 18</v>
      </c>
      <c r="D155" s="388">
        <f>IF(I203&gt;0,(D154/(1-D154))*(1-I203/I206),0)</f>
        <v>0.30642639072395073</v>
      </c>
      <c r="E155" s="27"/>
      <c r="F155" s="34"/>
      <c r="G155" s="36"/>
      <c r="H155" s="27"/>
      <c r="I155" s="34"/>
      <c r="J155" s="34"/>
    </row>
    <row r="156" spans="1:10">
      <c r="A156" s="326">
        <f t="shared" si="4"/>
        <v>36</v>
      </c>
      <c r="B156" s="38" t="s">
        <v>232</v>
      </c>
      <c r="C156" s="502"/>
      <c r="D156" s="27"/>
      <c r="E156" s="27"/>
      <c r="F156" s="34"/>
      <c r="G156" s="36"/>
      <c r="H156" s="27"/>
      <c r="I156" s="34"/>
      <c r="J156" s="34"/>
    </row>
    <row r="157" spans="1:10">
      <c r="A157" s="326">
        <f t="shared" si="4"/>
        <v>37</v>
      </c>
      <c r="B157" s="38"/>
      <c r="C157" s="565"/>
      <c r="D157" s="27"/>
      <c r="E157" s="27"/>
      <c r="F157" s="34"/>
      <c r="G157" s="36"/>
      <c r="H157" s="27"/>
      <c r="I157" s="34"/>
      <c r="J157" s="34"/>
    </row>
    <row r="158" spans="1:10">
      <c r="A158" s="326">
        <f>+A157+1</f>
        <v>38</v>
      </c>
      <c r="B158" s="39" t="str">
        <f>"      1 / (1 - T)  =  (from line "&amp;A154&amp;")"</f>
        <v xml:space="preserve">      1 / (1 - T)  =  (from line 34)</v>
      </c>
      <c r="C158" s="502" t="s">
        <v>567</v>
      </c>
      <c r="D158" s="388">
        <f>IF(D154=0,0,1/(1-D154))</f>
        <v>1.3796433621908735</v>
      </c>
      <c r="E158" s="27"/>
      <c r="F158" s="34"/>
      <c r="G158" s="36"/>
      <c r="H158" s="27"/>
      <c r="I158" s="16"/>
      <c r="J158" s="34"/>
    </row>
    <row r="159" spans="1:10">
      <c r="A159" s="326">
        <f t="shared" si="4"/>
        <v>39</v>
      </c>
      <c r="B159" s="38" t="s">
        <v>228</v>
      </c>
      <c r="C159" s="502" t="s">
        <v>445</v>
      </c>
      <c r="D159" s="150">
        <v>0</v>
      </c>
      <c r="E159" s="27"/>
      <c r="F159" s="34"/>
      <c r="G159" s="36"/>
      <c r="H159" s="27"/>
      <c r="I159" s="16"/>
      <c r="J159" s="34"/>
    </row>
    <row r="160" spans="1:10">
      <c r="A160" s="326">
        <f t="shared" si="4"/>
        <v>40</v>
      </c>
      <c r="B160" s="38" t="s">
        <v>833</v>
      </c>
      <c r="C160" s="502" t="s">
        <v>835</v>
      </c>
      <c r="D160" s="563">
        <v>0</v>
      </c>
      <c r="E160" s="27"/>
      <c r="F160" s="34"/>
      <c r="G160" s="40"/>
      <c r="H160" s="27"/>
      <c r="I160" s="16"/>
    </row>
    <row r="161" spans="1:10">
      <c r="A161" s="326">
        <f t="shared" si="4"/>
        <v>41</v>
      </c>
      <c r="B161" s="38" t="s">
        <v>264</v>
      </c>
      <c r="C161" s="502" t="s">
        <v>835</v>
      </c>
      <c r="D161" s="563">
        <v>0</v>
      </c>
      <c r="E161" s="27"/>
      <c r="F161" s="34"/>
      <c r="G161" s="36"/>
      <c r="H161" s="27"/>
      <c r="I161" s="16"/>
      <c r="J161" s="34"/>
    </row>
    <row r="162" spans="1:10">
      <c r="A162" s="326">
        <f t="shared" si="4"/>
        <v>42</v>
      </c>
      <c r="B162" s="39" t="s">
        <v>229</v>
      </c>
      <c r="C162" s="41" t="str">
        <f>"(Line "&amp;A155&amp;" times Line "&amp;A169&amp;")"</f>
        <v>(Line 35 times Line 48)</v>
      </c>
      <c r="D162" s="261">
        <f>+D155*D169</f>
        <v>283027.39881777461</v>
      </c>
      <c r="E162" s="42"/>
      <c r="F162" s="42" t="s">
        <v>21</v>
      </c>
      <c r="G162" s="43"/>
      <c r="H162" s="42"/>
      <c r="I162" s="261">
        <f>+D155*I169</f>
        <v>283027.39881777461</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834</v>
      </c>
      <c r="C164" s="41" t="str">
        <f>"(Line "&amp;A158&amp;" times Line "&amp;A160&amp;")"</f>
        <v>(Line 38 times Line 40)</v>
      </c>
      <c r="D164" s="261">
        <f>+D$158*D160</f>
        <v>0</v>
      </c>
      <c r="E164" s="42"/>
      <c r="F164" s="44" t="s">
        <v>27</v>
      </c>
      <c r="G164" s="151">
        <f>+$G$83</f>
        <v>1</v>
      </c>
      <c r="H164" s="42"/>
      <c r="I164" s="261">
        <f>+G164*D164</f>
        <v>0</v>
      </c>
      <c r="J164" s="121"/>
    </row>
    <row r="165" spans="1:10" ht="13.5"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2" t="str">
        <f>"( Sum of line "&amp;A162&amp;" - line "&amp;A165&amp;")"</f>
        <v>( Sum of line 42 - line 45)</v>
      </c>
      <c r="D166" s="173">
        <f>SUM(D162:D165)</f>
        <v>283027.39881777461</v>
      </c>
      <c r="E166" s="42"/>
      <c r="F166" s="42" t="s">
        <v>2</v>
      </c>
      <c r="G166" s="43" t="s">
        <v>2</v>
      </c>
      <c r="H166" s="42"/>
      <c r="I166" s="173">
        <f>SUM(I162:I165)</f>
        <v>283027.39881777461</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88">
        <f>+$I206*D105</f>
        <v>923639.11002934631</v>
      </c>
      <c r="E169" s="42"/>
      <c r="F169" s="42" t="s">
        <v>21</v>
      </c>
      <c r="G169" s="175"/>
      <c r="H169" s="42"/>
      <c r="I169" s="406">
        <f>+$I206*I105</f>
        <v>923639.11002934631</v>
      </c>
      <c r="J169" s="149"/>
    </row>
    <row r="170" spans="1:10">
      <c r="A170" s="124"/>
      <c r="B170" s="29"/>
      <c r="C170" s="34"/>
      <c r="D170" s="40"/>
      <c r="E170" s="42"/>
      <c r="F170" s="42"/>
      <c r="G170" s="175"/>
      <c r="H170" s="42"/>
      <c r="I170" s="40"/>
      <c r="J170" s="149"/>
    </row>
    <row r="171" spans="1:10" ht="13.5" thickBot="1">
      <c r="A171" s="124">
        <f>A169+1</f>
        <v>49</v>
      </c>
      <c r="B171" s="29" t="s">
        <v>208</v>
      </c>
      <c r="C171" s="27" t="str">
        <f>"( Sum of line  "&amp;A134&amp;","&amp;A140&amp;", "&amp;A151&amp;", "&amp;A166&amp;", "&amp;A169&amp;")"</f>
        <v>( Sum of line  17,22, 32, 46, 48)</v>
      </c>
      <c r="D171" s="177">
        <f>+D169+D166+D151+D140+D134</f>
        <v>1898876.449819338</v>
      </c>
      <c r="E171" s="42"/>
      <c r="F171" s="42"/>
      <c r="G171" s="163"/>
      <c r="H171" s="42"/>
      <c r="I171" s="177">
        <f>+I169+I166+I151+I140+I134</f>
        <v>1898876.449819338</v>
      </c>
      <c r="J171" s="110"/>
    </row>
    <row r="172" spans="1:10" ht="13.5"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629</v>
      </c>
    </row>
    <row r="174" spans="1:10">
      <c r="A174" s="105"/>
      <c r="B174" s="34"/>
      <c r="C174" s="34"/>
      <c r="D174" s="34"/>
      <c r="E174" s="34"/>
      <c r="F174" s="34"/>
      <c r="G174" s="34"/>
      <c r="H174" s="34"/>
      <c r="I174" s="34"/>
      <c r="J174" s="27"/>
    </row>
    <row r="175" spans="1:10">
      <c r="A175" s="105"/>
      <c r="B175" s="29" t="s">
        <v>1</v>
      </c>
      <c r="C175" s="34"/>
      <c r="D175" s="105" t="str">
        <f>+D3</f>
        <v>Rate Formula Template - Attachment H-30A</v>
      </c>
      <c r="E175" s="34"/>
      <c r="F175" s="34"/>
      <c r="G175" s="34"/>
      <c r="H175" s="34"/>
      <c r="I175" s="103"/>
      <c r="J175" s="178" t="str">
        <f>J3</f>
        <v>For  the 12 months ended 12/31/20</v>
      </c>
    </row>
    <row r="176" spans="1:10">
      <c r="A176" s="105"/>
      <c r="B176" s="29"/>
      <c r="C176" s="34"/>
      <c r="D176" s="210" t="s">
        <v>97</v>
      </c>
      <c r="E176" s="34"/>
      <c r="F176" s="34"/>
      <c r="G176" s="34"/>
      <c r="H176" s="34"/>
      <c r="I176" s="34"/>
      <c r="J176" s="27"/>
    </row>
    <row r="177" spans="1:10">
      <c r="A177" s="105"/>
      <c r="B177" s="34"/>
      <c r="C177" s="34"/>
      <c r="D177" s="210" t="str">
        <f>+D112</f>
        <v>Transource Maryland, LLC</v>
      </c>
      <c r="E177" s="34"/>
      <c r="F177" s="34"/>
      <c r="G177" s="34"/>
      <c r="H177" s="34"/>
      <c r="I177" s="34"/>
      <c r="J177" s="27"/>
    </row>
    <row r="178" spans="1:10">
      <c r="A178" s="984"/>
      <c r="B178" s="984"/>
      <c r="C178" s="984"/>
      <c r="D178" s="984"/>
      <c r="E178" s="984"/>
      <c r="F178" s="984"/>
      <c r="G178" s="984"/>
      <c r="H178" s="984"/>
      <c r="I178" s="984"/>
      <c r="J178" s="984"/>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5"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541</v>
      </c>
      <c r="D185" s="32"/>
      <c r="E185" s="32"/>
      <c r="F185" s="32"/>
      <c r="G185" s="32"/>
      <c r="H185" s="32"/>
      <c r="I185" s="145">
        <v>0</v>
      </c>
      <c r="J185" s="27"/>
    </row>
    <row r="186" spans="1:10" ht="13.5" thickBot="1">
      <c r="A186" s="299">
        <f>+A185+1</f>
        <v>3</v>
      </c>
      <c r="B186" s="180" t="s">
        <v>542</v>
      </c>
      <c r="C186" s="181" t="s">
        <v>544</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5"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5"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5"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5"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8080769.230769231</v>
      </c>
      <c r="E203" s="785">
        <f>+'5-Return'!G19</f>
        <v>0.4</v>
      </c>
      <c r="F203" s="25"/>
      <c r="G203" s="368">
        <f>'5-Return'!H19</f>
        <v>3.7274359828653021E-2</v>
      </c>
      <c r="H203" s="25"/>
      <c r="I203" s="213">
        <f>E203*G203</f>
        <v>1.490974393146121E-2</v>
      </c>
      <c r="J203" s="34"/>
    </row>
    <row r="204" spans="1:10">
      <c r="A204" s="299">
        <f t="shared" si="6"/>
        <v>16</v>
      </c>
      <c r="B204" s="26" t="s">
        <v>109</v>
      </c>
      <c r="C204" s="32" t="s">
        <v>452</v>
      </c>
      <c r="D204" s="194">
        <f>+'5-Return'!F20</f>
        <v>0</v>
      </c>
      <c r="E204" s="785">
        <f>+'5-Return'!G20</f>
        <v>0</v>
      </c>
      <c r="F204" s="25"/>
      <c r="G204" s="368">
        <f>+'5-Return'!H20</f>
        <v>0</v>
      </c>
      <c r="H204" s="25"/>
      <c r="I204" s="213">
        <f>E204*G204</f>
        <v>0</v>
      </c>
      <c r="J204" s="34"/>
    </row>
    <row r="205" spans="1:10" ht="13.5" thickBot="1">
      <c r="A205" s="299">
        <f t="shared" si="6"/>
        <v>17</v>
      </c>
      <c r="B205" s="26" t="s">
        <v>262</v>
      </c>
      <c r="C205" s="32" t="s">
        <v>546</v>
      </c>
      <c r="D205" s="194">
        <f>+'5-Return'!F21</f>
        <v>12121153.846153846</v>
      </c>
      <c r="E205" s="786">
        <f>+'5-Return'!G21</f>
        <v>0.6</v>
      </c>
      <c r="F205" s="33"/>
      <c r="G205" s="803">
        <f>0.099+0.005</f>
        <v>0.10400000000000001</v>
      </c>
      <c r="H205" s="34"/>
      <c r="I205" s="332">
        <f>E205*G205</f>
        <v>6.2400000000000004E-2</v>
      </c>
      <c r="J205" s="34"/>
    </row>
    <row r="206" spans="1:10">
      <c r="A206" s="299">
        <f t="shared" si="6"/>
        <v>18</v>
      </c>
      <c r="B206" s="29" t="s">
        <v>220</v>
      </c>
      <c r="C206" s="27" t="str">
        <f>"( Sum of line "&amp;A203&amp;" - line "&amp;A205&amp;")"</f>
        <v>( Sum of line 15 - line 17)</v>
      </c>
      <c r="D206" s="672">
        <f>SUM(D203:D205)</f>
        <v>20201923.076923076</v>
      </c>
      <c r="E206" s="27" t="s">
        <v>2</v>
      </c>
      <c r="F206" s="27"/>
      <c r="G206" s="27"/>
      <c r="H206" s="27"/>
      <c r="I206" s="213">
        <f>SUM(I203:I205)</f>
        <v>7.7309743931461214E-2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5" thickBot="1">
      <c r="A209" s="299"/>
      <c r="B209" s="26"/>
      <c r="C209" s="26"/>
      <c r="D209" s="26"/>
      <c r="E209" s="26"/>
      <c r="F209" s="26"/>
      <c r="G209" s="26"/>
      <c r="H209" s="26"/>
      <c r="I209" s="31"/>
      <c r="J209" s="34"/>
    </row>
    <row r="210" spans="1:10">
      <c r="A210" s="299">
        <f>+A208+1</f>
        <v>20</v>
      </c>
      <c r="B210" s="26" t="s">
        <v>207</v>
      </c>
      <c r="C210" s="562"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776</v>
      </c>
      <c r="C212" s="562"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630</v>
      </c>
    </row>
    <row r="215" spans="1:10">
      <c r="A215" s="105"/>
      <c r="B215" s="29"/>
      <c r="C215" s="110"/>
      <c r="D215" s="27"/>
      <c r="E215" s="27"/>
      <c r="F215" s="27"/>
      <c r="G215" s="27"/>
      <c r="H215" s="110"/>
      <c r="I215" s="27"/>
      <c r="J215" s="27"/>
    </row>
    <row r="216" spans="1:10">
      <c r="A216" s="105"/>
      <c r="B216" s="201" t="s">
        <v>1</v>
      </c>
      <c r="C216" s="105"/>
      <c r="D216" s="105" t="str">
        <f>+D3</f>
        <v>Rate Formula Template - Attachment H-30A</v>
      </c>
      <c r="E216" s="27"/>
      <c r="F216" s="27"/>
      <c r="G216" s="27"/>
      <c r="H216" s="109"/>
      <c r="I216" s="103"/>
      <c r="J216" s="203" t="str">
        <f>J3</f>
        <v>For  the 12 months ended 12/31/20</v>
      </c>
    </row>
    <row r="217" spans="1:10">
      <c r="A217" s="105"/>
      <c r="B217" s="201"/>
      <c r="C217" s="105"/>
      <c r="D217" s="30" t="s">
        <v>97</v>
      </c>
      <c r="E217" s="27"/>
      <c r="F217" s="27"/>
      <c r="G217" s="27"/>
      <c r="H217" s="109"/>
      <c r="I217" s="204"/>
      <c r="J217" s="200"/>
    </row>
    <row r="218" spans="1:10">
      <c r="A218" s="105"/>
      <c r="B218" s="201"/>
      <c r="C218" s="105"/>
      <c r="D218" s="30" t="str">
        <f>+D177</f>
        <v>Transource Maryland, LLC</v>
      </c>
      <c r="E218" s="27"/>
      <c r="F218" s="27"/>
      <c r="G218" s="27"/>
      <c r="H218" s="109"/>
      <c r="I218" s="204"/>
      <c r="J218" s="200"/>
    </row>
    <row r="219" spans="1:10">
      <c r="A219" s="984"/>
      <c r="B219" s="984"/>
      <c r="C219" s="984"/>
      <c r="D219" s="984"/>
      <c r="E219" s="984"/>
      <c r="F219" s="984"/>
      <c r="G219" s="984"/>
      <c r="H219" s="984"/>
      <c r="I219" s="984"/>
      <c r="J219" s="984"/>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5" thickBot="1">
      <c r="A223" s="31" t="s">
        <v>525</v>
      </c>
      <c r="B223" s="986"/>
      <c r="C223" s="986"/>
      <c r="D223" s="205"/>
      <c r="E223" s="205"/>
      <c r="F223" s="205"/>
      <c r="G223" s="205"/>
      <c r="H223" s="206"/>
      <c r="I223" s="205"/>
      <c r="J223" s="205"/>
    </row>
    <row r="224" spans="1:10" ht="30.75" customHeight="1">
      <c r="A224" s="807" t="s">
        <v>177</v>
      </c>
      <c r="B224" s="987" t="s">
        <v>769</v>
      </c>
      <c r="C224" s="988"/>
      <c r="D224" s="988"/>
      <c r="E224" s="988"/>
      <c r="F224" s="988"/>
      <c r="G224" s="988"/>
      <c r="H224" s="988"/>
      <c r="I224" s="988"/>
      <c r="J224" s="988"/>
    </row>
    <row r="225" spans="1:10">
      <c r="A225" s="807" t="s">
        <v>178</v>
      </c>
      <c r="B225" s="985" t="s">
        <v>270</v>
      </c>
      <c r="C225" s="985"/>
      <c r="D225" s="985"/>
      <c r="E225" s="985"/>
      <c r="F225" s="985"/>
      <c r="G225" s="985"/>
      <c r="H225" s="985"/>
      <c r="I225" s="985"/>
      <c r="J225" s="985"/>
    </row>
    <row r="226" spans="1:10" s="13" customFormat="1" ht="22.5" customHeight="1">
      <c r="A226" s="808" t="s">
        <v>64</v>
      </c>
      <c r="B226" s="267" t="s">
        <v>530</v>
      </c>
      <c r="C226" s="253"/>
      <c r="D226" s="253"/>
      <c r="E226" s="253"/>
      <c r="F226" s="253"/>
      <c r="G226" s="253"/>
      <c r="H226" s="254"/>
      <c r="I226" s="255"/>
      <c r="J226" s="256"/>
    </row>
    <row r="227" spans="1:10" ht="44.25" customHeight="1">
      <c r="A227" s="807" t="s">
        <v>512</v>
      </c>
      <c r="B227" s="985" t="s">
        <v>868</v>
      </c>
      <c r="C227" s="985"/>
      <c r="D227" s="985"/>
      <c r="E227" s="985"/>
      <c r="F227" s="985"/>
      <c r="G227" s="985"/>
      <c r="H227" s="985"/>
      <c r="I227" s="985"/>
      <c r="J227" s="985"/>
    </row>
    <row r="228" spans="1:10" s="13" customFormat="1" ht="37.5" customHeight="1">
      <c r="A228" s="808" t="s">
        <v>66</v>
      </c>
      <c r="B228" s="982" t="s">
        <v>765</v>
      </c>
      <c r="C228" s="982"/>
      <c r="D228" s="982"/>
      <c r="E228" s="982"/>
      <c r="F228" s="982"/>
      <c r="G228" s="982"/>
      <c r="H228" s="982"/>
      <c r="I228" s="982"/>
      <c r="J228" s="982"/>
    </row>
    <row r="229" spans="1:10" ht="30.75" customHeight="1">
      <c r="A229" s="808" t="s">
        <v>67</v>
      </c>
      <c r="B229" s="989" t="s">
        <v>631</v>
      </c>
      <c r="C229" s="989"/>
      <c r="D229" s="989"/>
      <c r="E229" s="989"/>
      <c r="F229" s="989"/>
      <c r="G229" s="989"/>
      <c r="H229" s="989"/>
      <c r="I229" s="989"/>
      <c r="J229" s="989"/>
    </row>
    <row r="230" spans="1:10" ht="19.5" customHeight="1">
      <c r="A230" s="807" t="s">
        <v>68</v>
      </c>
      <c r="B230" s="985" t="s">
        <v>578</v>
      </c>
      <c r="C230" s="985"/>
      <c r="D230" s="985"/>
      <c r="E230" s="985"/>
      <c r="F230" s="985"/>
      <c r="G230" s="985"/>
      <c r="H230" s="985"/>
      <c r="I230" s="985"/>
      <c r="J230" s="985"/>
    </row>
    <row r="231" spans="1:10" ht="39" customHeight="1">
      <c r="A231" s="807" t="s">
        <v>69</v>
      </c>
      <c r="B231" s="985" t="s">
        <v>517</v>
      </c>
      <c r="C231" s="985"/>
      <c r="D231" s="985"/>
      <c r="E231" s="985"/>
      <c r="F231" s="985"/>
      <c r="G231" s="985"/>
      <c r="H231" s="985"/>
      <c r="I231" s="985"/>
      <c r="J231" s="985"/>
    </row>
    <row r="232" spans="1:10" ht="35.25" customHeight="1">
      <c r="A232" s="809" t="s">
        <v>70</v>
      </c>
      <c r="B232" s="985" t="s">
        <v>721</v>
      </c>
      <c r="C232" s="985"/>
      <c r="D232" s="985"/>
      <c r="E232" s="985"/>
      <c r="F232" s="985"/>
      <c r="G232" s="985"/>
      <c r="H232" s="985"/>
      <c r="I232" s="985"/>
      <c r="J232" s="985"/>
    </row>
    <row r="233" spans="1:10" s="215" customFormat="1" ht="28.5" customHeight="1">
      <c r="A233" s="807" t="s">
        <v>71</v>
      </c>
      <c r="B233" s="985" t="s">
        <v>865</v>
      </c>
      <c r="C233" s="985"/>
      <c r="D233" s="985"/>
      <c r="E233" s="985"/>
      <c r="F233" s="985"/>
      <c r="G233" s="985"/>
      <c r="H233" s="985"/>
      <c r="I233" s="985"/>
      <c r="J233" s="985"/>
    </row>
    <row r="234" spans="1:10" s="215" customFormat="1" ht="18.75" customHeight="1">
      <c r="A234" s="807" t="s">
        <v>99</v>
      </c>
      <c r="B234" s="252" t="s">
        <v>522</v>
      </c>
      <c r="C234" s="836"/>
      <c r="D234" s="836"/>
      <c r="E234" s="836"/>
      <c r="F234" s="836"/>
      <c r="G234" s="836"/>
      <c r="H234" s="836"/>
      <c r="I234" s="836"/>
      <c r="J234" s="836"/>
    </row>
    <row r="235" spans="1:10" ht="49.5" customHeight="1">
      <c r="A235" s="809" t="s">
        <v>116</v>
      </c>
      <c r="B235" s="985" t="s">
        <v>767</v>
      </c>
      <c r="C235" s="985"/>
      <c r="D235" s="985"/>
      <c r="E235" s="985"/>
      <c r="F235" s="985"/>
      <c r="G235" s="985"/>
      <c r="H235" s="985"/>
      <c r="I235" s="985"/>
      <c r="J235" s="985"/>
    </row>
    <row r="236" spans="1:10" ht="51" customHeight="1">
      <c r="A236" s="990" t="s">
        <v>532</v>
      </c>
      <c r="B236" s="985" t="s">
        <v>179</v>
      </c>
      <c r="C236" s="985"/>
      <c r="D236" s="985"/>
      <c r="E236" s="985"/>
      <c r="F236" s="985"/>
      <c r="G236" s="985"/>
      <c r="H236" s="985"/>
      <c r="I236" s="985"/>
      <c r="J236" s="985"/>
    </row>
    <row r="237" spans="1:10">
      <c r="A237" s="990"/>
      <c r="B237" s="252" t="s">
        <v>72</v>
      </c>
      <c r="C237" s="252" t="s">
        <v>666</v>
      </c>
      <c r="D237" s="369">
        <v>0.21</v>
      </c>
      <c r="E237" s="252" t="s">
        <v>333</v>
      </c>
      <c r="F237" s="252"/>
      <c r="G237" s="252"/>
      <c r="H237" s="252"/>
      <c r="I237" s="252"/>
      <c r="J237" s="252"/>
    </row>
    <row r="238" spans="1:10">
      <c r="A238" s="990"/>
      <c r="B238" s="252"/>
      <c r="C238" s="252" t="s">
        <v>73</v>
      </c>
      <c r="D238" s="973">
        <v>8.2500000000000004E-2</v>
      </c>
      <c r="E238" s="252" t="s">
        <v>112</v>
      </c>
      <c r="F238" s="252"/>
      <c r="G238" s="252"/>
      <c r="H238" s="252"/>
      <c r="I238" s="252"/>
      <c r="J238" s="252"/>
    </row>
    <row r="239" spans="1:10">
      <c r="A239" s="990"/>
      <c r="B239" s="252"/>
      <c r="C239" s="252" t="s">
        <v>74</v>
      </c>
      <c r="D239" s="387">
        <v>0</v>
      </c>
      <c r="E239" s="252" t="s">
        <v>113</v>
      </c>
      <c r="F239" s="252"/>
      <c r="G239" s="252"/>
      <c r="H239" s="252"/>
      <c r="I239" s="252"/>
      <c r="J239" s="252"/>
    </row>
    <row r="240" spans="1:10">
      <c r="A240" s="990"/>
      <c r="B240" s="252"/>
      <c r="C240" s="252" t="s">
        <v>114</v>
      </c>
      <c r="D240" s="387">
        <v>0</v>
      </c>
      <c r="E240" s="252" t="s">
        <v>115</v>
      </c>
      <c r="F240" s="252"/>
      <c r="G240" s="252"/>
      <c r="H240" s="252"/>
      <c r="I240" s="252"/>
      <c r="J240" s="252"/>
    </row>
    <row r="241" spans="1:10" ht="47.25" customHeight="1">
      <c r="A241" s="849" t="s">
        <v>540</v>
      </c>
      <c r="B241" s="993" t="s">
        <v>903</v>
      </c>
      <c r="C241" s="993"/>
      <c r="D241" s="993"/>
      <c r="E241" s="993"/>
      <c r="F241" s="993"/>
      <c r="G241" s="993"/>
      <c r="H241" s="993"/>
      <c r="I241" s="993"/>
      <c r="J241" s="993"/>
    </row>
    <row r="242" spans="1:10" ht="19.5" customHeight="1">
      <c r="A242" s="807" t="s">
        <v>118</v>
      </c>
      <c r="B242" s="985" t="s">
        <v>117</v>
      </c>
      <c r="C242" s="985"/>
      <c r="D242" s="985"/>
      <c r="E242" s="985"/>
      <c r="F242" s="985"/>
      <c r="G242" s="985"/>
      <c r="H242" s="985"/>
      <c r="I242" s="985"/>
      <c r="J242" s="985"/>
    </row>
    <row r="243" spans="1:10" s="565" customFormat="1" ht="105" customHeight="1">
      <c r="A243" s="807" t="s">
        <v>119</v>
      </c>
      <c r="B243" s="991" t="s">
        <v>906</v>
      </c>
      <c r="C243" s="991"/>
      <c r="D243" s="991"/>
      <c r="E243" s="991"/>
      <c r="F243" s="991"/>
      <c r="G243" s="991"/>
      <c r="H243" s="991"/>
      <c r="I243" s="991"/>
      <c r="J243" s="991"/>
    </row>
    <row r="244" spans="1:10" s="215" customFormat="1" ht="30.75" customHeight="1">
      <c r="A244" s="808" t="s">
        <v>120</v>
      </c>
      <c r="B244" s="992" t="s">
        <v>761</v>
      </c>
      <c r="C244" s="992"/>
      <c r="D244" s="992"/>
      <c r="E244" s="992"/>
      <c r="F244" s="992"/>
      <c r="G244" s="992"/>
      <c r="H244" s="992"/>
      <c r="I244" s="992"/>
      <c r="J244" s="992"/>
    </row>
    <row r="245" spans="1:10" s="215" customFormat="1" ht="31.5" customHeight="1">
      <c r="A245" s="808" t="s">
        <v>543</v>
      </c>
      <c r="B245" s="985" t="s">
        <v>549</v>
      </c>
      <c r="C245" s="985"/>
      <c r="D245" s="985"/>
      <c r="E245" s="985"/>
      <c r="F245" s="985"/>
      <c r="G245" s="985"/>
      <c r="H245" s="985"/>
      <c r="I245" s="985"/>
      <c r="J245" s="985"/>
    </row>
    <row r="246" spans="1:10" ht="21" customHeight="1">
      <c r="A246" s="807" t="s">
        <v>545</v>
      </c>
      <c r="B246" s="985" t="s">
        <v>632</v>
      </c>
      <c r="C246" s="985"/>
      <c r="D246" s="985"/>
      <c r="E246" s="985"/>
      <c r="F246" s="985"/>
      <c r="G246" s="985"/>
      <c r="H246" s="985"/>
      <c r="I246" s="985"/>
      <c r="J246" s="985"/>
    </row>
    <row r="247" spans="1:10">
      <c r="A247" s="807" t="s">
        <v>547</v>
      </c>
      <c r="B247" s="985" t="s">
        <v>548</v>
      </c>
      <c r="C247" s="985"/>
      <c r="D247" s="985"/>
      <c r="E247" s="985"/>
      <c r="F247" s="985"/>
      <c r="G247" s="985"/>
      <c r="H247" s="985"/>
      <c r="I247" s="985"/>
      <c r="J247" s="985"/>
    </row>
    <row r="248" spans="1:10" s="321" customFormat="1">
      <c r="A248" s="810" t="s">
        <v>235</v>
      </c>
      <c r="B248" s="501" t="s">
        <v>577</v>
      </c>
      <c r="C248" s="492"/>
      <c r="D248" s="492"/>
      <c r="E248" s="492"/>
      <c r="F248" s="492"/>
      <c r="G248" s="492"/>
      <c r="H248" s="492"/>
      <c r="I248" s="492"/>
      <c r="J248" s="492"/>
    </row>
    <row r="249" spans="1:10" s="321" customFormat="1" ht="43.5" customHeight="1">
      <c r="A249" s="810" t="s">
        <v>861</v>
      </c>
      <c r="B249" s="982" t="s">
        <v>870</v>
      </c>
      <c r="C249" s="982"/>
      <c r="D249" s="982"/>
      <c r="E249" s="982"/>
      <c r="F249" s="982"/>
      <c r="G249" s="982"/>
      <c r="H249" s="982"/>
      <c r="I249" s="982"/>
      <c r="J249" s="491"/>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A236:A240"/>
    <mergeCell ref="B243:J243"/>
    <mergeCell ref="B236:J236"/>
    <mergeCell ref="B242:J242"/>
    <mergeCell ref="B244:J244"/>
    <mergeCell ref="B241:J241"/>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6"/>
  <sheetViews>
    <sheetView view="pageBreakPreview" zoomScale="85" zoomScaleNormal="100" zoomScaleSheetLayoutView="85" workbookViewId="0"/>
  </sheetViews>
  <sheetFormatPr defaultColWidth="8.88671875" defaultRowHeight="12.75"/>
  <cols>
    <col min="1" max="1" width="6" style="23" customWidth="1"/>
    <col min="2" max="2" width="1.44140625" style="23" customWidth="1"/>
    <col min="3" max="3" width="21.77734375" style="23" customWidth="1"/>
    <col min="4" max="4" width="13.5546875" style="539" customWidth="1"/>
    <col min="5" max="5" width="21.77734375" style="23" customWidth="1"/>
    <col min="6" max="6" width="17.21875" style="23" customWidth="1"/>
    <col min="7" max="7" width="10.33203125" style="23" customWidth="1"/>
    <col min="8" max="8" width="11.44140625" style="23" customWidth="1"/>
    <col min="9" max="9" width="11.21875" style="23" bestFit="1" customWidth="1"/>
    <col min="10" max="10" width="9.109375" style="23" customWidth="1"/>
    <col min="11" max="11" width="10.33203125" style="23" customWidth="1"/>
    <col min="12" max="12" width="5.77734375" style="411" customWidth="1"/>
    <col min="13" max="13" width="13.5546875" style="23" customWidth="1"/>
    <col min="14" max="14" width="12.5546875" style="23" customWidth="1"/>
    <col min="15" max="15" width="12.44140625" style="23" bestFit="1" customWidth="1"/>
    <col min="16" max="16" width="12.44140625" style="23" customWidth="1"/>
    <col min="17" max="17" width="11.6640625" style="23" bestFit="1" customWidth="1"/>
    <col min="18" max="18" width="10.33203125" style="23" bestFit="1" customWidth="1"/>
    <col min="19" max="19" width="11.77734375" style="23" customWidth="1"/>
    <col min="20" max="20" width="9.33203125" style="23" customWidth="1"/>
    <col min="21" max="21" width="10.77734375" style="23" customWidth="1"/>
    <col min="22" max="16384" width="8.88671875" style="23"/>
  </cols>
  <sheetData>
    <row r="1" spans="1:23">
      <c r="S1" s="51"/>
    </row>
    <row r="2" spans="1:23">
      <c r="K2" s="23" t="s">
        <v>303</v>
      </c>
      <c r="S2" s="51"/>
    </row>
    <row r="3" spans="1:23">
      <c r="F3" s="18" t="s">
        <v>181</v>
      </c>
      <c r="S3" s="51"/>
    </row>
    <row r="4" spans="1:23">
      <c r="E4" s="17"/>
      <c r="F4" s="18" t="s">
        <v>579</v>
      </c>
      <c r="G4" s="17"/>
      <c r="I4" s="17"/>
      <c r="J4" s="17"/>
      <c r="K4" s="17"/>
      <c r="L4" s="407"/>
      <c r="M4" s="22"/>
      <c r="N4" s="52"/>
      <c r="O4" s="53"/>
      <c r="P4" s="53"/>
      <c r="Q4" s="53"/>
      <c r="R4" s="53"/>
      <c r="S4" s="53"/>
      <c r="T4" s="24"/>
      <c r="U4" s="54"/>
      <c r="V4" s="54"/>
      <c r="W4" s="24"/>
    </row>
    <row r="5" spans="1:23">
      <c r="E5" s="17"/>
      <c r="F5" s="212" t="str">
        <f>+'Attachment H-30A'!D5</f>
        <v>Transource Maryland, LLC</v>
      </c>
      <c r="G5" s="20"/>
      <c r="I5" s="20"/>
      <c r="J5" s="20"/>
      <c r="K5" s="20"/>
      <c r="L5" s="409"/>
      <c r="M5" s="22"/>
      <c r="R5" s="24"/>
      <c r="S5" s="22"/>
      <c r="T5" s="24"/>
      <c r="U5" s="55"/>
      <c r="V5" s="54"/>
      <c r="W5" s="24"/>
    </row>
    <row r="6" spans="1:23">
      <c r="C6" s="24"/>
      <c r="D6" s="540"/>
      <c r="E6" s="24"/>
      <c r="G6" s="24"/>
      <c r="I6" s="24"/>
      <c r="J6" s="24"/>
      <c r="K6" s="24"/>
      <c r="L6" s="24"/>
      <c r="M6" s="24"/>
      <c r="R6" s="24"/>
      <c r="S6" s="24"/>
      <c r="T6" s="24"/>
      <c r="U6" s="54"/>
      <c r="V6" s="54"/>
      <c r="W6" s="24"/>
    </row>
    <row r="7" spans="1:23">
      <c r="A7" s="18"/>
      <c r="C7" s="24"/>
      <c r="D7" s="540"/>
      <c r="E7" s="24"/>
      <c r="F7" s="24"/>
      <c r="G7" s="24"/>
      <c r="H7" s="56"/>
      <c r="I7" s="24"/>
      <c r="J7" s="24"/>
      <c r="K7" s="24"/>
      <c r="L7" s="24"/>
      <c r="M7" s="24"/>
      <c r="N7" s="24"/>
      <c r="O7" s="24"/>
      <c r="P7" s="24"/>
      <c r="Q7" s="24"/>
      <c r="R7" s="24"/>
      <c r="S7" s="24"/>
      <c r="T7" s="24"/>
      <c r="U7" s="54"/>
      <c r="V7" s="54"/>
      <c r="W7" s="24"/>
    </row>
    <row r="8" spans="1:23">
      <c r="A8" s="18"/>
      <c r="C8" s="24" t="s">
        <v>871</v>
      </c>
      <c r="D8" s="540"/>
      <c r="E8" s="24"/>
      <c r="F8" s="24"/>
      <c r="G8" s="24"/>
      <c r="H8" s="56"/>
      <c r="I8" s="24"/>
      <c r="J8" s="24"/>
      <c r="K8" s="24"/>
      <c r="L8" s="24"/>
      <c r="M8" s="24"/>
      <c r="N8" s="24"/>
      <c r="O8" s="24"/>
      <c r="P8" s="24"/>
      <c r="Q8" s="24"/>
      <c r="R8" s="24"/>
      <c r="S8" s="24"/>
      <c r="T8" s="24"/>
      <c r="U8" s="54"/>
      <c r="V8" s="54"/>
      <c r="W8" s="24"/>
    </row>
    <row r="9" spans="1:23">
      <c r="A9" s="18"/>
      <c r="C9" s="24"/>
      <c r="D9" s="540"/>
      <c r="E9" s="24"/>
      <c r="F9" s="24"/>
      <c r="G9" s="24"/>
      <c r="H9" s="24"/>
      <c r="N9" s="57"/>
      <c r="O9" s="57"/>
      <c r="P9" s="57"/>
      <c r="Q9" s="57"/>
      <c r="R9" s="24"/>
      <c r="S9" s="24"/>
      <c r="T9" s="24"/>
      <c r="U9" s="24"/>
      <c r="V9" s="24"/>
      <c r="W9" s="24"/>
    </row>
    <row r="10" spans="1:23">
      <c r="C10" s="58" t="s">
        <v>3</v>
      </c>
      <c r="D10" s="547"/>
      <c r="E10" s="58"/>
      <c r="F10" s="58" t="s">
        <v>4</v>
      </c>
      <c r="G10" s="58"/>
      <c r="I10" s="58" t="s">
        <v>5</v>
      </c>
      <c r="K10" s="59" t="s">
        <v>6</v>
      </c>
      <c r="L10" s="59"/>
      <c r="O10" s="59"/>
      <c r="P10" s="59"/>
      <c r="Q10" s="59"/>
      <c r="R10" s="20"/>
      <c r="S10" s="59"/>
      <c r="T10" s="20"/>
      <c r="U10" s="59"/>
      <c r="V10" s="20"/>
      <c r="W10" s="60"/>
    </row>
    <row r="11" spans="1:23">
      <c r="C11" s="60"/>
      <c r="D11" s="548"/>
      <c r="E11" s="60"/>
      <c r="F11" s="61" t="s">
        <v>872</v>
      </c>
      <c r="G11" s="61"/>
      <c r="I11" s="20"/>
      <c r="R11" s="20"/>
      <c r="T11" s="20"/>
      <c r="U11" s="58"/>
      <c r="V11" s="58"/>
      <c r="W11" s="60"/>
    </row>
    <row r="12" spans="1:23">
      <c r="A12" s="18" t="s">
        <v>8</v>
      </c>
      <c r="C12" s="60"/>
      <c r="D12" s="548"/>
      <c r="E12" s="60"/>
      <c r="F12" s="62" t="s">
        <v>17</v>
      </c>
      <c r="G12" s="62"/>
      <c r="I12" s="63" t="s">
        <v>16</v>
      </c>
      <c r="K12" s="63" t="s">
        <v>14</v>
      </c>
      <c r="L12" s="63"/>
      <c r="O12" s="63"/>
      <c r="P12" s="63"/>
      <c r="Q12" s="63"/>
      <c r="R12" s="20"/>
      <c r="T12" s="24"/>
      <c r="U12" s="64"/>
      <c r="V12" s="58"/>
      <c r="W12" s="60"/>
    </row>
    <row r="13" spans="1:23">
      <c r="A13" s="18" t="s">
        <v>10</v>
      </c>
      <c r="C13" s="65"/>
      <c r="D13" s="549"/>
      <c r="E13" s="65"/>
      <c r="F13" s="20"/>
      <c r="G13" s="20"/>
      <c r="I13" s="20"/>
      <c r="K13" s="20"/>
      <c r="L13" s="409"/>
      <c r="O13" s="20"/>
      <c r="P13" s="20"/>
      <c r="Q13" s="20"/>
      <c r="R13" s="20"/>
      <c r="S13" s="20"/>
      <c r="T13" s="24"/>
      <c r="U13" s="20"/>
      <c r="V13" s="20"/>
      <c r="W13" s="60"/>
    </row>
    <row r="14" spans="1:23">
      <c r="A14" s="66"/>
      <c r="C14" s="60"/>
      <c r="D14" s="548"/>
      <c r="E14" s="60"/>
      <c r="F14" s="20"/>
      <c r="G14" s="20"/>
      <c r="I14" s="20"/>
      <c r="K14" s="20"/>
      <c r="L14" s="409"/>
      <c r="O14" s="20"/>
      <c r="P14" s="20"/>
      <c r="Q14" s="20"/>
      <c r="R14" s="20"/>
      <c r="S14" s="20"/>
      <c r="T14" s="24"/>
      <c r="U14" s="20"/>
      <c r="V14" s="20"/>
      <c r="W14" s="60"/>
    </row>
    <row r="15" spans="1:23">
      <c r="A15" s="21">
        <v>1</v>
      </c>
      <c r="C15" s="60" t="s">
        <v>498</v>
      </c>
      <c r="D15" s="548"/>
      <c r="E15" s="60"/>
      <c r="F15" s="67" t="str">
        <f>"Attach H-30A, p 2, line "&amp;'Attachment H-30A'!A66&amp;" col 5 plus line "&amp;'Attachment H-30A'!A92&amp;" col 5 (Note A)"</f>
        <v>Attach H-30A, p 2, line 2 col 5 plus line 25 col 5 (Note A)</v>
      </c>
      <c r="G15" s="21"/>
      <c r="I15" s="47">
        <f>+'Attachment H-30A'!I66+'Attachment H-30A'!I92</f>
        <v>11519160.989384614</v>
      </c>
      <c r="R15" s="20"/>
      <c r="S15" s="20"/>
      <c r="T15" s="24"/>
      <c r="U15" s="20"/>
      <c r="V15" s="20"/>
      <c r="W15" s="60"/>
    </row>
    <row r="16" spans="1:23">
      <c r="A16" s="21">
        <v>2</v>
      </c>
      <c r="C16" s="60" t="s">
        <v>499</v>
      </c>
      <c r="D16" s="548"/>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11519160.989384614</v>
      </c>
      <c r="R16" s="20"/>
      <c r="S16" s="20"/>
      <c r="T16" s="24"/>
      <c r="U16" s="20"/>
      <c r="V16" s="20"/>
      <c r="W16" s="60"/>
    </row>
    <row r="17" spans="1:23">
      <c r="A17" s="21"/>
      <c r="F17" s="67"/>
      <c r="G17" s="21"/>
      <c r="R17" s="20"/>
      <c r="S17" s="20"/>
      <c r="T17" s="24"/>
      <c r="U17" s="20"/>
      <c r="V17" s="20"/>
      <c r="W17" s="60"/>
    </row>
    <row r="18" spans="1:23">
      <c r="A18" s="21"/>
      <c r="C18" s="60" t="s">
        <v>121</v>
      </c>
      <c r="D18" s="548"/>
      <c r="E18" s="60"/>
      <c r="F18" s="67"/>
      <c r="G18" s="21"/>
      <c r="I18" s="20"/>
      <c r="K18" s="20"/>
      <c r="L18" s="409"/>
      <c r="O18" s="20"/>
      <c r="P18" s="20"/>
      <c r="Q18" s="20"/>
      <c r="R18" s="20"/>
      <c r="S18" s="20"/>
      <c r="T18" s="20"/>
      <c r="U18" s="20"/>
      <c r="V18" s="20"/>
      <c r="W18" s="60"/>
    </row>
    <row r="19" spans="1:23">
      <c r="A19" s="21">
        <v>3</v>
      </c>
      <c r="C19" s="60" t="s">
        <v>122</v>
      </c>
      <c r="D19" s="548"/>
      <c r="E19" s="60"/>
      <c r="F19" s="67" t="s">
        <v>873</v>
      </c>
      <c r="G19" s="21"/>
      <c r="I19" s="47">
        <f>+'Attachment H-30A'!I134</f>
        <v>584919.09431895427</v>
      </c>
      <c r="R19" s="20"/>
      <c r="S19" s="20"/>
      <c r="T19" s="20"/>
      <c r="U19" s="20"/>
      <c r="V19" s="20"/>
      <c r="W19" s="60"/>
    </row>
    <row r="20" spans="1:23">
      <c r="A20" s="21">
        <v>4</v>
      </c>
      <c r="C20" s="60" t="s">
        <v>123</v>
      </c>
      <c r="D20" s="548"/>
      <c r="E20" s="60"/>
      <c r="F20" s="67" t="s">
        <v>124</v>
      </c>
      <c r="G20" s="21"/>
      <c r="I20" s="497">
        <f>IF(I19=0,0,+I19/I15)</f>
        <v>5.0777925133434765E-2</v>
      </c>
      <c r="J20" s="389"/>
      <c r="K20" s="68">
        <f>I20</f>
        <v>5.0777925133434765E-2</v>
      </c>
      <c r="L20" s="391"/>
      <c r="O20" s="68"/>
      <c r="P20" s="68"/>
      <c r="Q20" s="68"/>
      <c r="R20" s="20"/>
      <c r="S20" s="69"/>
      <c r="T20" s="70"/>
      <c r="U20" s="71"/>
      <c r="V20" s="20"/>
      <c r="W20" s="60"/>
    </row>
    <row r="21" spans="1:23">
      <c r="A21" s="21"/>
      <c r="C21" s="60"/>
      <c r="D21" s="548"/>
      <c r="E21" s="60"/>
      <c r="F21" s="67"/>
      <c r="G21" s="21"/>
      <c r="I21" s="72"/>
      <c r="K21" s="68"/>
      <c r="L21" s="391"/>
      <c r="O21" s="68"/>
      <c r="P21" s="68"/>
      <c r="Q21" s="68"/>
      <c r="R21" s="20"/>
      <c r="S21" s="69"/>
      <c r="T21" s="70"/>
      <c r="U21" s="71"/>
      <c r="V21" s="20"/>
      <c r="W21" s="60"/>
    </row>
    <row r="22" spans="1:23">
      <c r="A22" s="59"/>
      <c r="C22" s="60" t="s">
        <v>509</v>
      </c>
      <c r="D22" s="548"/>
      <c r="E22" s="60"/>
      <c r="F22" s="211"/>
      <c r="G22" s="50"/>
      <c r="I22" s="20"/>
      <c r="K22" s="497"/>
      <c r="L22" s="390"/>
      <c r="O22" s="20"/>
      <c r="P22" s="20"/>
      <c r="Q22" s="20"/>
      <c r="R22" s="20"/>
      <c r="S22" s="69"/>
      <c r="T22" s="70"/>
      <c r="U22" s="71"/>
      <c r="V22" s="20"/>
      <c r="W22" s="60"/>
    </row>
    <row r="23" spans="1:23">
      <c r="A23" s="59" t="s">
        <v>125</v>
      </c>
      <c r="C23" s="60" t="s">
        <v>508</v>
      </c>
      <c r="D23" s="548"/>
      <c r="E23" s="60"/>
      <c r="F23" s="67" t="s">
        <v>874</v>
      </c>
      <c r="G23" s="21"/>
      <c r="I23" s="47">
        <f>+'Attachment H-30A'!I138</f>
        <v>11290.846653262901</v>
      </c>
      <c r="K23" s="497"/>
      <c r="L23" s="390"/>
      <c r="R23" s="20"/>
      <c r="S23" s="69"/>
      <c r="T23" s="70"/>
      <c r="U23" s="71"/>
      <c r="V23" s="20"/>
      <c r="W23" s="60"/>
    </row>
    <row r="24" spans="1:23">
      <c r="A24" s="59" t="s">
        <v>126</v>
      </c>
      <c r="C24" s="60" t="s">
        <v>730</v>
      </c>
      <c r="D24" s="548"/>
      <c r="E24" s="60"/>
      <c r="F24" s="67" t="s">
        <v>127</v>
      </c>
      <c r="G24" s="21"/>
      <c r="I24" s="497">
        <f>IF(I23=0,0,I23/I15)</f>
        <v>9.8017960367668142E-4</v>
      </c>
      <c r="J24" s="48"/>
      <c r="K24" s="68">
        <f>I24</f>
        <v>9.8017960367668142E-4</v>
      </c>
      <c r="L24" s="391"/>
      <c r="O24" s="68"/>
      <c r="P24" s="68"/>
      <c r="Q24" s="68"/>
      <c r="R24" s="20"/>
      <c r="S24" s="69"/>
      <c r="T24" s="70"/>
      <c r="U24" s="71"/>
      <c r="V24" s="20"/>
      <c r="W24" s="60"/>
    </row>
    <row r="25" spans="1:23">
      <c r="A25" s="21"/>
      <c r="C25" s="60"/>
      <c r="D25" s="548"/>
      <c r="E25" s="60"/>
      <c r="F25" s="67"/>
      <c r="G25" s="21"/>
      <c r="I25" s="48"/>
      <c r="J25" s="48"/>
      <c r="K25" s="68"/>
      <c r="L25" s="391"/>
      <c r="O25" s="68"/>
      <c r="P25" s="68"/>
      <c r="Q25" s="68"/>
      <c r="R25" s="20"/>
      <c r="S25" s="69"/>
      <c r="T25" s="70"/>
      <c r="U25" s="71"/>
      <c r="V25" s="20"/>
      <c r="W25" s="60"/>
    </row>
    <row r="26" spans="1:23">
      <c r="A26" s="59"/>
      <c r="C26" s="60" t="s">
        <v>128</v>
      </c>
      <c r="D26" s="548"/>
      <c r="E26" s="60"/>
      <c r="F26" s="211"/>
      <c r="G26" s="50"/>
      <c r="I26" s="48"/>
      <c r="J26" s="48"/>
      <c r="K26" s="497"/>
      <c r="L26" s="390"/>
      <c r="O26" s="20"/>
      <c r="P26" s="20"/>
      <c r="Q26" s="20"/>
      <c r="R26" s="20"/>
      <c r="S26" s="20"/>
      <c r="T26" s="20"/>
      <c r="U26" s="20"/>
      <c r="V26" s="20"/>
      <c r="W26" s="60"/>
    </row>
    <row r="27" spans="1:23">
      <c r="A27" s="59" t="s">
        <v>129</v>
      </c>
      <c r="C27" s="60" t="s">
        <v>130</v>
      </c>
      <c r="D27" s="548"/>
      <c r="E27" s="60"/>
      <c r="F27" s="67" t="s">
        <v>875</v>
      </c>
      <c r="G27" s="21"/>
      <c r="I27" s="47">
        <f>+'Attachment H-30A'!I151</f>
        <v>96000</v>
      </c>
      <c r="J27" s="48"/>
      <c r="K27" s="497"/>
      <c r="L27" s="390"/>
      <c r="R27" s="20"/>
      <c r="S27" s="64"/>
      <c r="T27" s="20"/>
      <c r="U27" s="21"/>
      <c r="V27" s="58"/>
      <c r="W27" s="60"/>
    </row>
    <row r="28" spans="1:23">
      <c r="A28" s="59" t="s">
        <v>131</v>
      </c>
      <c r="C28" s="60" t="s">
        <v>132</v>
      </c>
      <c r="D28" s="548"/>
      <c r="E28" s="60"/>
      <c r="F28" s="67" t="s">
        <v>133</v>
      </c>
      <c r="G28" s="21"/>
      <c r="I28" s="497">
        <f>IF(I27=0,0,I27/I15)</f>
        <v>8.3339403007274566E-3</v>
      </c>
      <c r="J28" s="48"/>
      <c r="K28" s="68">
        <f>I28</f>
        <v>8.3339403007274566E-3</v>
      </c>
      <c r="L28" s="391"/>
      <c r="O28" s="68"/>
      <c r="P28" s="68"/>
      <c r="Q28" s="68"/>
      <c r="R28" s="20"/>
      <c r="S28" s="69"/>
      <c r="T28" s="20"/>
      <c r="U28" s="71"/>
      <c r="V28" s="58"/>
      <c r="W28" s="60"/>
    </row>
    <row r="29" spans="1:23">
      <c r="A29" s="59"/>
      <c r="C29" s="60"/>
      <c r="D29" s="548"/>
      <c r="E29" s="60"/>
      <c r="F29" s="67"/>
      <c r="G29" s="21"/>
      <c r="I29" s="20"/>
      <c r="K29" s="497"/>
      <c r="L29" s="390"/>
      <c r="O29" s="20"/>
      <c r="P29" s="20"/>
      <c r="Q29" s="20"/>
      <c r="R29" s="20"/>
      <c r="V29" s="20"/>
      <c r="W29" s="60"/>
    </row>
    <row r="30" spans="1:23">
      <c r="A30" s="59" t="s">
        <v>134</v>
      </c>
      <c r="C30" s="60" t="s">
        <v>175</v>
      </c>
      <c r="D30" s="548"/>
      <c r="E30" s="60"/>
      <c r="F30" s="67" t="s">
        <v>876</v>
      </c>
      <c r="G30" s="21"/>
      <c r="I30" s="47">
        <f>-'Attachment H-30A'!I18</f>
        <v>0</v>
      </c>
      <c r="K30" s="497"/>
      <c r="L30" s="390"/>
      <c r="O30" s="20"/>
      <c r="P30" s="20"/>
      <c r="Q30" s="20"/>
      <c r="R30" s="20"/>
      <c r="V30" s="20"/>
      <c r="W30" s="60"/>
    </row>
    <row r="31" spans="1:23">
      <c r="A31" s="59" t="s">
        <v>137</v>
      </c>
      <c r="C31" s="60" t="s">
        <v>378</v>
      </c>
      <c r="D31" s="548"/>
      <c r="E31" s="60"/>
      <c r="F31" s="67" t="s">
        <v>170</v>
      </c>
      <c r="G31" s="21"/>
      <c r="I31" s="496">
        <f>IF(I30=0,0,I30/I15)</f>
        <v>0</v>
      </c>
      <c r="K31" s="497">
        <f>+I31</f>
        <v>0</v>
      </c>
      <c r="L31" s="390"/>
      <c r="O31" s="20"/>
      <c r="P31" s="20"/>
      <c r="Q31" s="20"/>
      <c r="R31" s="20"/>
      <c r="V31" s="20"/>
      <c r="W31" s="60"/>
    </row>
    <row r="32" spans="1:23">
      <c r="A32" s="59"/>
      <c r="C32" s="60"/>
      <c r="D32" s="548"/>
      <c r="E32" s="60"/>
      <c r="F32" s="67"/>
      <c r="G32" s="21"/>
      <c r="I32" s="20"/>
      <c r="K32" s="497"/>
      <c r="L32" s="390"/>
      <c r="O32" s="20"/>
      <c r="P32" s="20"/>
      <c r="Q32" s="20"/>
      <c r="R32" s="20"/>
      <c r="V32" s="20"/>
      <c r="W32" s="60"/>
    </row>
    <row r="33" spans="1:23">
      <c r="A33" s="73" t="s">
        <v>138</v>
      </c>
      <c r="B33" s="74"/>
      <c r="C33" s="65" t="s">
        <v>135</v>
      </c>
      <c r="D33" s="549"/>
      <c r="E33" s="65"/>
      <c r="F33" s="75" t="s">
        <v>171</v>
      </c>
      <c r="G33" s="61"/>
      <c r="I33" s="70"/>
      <c r="K33" s="76">
        <f>K20+K24+K28+K31</f>
        <v>6.0092045037838902E-2</v>
      </c>
      <c r="L33" s="392"/>
      <c r="O33" s="76"/>
      <c r="P33" s="76"/>
      <c r="Q33" s="76"/>
      <c r="R33" s="20"/>
      <c r="V33" s="20"/>
      <c r="W33" s="60"/>
    </row>
    <row r="34" spans="1:23">
      <c r="A34" s="59"/>
      <c r="C34" s="60"/>
      <c r="D34" s="548"/>
      <c r="E34" s="60"/>
      <c r="F34" s="67"/>
      <c r="G34" s="21"/>
      <c r="I34" s="20"/>
      <c r="K34" s="497"/>
      <c r="L34" s="390"/>
      <c r="O34" s="20"/>
      <c r="P34" s="20"/>
      <c r="Q34" s="20"/>
      <c r="R34" s="20"/>
      <c r="S34" s="20"/>
      <c r="T34" s="20"/>
      <c r="U34" s="77"/>
      <c r="V34" s="20"/>
      <c r="W34" s="60"/>
    </row>
    <row r="35" spans="1:23">
      <c r="A35" s="59"/>
      <c r="B35" s="78"/>
      <c r="C35" s="20" t="s">
        <v>136</v>
      </c>
      <c r="D35" s="538"/>
      <c r="E35" s="20"/>
      <c r="F35" s="67"/>
      <c r="G35" s="21"/>
      <c r="I35" s="20"/>
      <c r="K35" s="497"/>
      <c r="L35" s="390"/>
      <c r="O35" s="20"/>
      <c r="P35" s="20"/>
      <c r="Q35" s="20"/>
      <c r="R35" s="79"/>
      <c r="S35" s="78"/>
      <c r="V35" s="58"/>
      <c r="W35" s="20" t="s">
        <v>2</v>
      </c>
    </row>
    <row r="36" spans="1:23">
      <c r="A36" s="59" t="s">
        <v>140</v>
      </c>
      <c r="B36" s="78"/>
      <c r="C36" s="20" t="s">
        <v>42</v>
      </c>
      <c r="D36" s="538"/>
      <c r="E36" s="20"/>
      <c r="F36" s="67" t="s">
        <v>877</v>
      </c>
      <c r="G36" s="21"/>
      <c r="I36" s="47">
        <f>+'Attachment H-30A'!I166</f>
        <v>283027.39881777461</v>
      </c>
      <c r="K36" s="497"/>
      <c r="L36" s="390"/>
      <c r="O36" s="20"/>
      <c r="P36" s="20"/>
      <c r="Q36" s="20"/>
      <c r="R36" s="79"/>
      <c r="S36" s="78"/>
      <c r="V36" s="58"/>
      <c r="W36" s="20"/>
    </row>
    <row r="37" spans="1:23">
      <c r="A37" s="59" t="s">
        <v>142</v>
      </c>
      <c r="B37" s="78"/>
      <c r="C37" s="20" t="s">
        <v>139</v>
      </c>
      <c r="D37" s="538"/>
      <c r="E37" s="20"/>
      <c r="F37" s="67" t="s">
        <v>144</v>
      </c>
      <c r="G37" s="21"/>
      <c r="I37" s="497">
        <f>IF(I16=0,0,I36/I16)</f>
        <v>2.4570140054349109E-2</v>
      </c>
      <c r="K37" s="68">
        <f>I37</f>
        <v>2.4570140054349109E-2</v>
      </c>
      <c r="L37" s="391"/>
      <c r="O37" s="68"/>
      <c r="P37" s="68"/>
      <c r="Q37" s="68"/>
      <c r="R37" s="79"/>
      <c r="S37" s="78"/>
      <c r="T37" s="20"/>
      <c r="U37" s="20"/>
      <c r="V37" s="58"/>
      <c r="W37" s="20"/>
    </row>
    <row r="38" spans="1:23">
      <c r="A38" s="59"/>
      <c r="C38" s="20"/>
      <c r="D38" s="538"/>
      <c r="E38" s="20"/>
      <c r="F38" s="67"/>
      <c r="G38" s="21"/>
      <c r="I38" s="20"/>
      <c r="K38" s="497"/>
      <c r="L38" s="390"/>
      <c r="O38" s="20"/>
      <c r="P38" s="20"/>
      <c r="Q38" s="20"/>
      <c r="R38" s="20"/>
      <c r="T38" s="24"/>
      <c r="U38" s="20"/>
      <c r="V38" s="24"/>
      <c r="W38" s="60"/>
    </row>
    <row r="39" spans="1:23">
      <c r="A39" s="59"/>
      <c r="C39" s="60" t="s">
        <v>43</v>
      </c>
      <c r="D39" s="548"/>
      <c r="E39" s="60"/>
      <c r="F39" s="80"/>
      <c r="G39" s="81"/>
      <c r="K39" s="497"/>
      <c r="L39" s="390"/>
      <c r="R39" s="20"/>
      <c r="T39" s="20"/>
      <c r="U39" s="20"/>
      <c r="V39" s="20"/>
      <c r="W39" s="60"/>
    </row>
    <row r="40" spans="1:23">
      <c r="A40" s="59" t="s">
        <v>145</v>
      </c>
      <c r="C40" s="60" t="s">
        <v>141</v>
      </c>
      <c r="D40" s="548"/>
      <c r="E40" s="60"/>
      <c r="F40" s="67" t="s">
        <v>878</v>
      </c>
      <c r="G40" s="21"/>
      <c r="I40" s="47">
        <f>+'Attachment H-30A'!I169</f>
        <v>923639.11002934631</v>
      </c>
      <c r="K40" s="497"/>
      <c r="L40" s="390"/>
      <c r="O40" s="20"/>
      <c r="P40" s="20"/>
      <c r="Q40" s="20"/>
      <c r="R40" s="20"/>
      <c r="T40" s="20"/>
      <c r="U40" s="20"/>
      <c r="V40" s="20"/>
      <c r="W40" s="60"/>
    </row>
    <row r="41" spans="1:23">
      <c r="A41" s="59" t="s">
        <v>168</v>
      </c>
      <c r="B41" s="78"/>
      <c r="C41" s="20" t="s">
        <v>143</v>
      </c>
      <c r="D41" s="538"/>
      <c r="E41" s="20"/>
      <c r="F41" s="67" t="s">
        <v>329</v>
      </c>
      <c r="G41" s="21"/>
      <c r="I41" s="497">
        <f>IF(I16=0,0,I40/I16)</f>
        <v>8.0182845858350116E-2</v>
      </c>
      <c r="K41" s="68">
        <f>I41</f>
        <v>8.0182845858350116E-2</v>
      </c>
      <c r="L41" s="391"/>
      <c r="O41" s="68"/>
      <c r="P41" s="68"/>
      <c r="Q41" s="68"/>
      <c r="R41" s="20"/>
      <c r="U41" s="82"/>
      <c r="V41" s="58"/>
      <c r="W41" s="20"/>
    </row>
    <row r="42" spans="1:23">
      <c r="A42" s="59"/>
      <c r="C42" s="60"/>
      <c r="D42" s="548"/>
      <c r="E42" s="60"/>
      <c r="F42" s="67"/>
      <c r="G42" s="21"/>
      <c r="I42" s="389"/>
      <c r="K42" s="497"/>
      <c r="L42" s="390"/>
      <c r="O42" s="20"/>
      <c r="P42" s="20"/>
      <c r="Q42" s="20"/>
      <c r="R42" s="20"/>
      <c r="S42" s="81"/>
      <c r="T42" s="20"/>
      <c r="U42" s="20"/>
      <c r="V42" s="20"/>
      <c r="W42" s="60"/>
    </row>
    <row r="43" spans="1:23">
      <c r="A43" s="73" t="s">
        <v>169</v>
      </c>
      <c r="B43" s="74"/>
      <c r="C43" s="65" t="s">
        <v>146</v>
      </c>
      <c r="D43" s="549"/>
      <c r="E43" s="65"/>
      <c r="F43" s="75" t="s">
        <v>172</v>
      </c>
      <c r="G43" s="61"/>
      <c r="I43" s="497">
        <f>+I41+I37</f>
        <v>0.10475298591269923</v>
      </c>
      <c r="K43" s="76">
        <f>K37+K41</f>
        <v>0.10475298591269923</v>
      </c>
      <c r="L43" s="392"/>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8"/>
      <c r="E48" s="60"/>
      <c r="F48" s="50" t="str">
        <f>+F3</f>
        <v>Attachment 1</v>
      </c>
      <c r="I48" s="50"/>
      <c r="P48" s="50" t="str">
        <f>+F48</f>
        <v>Attachment 1</v>
      </c>
      <c r="R48" s="20"/>
      <c r="S48" s="51"/>
      <c r="T48" s="20"/>
      <c r="U48" s="24"/>
      <c r="V48" s="20"/>
      <c r="W48" s="60"/>
    </row>
    <row r="49" spans="1:23">
      <c r="A49" s="18"/>
      <c r="C49" s="60"/>
      <c r="D49" s="548"/>
      <c r="E49" s="60"/>
      <c r="F49" s="50" t="str">
        <f>+F4</f>
        <v>Project Revenue Requirement Worksheet</v>
      </c>
      <c r="I49" s="50"/>
      <c r="N49" s="20"/>
      <c r="O49" s="20"/>
      <c r="P49" s="546" t="str">
        <f>+F49</f>
        <v>Project Revenue Requirement Worksheet</v>
      </c>
      <c r="Q49" s="20"/>
      <c r="R49" s="20"/>
      <c r="T49" s="20"/>
      <c r="U49" s="24"/>
      <c r="V49" s="20"/>
      <c r="W49" s="60"/>
    </row>
    <row r="50" spans="1:23" ht="14.25" customHeight="1">
      <c r="A50" s="18"/>
      <c r="F50" s="50" t="str">
        <f>+F5</f>
        <v>Transource Maryland, LLC</v>
      </c>
      <c r="P50" s="546" t="str">
        <f>+F50</f>
        <v>Transource Maryland, LLC</v>
      </c>
      <c r="R50" s="20"/>
      <c r="T50" s="20"/>
      <c r="U50" s="24"/>
      <c r="V50" s="20"/>
      <c r="W50" s="60"/>
    </row>
    <row r="51" spans="1:23" s="411" customFormat="1">
      <c r="A51" s="446"/>
      <c r="D51" s="539"/>
      <c r="F51" s="65"/>
      <c r="G51" s="65"/>
      <c r="I51" s="24"/>
      <c r="J51" s="24"/>
      <c r="K51" s="24"/>
      <c r="L51" s="24"/>
      <c r="M51" s="24"/>
      <c r="N51" s="24"/>
      <c r="O51" s="24"/>
      <c r="P51" s="24"/>
      <c r="Q51" s="24"/>
      <c r="R51" s="409"/>
      <c r="S51" s="409"/>
      <c r="T51" s="409"/>
      <c r="U51" s="24"/>
      <c r="V51" s="409"/>
      <c r="W51" s="60"/>
    </row>
    <row r="52" spans="1:23" s="411" customFormat="1" ht="53.25" customHeight="1">
      <c r="A52" s="446"/>
      <c r="C52" s="996" t="s">
        <v>879</v>
      </c>
      <c r="D52" s="996"/>
      <c r="E52" s="996"/>
      <c r="F52" s="996"/>
      <c r="G52" s="996"/>
      <c r="H52" s="996"/>
      <c r="I52" s="996"/>
      <c r="J52" s="996"/>
      <c r="K52" s="996"/>
      <c r="L52" s="445"/>
      <c r="M52" s="24"/>
      <c r="N52" s="24"/>
      <c r="O52" s="24"/>
      <c r="P52" s="24"/>
      <c r="Q52" s="24"/>
      <c r="R52" s="409"/>
      <c r="S52" s="409"/>
      <c r="T52" s="409"/>
      <c r="U52" s="24"/>
      <c r="V52" s="409"/>
      <c r="W52" s="60"/>
    </row>
    <row r="53" spans="1:23" s="411" customFormat="1" ht="28.5" customHeight="1">
      <c r="A53" s="446"/>
      <c r="C53" s="997" t="s">
        <v>665</v>
      </c>
      <c r="D53" s="997"/>
      <c r="E53" s="997"/>
      <c r="F53" s="997"/>
      <c r="G53" s="997"/>
      <c r="H53" s="997"/>
      <c r="I53" s="997"/>
      <c r="J53" s="997"/>
      <c r="K53" s="997"/>
      <c r="L53" s="24"/>
      <c r="M53" s="24"/>
      <c r="N53" s="24"/>
      <c r="O53" s="24"/>
      <c r="P53" s="24"/>
      <c r="Q53" s="24"/>
      <c r="R53" s="409"/>
      <c r="S53" s="409"/>
      <c r="T53" s="409"/>
      <c r="U53" s="24"/>
      <c r="V53" s="409"/>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50"/>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1" t="s">
        <v>148</v>
      </c>
      <c r="B56" s="85"/>
      <c r="C56" s="85" t="s">
        <v>310</v>
      </c>
      <c r="D56" s="552" t="s">
        <v>580</v>
      </c>
      <c r="E56" s="403" t="s">
        <v>550</v>
      </c>
      <c r="F56" s="86" t="s">
        <v>149</v>
      </c>
      <c r="G56" s="86" t="s">
        <v>135</v>
      </c>
      <c r="H56" s="87" t="s">
        <v>150</v>
      </c>
      <c r="I56" s="86" t="s">
        <v>151</v>
      </c>
      <c r="J56" s="86" t="s">
        <v>146</v>
      </c>
      <c r="K56" s="87" t="s">
        <v>152</v>
      </c>
      <c r="L56" s="551" t="s">
        <v>148</v>
      </c>
      <c r="M56" s="86" t="s">
        <v>173</v>
      </c>
      <c r="N56" s="88" t="s">
        <v>153</v>
      </c>
      <c r="O56" s="88" t="s">
        <v>497</v>
      </c>
      <c r="P56" s="88" t="s">
        <v>174</v>
      </c>
      <c r="Q56" s="88" t="s">
        <v>291</v>
      </c>
      <c r="R56" s="88" t="s">
        <v>668</v>
      </c>
      <c r="S56" s="88" t="s">
        <v>180</v>
      </c>
      <c r="T56" s="88" t="s">
        <v>154</v>
      </c>
      <c r="U56" s="88" t="s">
        <v>569</v>
      </c>
      <c r="V56" s="20"/>
      <c r="W56" s="60"/>
    </row>
    <row r="57" spans="1:23" ht="46.5" customHeight="1">
      <c r="A57" s="553"/>
      <c r="B57" s="89"/>
      <c r="C57" s="89"/>
      <c r="D57" s="554"/>
      <c r="E57" s="89"/>
      <c r="F57" s="90" t="s">
        <v>104</v>
      </c>
      <c r="G57" s="90" t="s">
        <v>265</v>
      </c>
      <c r="H57" s="91" t="s">
        <v>155</v>
      </c>
      <c r="I57" s="90" t="s">
        <v>486</v>
      </c>
      <c r="J57" s="224" t="s">
        <v>266</v>
      </c>
      <c r="K57" s="283" t="s">
        <v>156</v>
      </c>
      <c r="L57" s="553"/>
      <c r="M57" s="90" t="s">
        <v>158</v>
      </c>
      <c r="N57" s="283" t="s">
        <v>157</v>
      </c>
      <c r="O57" s="90" t="s">
        <v>233</v>
      </c>
      <c r="P57" s="283" t="s">
        <v>289</v>
      </c>
      <c r="Q57" s="92" t="s">
        <v>292</v>
      </c>
      <c r="R57" s="224" t="s">
        <v>743</v>
      </c>
      <c r="S57" s="92" t="s">
        <v>272</v>
      </c>
      <c r="T57" s="93" t="s">
        <v>551</v>
      </c>
      <c r="U57" s="92" t="s">
        <v>588</v>
      </c>
      <c r="V57" s="20"/>
      <c r="W57" s="60"/>
    </row>
    <row r="58" spans="1:23">
      <c r="A58" s="555"/>
      <c r="B58" s="24"/>
      <c r="C58" s="24"/>
      <c r="D58" s="540"/>
      <c r="E58" s="24"/>
      <c r="F58" s="24"/>
      <c r="G58" s="24"/>
      <c r="H58" s="94"/>
      <c r="I58" s="24"/>
      <c r="J58" s="24"/>
      <c r="K58" s="94"/>
      <c r="L58" s="555"/>
      <c r="M58" s="24"/>
      <c r="N58" s="94"/>
      <c r="O58" s="280"/>
      <c r="P58" s="94"/>
      <c r="Q58" s="94"/>
      <c r="R58" s="24"/>
      <c r="S58" s="223"/>
      <c r="T58" s="20"/>
      <c r="U58" s="95"/>
      <c r="V58" s="20"/>
      <c r="W58" s="60"/>
    </row>
    <row r="59" spans="1:23">
      <c r="A59" s="512" t="s">
        <v>502</v>
      </c>
      <c r="B59" s="96"/>
      <c r="C59" s="955" t="s">
        <v>904</v>
      </c>
      <c r="D59" s="558" t="s">
        <v>581</v>
      </c>
      <c r="E59" s="955" t="s">
        <v>905</v>
      </c>
      <c r="F59" s="563">
        <f>+I15</f>
        <v>11519160.989384614</v>
      </c>
      <c r="G59" s="390">
        <f>$K$33</f>
        <v>6.0092045037838902E-2</v>
      </c>
      <c r="H59" s="265">
        <f>F59*G59</f>
        <v>692209.94097221713</v>
      </c>
      <c r="I59" s="97">
        <f>+I16</f>
        <v>11519160.989384614</v>
      </c>
      <c r="J59" s="390">
        <f>$K$43</f>
        <v>0.10475298591269923</v>
      </c>
      <c r="K59" s="567">
        <f>I59*J59</f>
        <v>1206666.5088471209</v>
      </c>
      <c r="L59" s="512" t="str">
        <f>+A59</f>
        <v>1a</v>
      </c>
      <c r="M59" s="563">
        <f>+'Attachment H-30A'!D137+'Attachment H-30A'!D139</f>
        <v>0</v>
      </c>
      <c r="N59" s="265">
        <f>H59+K59+M59</f>
        <v>1898876.449819338</v>
      </c>
      <c r="O59" s="281">
        <v>0</v>
      </c>
      <c r="P59" s="265">
        <f>O59/100*'2-Incentive ROE'!$J$38*I59</f>
        <v>0</v>
      </c>
      <c r="Q59" s="265">
        <f>+N59+P59</f>
        <v>1898876.449819338</v>
      </c>
      <c r="R59" s="563">
        <v>0</v>
      </c>
      <c r="S59" s="567">
        <f>+N59+P59-R59</f>
        <v>1898876.449819338</v>
      </c>
      <c r="T59" s="563">
        <f>'3-Project True-up'!L19</f>
        <v>-286101.9107137713</v>
      </c>
      <c r="U59" s="265">
        <f>+S59+T59</f>
        <v>1612774.5391055667</v>
      </c>
    </row>
    <row r="60" spans="1:23">
      <c r="A60" s="512" t="s">
        <v>503</v>
      </c>
      <c r="B60" s="96"/>
      <c r="C60" s="954"/>
      <c r="D60" s="558"/>
      <c r="E60" s="956"/>
      <c r="F60" s="563">
        <v>0</v>
      </c>
      <c r="G60" s="390">
        <f>$K$33</f>
        <v>6.0092045037838902E-2</v>
      </c>
      <c r="H60" s="265">
        <f>F60*G60</f>
        <v>0</v>
      </c>
      <c r="I60" s="97">
        <v>0</v>
      </c>
      <c r="J60" s="390">
        <f>$K$43</f>
        <v>0.10475298591269923</v>
      </c>
      <c r="K60" s="567">
        <f>I60*J60</f>
        <v>0</v>
      </c>
      <c r="L60" s="512" t="str">
        <f>+A60</f>
        <v>1b</v>
      </c>
      <c r="M60" s="563">
        <v>0</v>
      </c>
      <c r="N60" s="265">
        <f>H60+K60+M60</f>
        <v>0</v>
      </c>
      <c r="O60" s="281">
        <v>0</v>
      </c>
      <c r="P60" s="265">
        <f>O60/100*'2-Incentive ROE'!$J$38*I60</f>
        <v>0</v>
      </c>
      <c r="Q60" s="265">
        <f>+N60+P60</f>
        <v>0</v>
      </c>
      <c r="R60" s="563">
        <v>0</v>
      </c>
      <c r="S60" s="567">
        <f>+N60+P60-R60</f>
        <v>0</v>
      </c>
      <c r="T60" s="563">
        <f>+'3-Project True-up'!L20</f>
        <v>0</v>
      </c>
      <c r="U60" s="265">
        <f>+S60+T60</f>
        <v>0</v>
      </c>
    </row>
    <row r="61" spans="1:23" s="539" customFormat="1">
      <c r="A61" s="516">
        <v>2</v>
      </c>
      <c r="B61" s="517"/>
      <c r="C61" s="517" t="s">
        <v>583</v>
      </c>
      <c r="D61" s="517"/>
      <c r="E61" s="534"/>
      <c r="F61" s="536">
        <f>+F59+F60</f>
        <v>11519160.989384614</v>
      </c>
      <c r="G61" s="510"/>
      <c r="H61" s="511">
        <f>+H59+H60</f>
        <v>692209.94097221713</v>
      </c>
      <c r="I61" s="535">
        <f>+I59+I60</f>
        <v>11519160.989384614</v>
      </c>
      <c r="J61" s="510"/>
      <c r="K61" s="511">
        <f>+K59+K60</f>
        <v>1206666.5088471209</v>
      </c>
      <c r="L61" s="532">
        <f>+A61</f>
        <v>2</v>
      </c>
      <c r="M61" s="536">
        <f t="shared" ref="M61" si="0">+M59+M60</f>
        <v>0</v>
      </c>
      <c r="N61" s="511">
        <f>+N59+N60</f>
        <v>1898876.449819338</v>
      </c>
      <c r="O61" s="514"/>
      <c r="P61" s="511">
        <f t="shared" ref="P61:U61" si="1">+P59+P60</f>
        <v>0</v>
      </c>
      <c r="Q61" s="511">
        <f t="shared" si="1"/>
        <v>1898876.449819338</v>
      </c>
      <c r="R61" s="536">
        <f t="shared" si="1"/>
        <v>0</v>
      </c>
      <c r="S61" s="511">
        <f t="shared" si="1"/>
        <v>1898876.449819338</v>
      </c>
      <c r="T61" s="536">
        <f t="shared" si="1"/>
        <v>-286101.9107137713</v>
      </c>
      <c r="U61" s="511">
        <f t="shared" si="1"/>
        <v>1612774.5391055667</v>
      </c>
    </row>
    <row r="62" spans="1:23" s="539" customFormat="1">
      <c r="A62" s="512"/>
      <c r="B62" s="557"/>
      <c r="C62" s="557"/>
      <c r="D62" s="557"/>
      <c r="E62" s="529"/>
      <c r="F62" s="545"/>
      <c r="G62" s="586"/>
      <c r="H62" s="567"/>
      <c r="I62" s="530"/>
      <c r="J62" s="586"/>
      <c r="K62" s="567"/>
      <c r="L62" s="512"/>
      <c r="M62" s="545"/>
      <c r="N62" s="567"/>
      <c r="O62" s="513"/>
      <c r="P62" s="567"/>
      <c r="Q62" s="567"/>
      <c r="R62" s="545"/>
      <c r="S62" s="567"/>
      <c r="T62" s="545"/>
      <c r="U62" s="567"/>
    </row>
    <row r="63" spans="1:23">
      <c r="A63" s="512" t="s">
        <v>330</v>
      </c>
      <c r="B63" s="96"/>
      <c r="C63" s="955"/>
      <c r="D63" s="558" t="s">
        <v>582</v>
      </c>
      <c r="E63" s="957"/>
      <c r="F63" s="563">
        <v>0</v>
      </c>
      <c r="G63" s="390">
        <f>$K$33</f>
        <v>6.0092045037838902E-2</v>
      </c>
      <c r="H63" s="265">
        <f>F63*G63</f>
        <v>0</v>
      </c>
      <c r="I63" s="97">
        <v>0</v>
      </c>
      <c r="J63" s="390">
        <f>$K$43</f>
        <v>0.10475298591269923</v>
      </c>
      <c r="K63" s="567">
        <f>I63*J63</f>
        <v>0</v>
      </c>
      <c r="L63" s="512" t="str">
        <f t="shared" ref="L63:L69" si="2">+A63</f>
        <v>3a</v>
      </c>
      <c r="M63" s="563">
        <v>0</v>
      </c>
      <c r="N63" s="265">
        <f>H63+K63+M63</f>
        <v>0</v>
      </c>
      <c r="O63" s="281">
        <v>0</v>
      </c>
      <c r="P63" s="265">
        <f>O63/100*'2-Incentive ROE'!$J$38*I63</f>
        <v>0</v>
      </c>
      <c r="Q63" s="265">
        <f>+N63+P63</f>
        <v>0</v>
      </c>
      <c r="R63" s="563">
        <v>0</v>
      </c>
      <c r="S63" s="567">
        <f>+N63+P63-R63</f>
        <v>0</v>
      </c>
      <c r="T63" s="563">
        <f>+'3-Project True-up'!L23</f>
        <v>0</v>
      </c>
      <c r="U63" s="265">
        <f>+S63+T63</f>
        <v>0</v>
      </c>
    </row>
    <row r="64" spans="1:23">
      <c r="A64" s="512" t="s">
        <v>331</v>
      </c>
      <c r="B64" s="96"/>
      <c r="C64" s="955"/>
      <c r="D64" s="558"/>
      <c r="E64" s="957"/>
      <c r="F64" s="563">
        <v>0</v>
      </c>
      <c r="G64" s="390">
        <f>$K$33</f>
        <v>6.0092045037838902E-2</v>
      </c>
      <c r="H64" s="265">
        <f>F64*G64</f>
        <v>0</v>
      </c>
      <c r="I64" s="97">
        <v>0</v>
      </c>
      <c r="J64" s="390">
        <f>$K$43</f>
        <v>0.10475298591269923</v>
      </c>
      <c r="K64" s="567">
        <f>I64*J64</f>
        <v>0</v>
      </c>
      <c r="L64" s="512" t="str">
        <f t="shared" si="2"/>
        <v>3b</v>
      </c>
      <c r="M64" s="563">
        <v>0</v>
      </c>
      <c r="N64" s="265">
        <f>H64+K64+M64</f>
        <v>0</v>
      </c>
      <c r="O64" s="281">
        <v>0</v>
      </c>
      <c r="P64" s="265">
        <f>O64/100*'2-Incentive ROE'!$J$38*I64</f>
        <v>0</v>
      </c>
      <c r="Q64" s="265">
        <f>+N64+P64</f>
        <v>0</v>
      </c>
      <c r="R64" s="563">
        <v>0</v>
      </c>
      <c r="S64" s="567">
        <f>+N64+P64-R64</f>
        <v>0</v>
      </c>
      <c r="T64" s="563">
        <f>+'3-Project True-up'!L24</f>
        <v>0</v>
      </c>
      <c r="U64" s="265">
        <f>+S64+T64</f>
        <v>0</v>
      </c>
    </row>
    <row r="65" spans="1:21" s="539" customFormat="1">
      <c r="A65" s="516">
        <v>4</v>
      </c>
      <c r="B65" s="517"/>
      <c r="C65" s="517" t="s">
        <v>584</v>
      </c>
      <c r="D65" s="517"/>
      <c r="E65" s="958"/>
      <c r="F65" s="536">
        <f>+F63+F64</f>
        <v>0</v>
      </c>
      <c r="G65" s="510"/>
      <c r="H65" s="511">
        <f>+H63+H64</f>
        <v>0</v>
      </c>
      <c r="I65" s="535">
        <f>+I63+I64</f>
        <v>0</v>
      </c>
      <c r="J65" s="510"/>
      <c r="K65" s="511">
        <f>+K63+K64</f>
        <v>0</v>
      </c>
      <c r="L65" s="532">
        <f t="shared" si="2"/>
        <v>4</v>
      </c>
      <c r="M65" s="536">
        <f>+M63+M64</f>
        <v>0</v>
      </c>
      <c r="N65" s="511">
        <f>+N63+N64</f>
        <v>0</v>
      </c>
      <c r="O65" s="514"/>
      <c r="P65" s="511">
        <f t="shared" ref="P65:U65" si="3">+P63+P64</f>
        <v>0</v>
      </c>
      <c r="Q65" s="511">
        <f t="shared" si="3"/>
        <v>0</v>
      </c>
      <c r="R65" s="536">
        <f t="shared" si="3"/>
        <v>0</v>
      </c>
      <c r="S65" s="511">
        <f t="shared" si="3"/>
        <v>0</v>
      </c>
      <c r="T65" s="536">
        <f t="shared" si="3"/>
        <v>0</v>
      </c>
      <c r="U65" s="511">
        <f t="shared" si="3"/>
        <v>0</v>
      </c>
    </row>
    <row r="66" spans="1:21" s="539" customFormat="1">
      <c r="A66" s="515"/>
      <c r="B66" s="557"/>
      <c r="C66" s="557"/>
      <c r="D66" s="557"/>
      <c r="E66" s="529"/>
      <c r="F66" s="545"/>
      <c r="G66" s="586"/>
      <c r="H66" s="567"/>
      <c r="I66" s="530"/>
      <c r="J66" s="586"/>
      <c r="K66" s="567"/>
      <c r="L66" s="556"/>
      <c r="M66" s="545"/>
      <c r="N66" s="567"/>
      <c r="O66" s="513"/>
      <c r="P66" s="567"/>
      <c r="Q66" s="567"/>
      <c r="R66" s="545"/>
      <c r="S66" s="567"/>
      <c r="T66" s="545"/>
      <c r="U66" s="567"/>
    </row>
    <row r="67" spans="1:21" s="539" customFormat="1">
      <c r="A67" s="515">
        <f>+A65+1</f>
        <v>5</v>
      </c>
      <c r="B67" s="557"/>
      <c r="C67" s="558" t="s">
        <v>404</v>
      </c>
      <c r="D67" s="558"/>
      <c r="E67" s="559"/>
      <c r="F67" s="563"/>
      <c r="G67" s="586"/>
      <c r="H67" s="567"/>
      <c r="I67" s="560"/>
      <c r="J67" s="586"/>
      <c r="K67" s="567"/>
      <c r="L67" s="515">
        <f t="shared" si="2"/>
        <v>5</v>
      </c>
      <c r="M67" s="563"/>
      <c r="N67" s="567"/>
      <c r="O67" s="569"/>
      <c r="P67" s="567"/>
      <c r="Q67" s="567"/>
      <c r="R67" s="563"/>
      <c r="S67" s="567"/>
      <c r="T67" s="563"/>
      <c r="U67" s="567"/>
    </row>
    <row r="68" spans="1:21">
      <c r="A68" s="579"/>
      <c r="B68" s="46"/>
      <c r="C68" s="46"/>
      <c r="D68" s="544"/>
      <c r="E68" s="46"/>
      <c r="F68" s="509"/>
      <c r="G68" s="46"/>
      <c r="H68" s="417"/>
      <c r="I68" s="46"/>
      <c r="J68" s="46"/>
      <c r="K68" s="417"/>
      <c r="L68" s="579"/>
      <c r="M68" s="46"/>
      <c r="N68" s="417"/>
      <c r="O68" s="282"/>
      <c r="P68" s="485"/>
      <c r="Q68" s="485"/>
      <c r="R68" s="208"/>
      <c r="S68" s="207"/>
      <c r="T68" s="46"/>
      <c r="U68" s="266">
        <f>N68+T68</f>
        <v>0</v>
      </c>
    </row>
    <row r="69" spans="1:21">
      <c r="A69" s="654">
        <f>+A67+1</f>
        <v>6</v>
      </c>
      <c r="B69" s="655"/>
      <c r="C69" s="656" t="s">
        <v>159</v>
      </c>
      <c r="D69" s="656"/>
      <c r="E69" s="656"/>
      <c r="F69" s="657">
        <f>+F61+F65+F67</f>
        <v>11519160.989384614</v>
      </c>
      <c r="G69" s="658"/>
      <c r="H69" s="661">
        <f>+H61+H65+H67</f>
        <v>692209.94097221713</v>
      </c>
      <c r="I69" s="657">
        <f>+I61+I65+I67</f>
        <v>11519160.989384614</v>
      </c>
      <c r="J69" s="659"/>
      <c r="K69" s="661">
        <f>+K61+K65+K67</f>
        <v>1206666.5088471209</v>
      </c>
      <c r="L69" s="654">
        <f t="shared" si="2"/>
        <v>6</v>
      </c>
      <c r="M69" s="657">
        <f>+M61+M65+M67</f>
        <v>0</v>
      </c>
      <c r="N69" s="661">
        <f>+N61+N65+N67</f>
        <v>1898876.449819338</v>
      </c>
      <c r="O69" s="660"/>
      <c r="P69" s="661">
        <f t="shared" ref="P69:U69" si="4">+P61+P65+P67</f>
        <v>0</v>
      </c>
      <c r="Q69" s="661">
        <f t="shared" si="4"/>
        <v>1898876.449819338</v>
      </c>
      <c r="R69" s="661">
        <f t="shared" si="4"/>
        <v>0</v>
      </c>
      <c r="S69" s="661">
        <f t="shared" si="4"/>
        <v>1898876.449819338</v>
      </c>
      <c r="T69" s="661">
        <f t="shared" si="4"/>
        <v>-286101.9107137713</v>
      </c>
      <c r="U69" s="661">
        <f t="shared" si="4"/>
        <v>1612774.5391055667</v>
      </c>
    </row>
    <row r="70" spans="1:21">
      <c r="M70" s="49"/>
      <c r="N70" s="49"/>
      <c r="O70" s="49"/>
      <c r="P70" s="49"/>
      <c r="Q70" s="49"/>
    </row>
    <row r="71" spans="1:21">
      <c r="M71" s="49"/>
      <c r="N71" s="49"/>
      <c r="O71" s="49"/>
      <c r="P71" s="49"/>
      <c r="Q71" s="49"/>
    </row>
    <row r="72" spans="1:21">
      <c r="A72" s="546"/>
      <c r="L72" s="546"/>
    </row>
    <row r="73" spans="1:21" ht="13.5" thickBot="1">
      <c r="A73" s="533" t="s">
        <v>525</v>
      </c>
      <c r="L73" s="533" t="str">
        <f>+A73</f>
        <v>Notes</v>
      </c>
    </row>
    <row r="74" spans="1:21" s="411" customFormat="1" ht="27.75" customHeight="1">
      <c r="A74" s="98" t="s">
        <v>62</v>
      </c>
      <c r="C74" s="994" t="s">
        <v>880</v>
      </c>
      <c r="D74" s="994"/>
      <c r="E74" s="994"/>
      <c r="F74" s="994"/>
      <c r="G74" s="994"/>
      <c r="H74" s="994"/>
      <c r="I74" s="994"/>
      <c r="J74" s="994"/>
      <c r="K74" s="994"/>
      <c r="L74" s="561" t="str">
        <f>+A74</f>
        <v>A</v>
      </c>
      <c r="M74" s="994" t="str">
        <f>+C74</f>
        <v>Gross Transmission Plant is that identified on page 2 line 2 of Attachment H-30A inclusive of any CWIP included in rate base when authorized by FERC order.</v>
      </c>
      <c r="N74" s="994"/>
      <c r="O74" s="994"/>
      <c r="P74" s="994"/>
      <c r="Q74" s="994"/>
      <c r="R74" s="994"/>
      <c r="S74" s="994"/>
      <c r="T74" s="994"/>
      <c r="U74" s="994"/>
    </row>
    <row r="75" spans="1:21" ht="29.25" customHeight="1">
      <c r="A75" s="98" t="s">
        <v>63</v>
      </c>
      <c r="C75" s="994" t="s">
        <v>881</v>
      </c>
      <c r="D75" s="994"/>
      <c r="E75" s="994"/>
      <c r="F75" s="994"/>
      <c r="G75" s="994"/>
      <c r="H75" s="994"/>
      <c r="I75" s="994"/>
      <c r="J75" s="994"/>
      <c r="K75" s="994"/>
      <c r="L75" s="561" t="str">
        <f t="shared" ref="L75:L82" si="5">+A75</f>
        <v>B</v>
      </c>
      <c r="M75" s="994" t="str">
        <f t="shared" ref="M75:M82" si="6">+C75</f>
        <v>Net Plant is that identified on page 2 line 14 of Attachment H-30A inclusive of any CWIP or unamortized Abandoned Plant included in rate base when authorized by FERC order less any prefunded AFUDC, if applicable.</v>
      </c>
      <c r="N75" s="994"/>
      <c r="O75" s="994"/>
      <c r="P75" s="994"/>
      <c r="Q75" s="994"/>
      <c r="R75" s="994"/>
      <c r="S75" s="994"/>
      <c r="T75" s="994"/>
      <c r="U75" s="994"/>
    </row>
    <row r="76" spans="1:21" s="411" customFormat="1" ht="15" customHeight="1">
      <c r="A76" s="98" t="s">
        <v>64</v>
      </c>
      <c r="B76" s="478"/>
      <c r="C76" s="994" t="s">
        <v>633</v>
      </c>
      <c r="D76" s="994"/>
      <c r="E76" s="994"/>
      <c r="F76" s="994"/>
      <c r="G76" s="994"/>
      <c r="H76" s="994"/>
      <c r="I76" s="994"/>
      <c r="J76" s="994"/>
      <c r="K76" s="994"/>
      <c r="L76" s="561" t="str">
        <f t="shared" si="5"/>
        <v>C</v>
      </c>
      <c r="M76" s="994" t="str">
        <f t="shared" si="6"/>
        <v>General and Intangible Depreciation and Amortization Expense includes all expense not directly associated with a project, which is entered on page 3 , column 9.</v>
      </c>
      <c r="N76" s="994"/>
      <c r="O76" s="994"/>
      <c r="P76" s="994"/>
      <c r="Q76" s="994"/>
      <c r="R76" s="994"/>
      <c r="S76" s="994"/>
      <c r="T76" s="994"/>
      <c r="U76" s="994"/>
    </row>
    <row r="77" spans="1:21" ht="30" customHeight="1">
      <c r="A77" s="98" t="s">
        <v>65</v>
      </c>
      <c r="C77" s="994" t="s">
        <v>500</v>
      </c>
      <c r="D77" s="994"/>
      <c r="E77" s="994"/>
      <c r="F77" s="994"/>
      <c r="G77" s="994"/>
      <c r="H77" s="994"/>
      <c r="I77" s="994"/>
      <c r="J77" s="994"/>
      <c r="K77" s="994"/>
      <c r="L77" s="561" t="str">
        <f t="shared" si="5"/>
        <v>D</v>
      </c>
      <c r="M77" s="994"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4"/>
      <c r="O77" s="994"/>
      <c r="P77" s="994"/>
      <c r="Q77" s="994"/>
      <c r="R77" s="994"/>
      <c r="S77" s="994"/>
      <c r="T77" s="994"/>
      <c r="U77" s="994"/>
    </row>
    <row r="78" spans="1:21" ht="29.25" customHeight="1">
      <c r="A78" s="98" t="s">
        <v>66</v>
      </c>
      <c r="C78" s="994" t="s">
        <v>836</v>
      </c>
      <c r="D78" s="994"/>
      <c r="E78" s="994"/>
      <c r="F78" s="994"/>
      <c r="G78" s="994"/>
      <c r="H78" s="994"/>
      <c r="I78" s="994"/>
      <c r="J78" s="994"/>
      <c r="K78" s="994"/>
      <c r="L78" s="561" t="str">
        <f t="shared" si="5"/>
        <v>E</v>
      </c>
      <c r="M78" s="994" t="str">
        <f t="shared" si="6"/>
        <v>Project Net Plant is the Project Gross Plant Identified in Column 3 less the associated Accumulated Depreciation plus CWIP in rate base, if applicable and Unamortized Abandoned Plant, if applicable.</v>
      </c>
      <c r="N78" s="994"/>
      <c r="O78" s="994"/>
      <c r="P78" s="994"/>
      <c r="Q78" s="994"/>
      <c r="R78" s="994"/>
      <c r="S78" s="994"/>
      <c r="T78" s="994"/>
      <c r="U78" s="994"/>
    </row>
    <row r="79" spans="1:21" ht="27" customHeight="1">
      <c r="A79" s="98" t="s">
        <v>67</v>
      </c>
      <c r="C79" s="994" t="s">
        <v>882</v>
      </c>
      <c r="D79" s="994"/>
      <c r="E79" s="994"/>
      <c r="F79" s="994"/>
      <c r="G79" s="994"/>
      <c r="H79" s="994"/>
      <c r="I79" s="994"/>
      <c r="J79" s="994"/>
      <c r="K79" s="994"/>
      <c r="L79" s="561" t="str">
        <f t="shared" si="5"/>
        <v>F</v>
      </c>
      <c r="M79" s="994" t="str">
        <f t="shared" si="6"/>
        <v>Project Depreciation Expense is the actual value booked for the project (excluding General and Intangible depreciation) at Attachment H-30A, page 3, line 19, plus amortization of Abandoned Plant at Attachment H-30A, page 3, line 21, if applicable.</v>
      </c>
      <c r="N79" s="994"/>
      <c r="O79" s="994"/>
      <c r="P79" s="994"/>
      <c r="Q79" s="994"/>
      <c r="R79" s="994"/>
      <c r="S79" s="994"/>
      <c r="T79" s="994"/>
      <c r="U79" s="994"/>
    </row>
    <row r="80" spans="1:21">
      <c r="A80" s="484" t="s">
        <v>68</v>
      </c>
      <c r="C80" s="483" t="s">
        <v>501</v>
      </c>
      <c r="D80" s="600"/>
      <c r="E80" s="483"/>
      <c r="F80" s="483"/>
      <c r="G80" s="483"/>
      <c r="H80" s="483"/>
      <c r="I80" s="483"/>
      <c r="J80" s="483"/>
      <c r="K80" s="483"/>
      <c r="L80" s="561" t="str">
        <f t="shared" si="5"/>
        <v>G</v>
      </c>
      <c r="M80" s="994" t="str">
        <f t="shared" si="6"/>
        <v>Requires approval by FERC of incentive return applicable to the specified project(s).</v>
      </c>
      <c r="N80" s="994"/>
      <c r="O80" s="994"/>
      <c r="P80" s="994"/>
      <c r="Q80" s="994"/>
      <c r="R80" s="994"/>
      <c r="S80" s="994"/>
      <c r="T80" s="994"/>
      <c r="U80" s="994"/>
    </row>
    <row r="81" spans="1:21" ht="90.75" customHeight="1">
      <c r="A81" s="98" t="s">
        <v>69</v>
      </c>
      <c r="C81" s="995" t="s">
        <v>909</v>
      </c>
      <c r="D81" s="995"/>
      <c r="E81" s="995"/>
      <c r="F81" s="995"/>
      <c r="G81" s="995"/>
      <c r="H81" s="995"/>
      <c r="I81" s="995"/>
      <c r="J81" s="995"/>
      <c r="K81" s="995"/>
      <c r="L81" s="561" t="str">
        <f t="shared" si="5"/>
        <v>H</v>
      </c>
      <c r="M81" s="994"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4"/>
      <c r="O81" s="994"/>
      <c r="P81" s="994"/>
      <c r="Q81" s="994"/>
      <c r="R81" s="994"/>
      <c r="S81" s="994"/>
      <c r="T81" s="994"/>
      <c r="U81" s="994"/>
    </row>
    <row r="82" spans="1:21">
      <c r="A82" s="98" t="s">
        <v>70</v>
      </c>
      <c r="C82" s="995" t="s">
        <v>587</v>
      </c>
      <c r="D82" s="995"/>
      <c r="E82" s="995"/>
      <c r="F82" s="995"/>
      <c r="G82" s="995"/>
      <c r="H82" s="995"/>
      <c r="I82" s="995"/>
      <c r="J82" s="995"/>
      <c r="K82" s="995"/>
      <c r="L82" s="561" t="str">
        <f t="shared" si="5"/>
        <v>I</v>
      </c>
      <c r="M82" s="994" t="str">
        <f t="shared" si="6"/>
        <v>True-Up Adjustment is calculated on the Project True-up Schedule for the relevant true-up year.</v>
      </c>
      <c r="N82" s="994"/>
      <c r="O82" s="994"/>
      <c r="P82" s="994"/>
      <c r="Q82" s="994"/>
      <c r="R82" s="994"/>
      <c r="S82" s="994"/>
      <c r="T82" s="994"/>
      <c r="U82" s="994"/>
    </row>
    <row r="83" spans="1:21" ht="15.75" customHeight="1">
      <c r="A83" s="98"/>
      <c r="C83" s="994"/>
      <c r="D83" s="994"/>
      <c r="E83" s="994"/>
      <c r="F83" s="994"/>
      <c r="G83" s="994"/>
      <c r="H83" s="994"/>
      <c r="I83" s="994"/>
      <c r="J83" s="994"/>
      <c r="K83" s="994"/>
      <c r="L83" s="444"/>
      <c r="M83" s="483"/>
      <c r="N83" s="483"/>
      <c r="O83" s="483"/>
      <c r="P83" s="483"/>
      <c r="Q83" s="483"/>
      <c r="R83" s="483"/>
      <c r="S83" s="483"/>
    </row>
    <row r="85" spans="1:21">
      <c r="C85" s="320"/>
      <c r="D85" s="581"/>
    </row>
    <row r="86" spans="1:21">
      <c r="C86" s="320"/>
      <c r="D86" s="581"/>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legacy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heetViews>
  <sheetFormatPr defaultColWidth="8.88671875" defaultRowHeight="15.75"/>
  <cols>
    <col min="1" max="1" width="5.5546875" style="260" customWidth="1"/>
    <col min="2" max="2" width="21.5546875" style="225" customWidth="1"/>
    <col min="3" max="3" width="35.5546875" style="225" customWidth="1"/>
    <col min="4" max="4" width="29.109375" style="225" customWidth="1"/>
    <col min="5" max="5" width="11" style="225" customWidth="1"/>
    <col min="6" max="6" width="6.5546875" style="225" customWidth="1"/>
    <col min="7" max="7" width="4.77734375" style="225" customWidth="1"/>
    <col min="8" max="8" width="6.44140625" style="225" bestFit="1" customWidth="1"/>
    <col min="9" max="9" width="10" style="231" customWidth="1"/>
    <col min="10" max="10" width="12.88671875" style="225" bestFit="1" customWidth="1"/>
    <col min="11" max="16384" width="8.88671875" style="225"/>
  </cols>
  <sheetData>
    <row r="1" spans="1:10">
      <c r="B1" s="998" t="s">
        <v>236</v>
      </c>
      <c r="C1" s="998"/>
      <c r="D1" s="998"/>
      <c r="E1" s="998"/>
      <c r="F1" s="998"/>
      <c r="G1" s="998"/>
      <c r="H1" s="998"/>
      <c r="I1" s="998"/>
      <c r="J1" s="998"/>
    </row>
    <row r="2" spans="1:10">
      <c r="B2" s="998" t="s">
        <v>290</v>
      </c>
      <c r="C2" s="998"/>
      <c r="D2" s="998"/>
      <c r="E2" s="998"/>
      <c r="F2" s="998"/>
      <c r="G2" s="998"/>
      <c r="H2" s="998"/>
      <c r="I2" s="998"/>
      <c r="J2" s="998"/>
    </row>
    <row r="3" spans="1:10">
      <c r="B3" s="998" t="str">
        <f>+'Attachment H-30A'!D5</f>
        <v>Transource Maryland, LLC</v>
      </c>
      <c r="C3" s="998"/>
      <c r="D3" s="998"/>
      <c r="E3" s="998"/>
      <c r="F3" s="998"/>
      <c r="G3" s="998"/>
      <c r="H3" s="998"/>
      <c r="I3" s="998"/>
      <c r="J3" s="998"/>
    </row>
    <row r="5" spans="1:10">
      <c r="A5" s="260">
        <v>1</v>
      </c>
      <c r="B5" s="225" t="s">
        <v>284</v>
      </c>
      <c r="C5" s="225" t="str">
        <f>"Attachment H-30A, page 2, line "&amp;'Attachment H-30A'!A105&amp;", Col.5"</f>
        <v>Attachment H-30A, page 2, line 35, Col.5</v>
      </c>
      <c r="I5" s="225"/>
      <c r="J5" s="260">
        <f>+'Attachment H-30A'!I105</f>
        <v>11947253.516299272</v>
      </c>
    </row>
    <row r="6" spans="1:10">
      <c r="I6" s="225"/>
      <c r="J6" s="231"/>
    </row>
    <row r="7" spans="1:10" ht="16.5"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5" thickBot="1">
      <c r="A9" s="227"/>
      <c r="B9" s="232"/>
      <c r="C9" s="229"/>
      <c r="D9" s="847" t="s">
        <v>199</v>
      </c>
      <c r="E9" s="234" t="s">
        <v>48</v>
      </c>
      <c r="F9" s="234" t="s">
        <v>58</v>
      </c>
      <c r="G9" s="229"/>
      <c r="H9" s="234"/>
      <c r="I9" s="234" t="s">
        <v>59</v>
      </c>
      <c r="J9" s="231"/>
    </row>
    <row r="10" spans="1:10">
      <c r="A10" s="227">
        <f>+A7+1</f>
        <v>3</v>
      </c>
      <c r="B10" s="228" t="s">
        <v>227</v>
      </c>
      <c r="C10" s="32" t="s">
        <v>891</v>
      </c>
      <c r="D10" s="235"/>
      <c r="E10" s="471">
        <f>+'Attachment H-30A'!D203</f>
        <v>8080769.230769231</v>
      </c>
      <c r="F10" s="473">
        <f>+'Attachment H-30A'!E203</f>
        <v>0.4</v>
      </c>
      <c r="G10" s="474"/>
      <c r="H10" s="477">
        <f>+'Attachment H-30A'!G203</f>
        <v>3.7274359828653021E-2</v>
      </c>
      <c r="I10" s="475">
        <f>F10*H10</f>
        <v>1.490974393146121E-2</v>
      </c>
      <c r="J10" s="231"/>
    </row>
    <row r="11" spans="1:10">
      <c r="A11" s="227">
        <f>+A10+1</f>
        <v>4</v>
      </c>
      <c r="B11" s="228" t="s">
        <v>285</v>
      </c>
      <c r="C11" s="32" t="s">
        <v>891</v>
      </c>
      <c r="D11" s="235"/>
      <c r="E11" s="471">
        <f>+'Attachment H-30A'!D204</f>
        <v>0</v>
      </c>
      <c r="F11" s="473">
        <f>+'Attachment H-30A'!E204</f>
        <v>0</v>
      </c>
      <c r="G11" s="474"/>
      <c r="H11" s="477">
        <f>+'Attachment H-30A'!G204</f>
        <v>0</v>
      </c>
      <c r="I11" s="475">
        <f>F11*H11</f>
        <v>0</v>
      </c>
      <c r="J11" s="231"/>
    </row>
    <row r="12" spans="1:10" ht="32.25" thickBot="1">
      <c r="A12" s="227">
        <f>+A11+1</f>
        <v>5</v>
      </c>
      <c r="B12" s="228" t="s">
        <v>262</v>
      </c>
      <c r="C12" s="32" t="s">
        <v>892</v>
      </c>
      <c r="D12" s="275" t="s">
        <v>893</v>
      </c>
      <c r="E12" s="471">
        <f>+'Attachment H-30A'!D205</f>
        <v>12121153.846153846</v>
      </c>
      <c r="F12" s="473">
        <f>+'Attachment H-30A'!E205</f>
        <v>0.6</v>
      </c>
      <c r="G12" s="474"/>
      <c r="H12" s="477">
        <f>+'Attachment H-30A'!G205+0.01</f>
        <v>0.114</v>
      </c>
      <c r="I12" s="476">
        <f>F12*H12</f>
        <v>6.8400000000000002E-2</v>
      </c>
      <c r="J12" s="231"/>
    </row>
    <row r="13" spans="1:10">
      <c r="A13" s="227">
        <f>+A12+1</f>
        <v>6</v>
      </c>
      <c r="B13" s="232" t="s">
        <v>510</v>
      </c>
      <c r="C13" s="236"/>
      <c r="D13" s="236"/>
      <c r="E13" s="471">
        <f>SUM(E10:E12)</f>
        <v>20201923.076923076</v>
      </c>
      <c r="F13" s="226" t="s">
        <v>2</v>
      </c>
      <c r="G13" s="226"/>
      <c r="H13" s="472"/>
      <c r="I13" s="475">
        <f>SUM(I10:I12)</f>
        <v>8.3309743931461205E-2</v>
      </c>
      <c r="J13" s="231"/>
    </row>
    <row r="14" spans="1:10">
      <c r="A14" s="227">
        <f t="shared" ref="A14:A38" si="0">+A13+1</f>
        <v>7</v>
      </c>
      <c r="B14" s="232" t="s">
        <v>750</v>
      </c>
      <c r="C14" s="236"/>
      <c r="D14" s="236"/>
      <c r="E14" s="237"/>
      <c r="F14" s="229"/>
      <c r="G14" s="229"/>
      <c r="H14" s="229"/>
      <c r="I14" s="486"/>
      <c r="J14" s="260">
        <f>+I13*J5</f>
        <v>995322.63112714177</v>
      </c>
    </row>
    <row r="15" spans="1:10">
      <c r="A15" s="227"/>
      <c r="I15" s="487"/>
      <c r="J15" s="487"/>
    </row>
    <row r="16" spans="1:10">
      <c r="A16" s="227">
        <f>+A14+1</f>
        <v>8</v>
      </c>
      <c r="B16" s="232" t="s">
        <v>40</v>
      </c>
      <c r="C16" s="238"/>
      <c r="D16" s="238"/>
      <c r="E16" s="229"/>
      <c r="F16" s="229"/>
      <c r="G16" s="236"/>
      <c r="H16" s="239"/>
      <c r="I16" s="486"/>
      <c r="J16" s="487"/>
    </row>
    <row r="17" spans="1:10">
      <c r="A17" s="227">
        <f t="shared" si="0"/>
        <v>9</v>
      </c>
      <c r="B17" s="240" t="s">
        <v>733</v>
      </c>
      <c r="C17" s="229"/>
      <c r="D17" s="502"/>
      <c r="E17" s="665">
        <f>IF('Attachment H-30A'!D237&gt;0,1-(((1-'Attachment H-30A'!D238)*(1-'Attachment H-30A'!D237))/(1-'Attachment H-30A'!D237*'Attachment H-30A'!D238*'Attachment H-30A'!D239)),0)</f>
        <v>0.27517499999999995</v>
      </c>
      <c r="F17" s="665"/>
      <c r="G17" s="236"/>
      <c r="H17" s="239"/>
      <c r="I17" s="486"/>
      <c r="J17" s="487"/>
    </row>
    <row r="18" spans="1:10">
      <c r="A18" s="227">
        <f t="shared" si="0"/>
        <v>10</v>
      </c>
      <c r="B18" s="236" t="s">
        <v>41</v>
      </c>
      <c r="C18" s="229"/>
      <c r="D18" s="502"/>
      <c r="E18" s="665">
        <f>IF(I13&gt;0,(E17/(1-E17))*(1-I10/I13),0)</f>
        <v>0.31169950534500812</v>
      </c>
      <c r="F18" s="229"/>
      <c r="G18" s="236"/>
      <c r="H18" s="239"/>
      <c r="I18" s="486"/>
      <c r="J18" s="487"/>
    </row>
    <row r="19" spans="1:10">
      <c r="A19" s="227">
        <f t="shared" si="0"/>
        <v>11</v>
      </c>
      <c r="B19" s="238" t="s">
        <v>286</v>
      </c>
      <c r="C19" s="238"/>
      <c r="D19" s="502"/>
      <c r="E19" s="229"/>
      <c r="F19" s="229"/>
      <c r="G19" s="236"/>
      <c r="H19" s="239"/>
      <c r="I19" s="486"/>
      <c r="J19" s="487"/>
    </row>
    <row r="20" spans="1:10">
      <c r="A20" s="227">
        <f t="shared" si="0"/>
        <v>12</v>
      </c>
      <c r="B20" s="241" t="s">
        <v>894</v>
      </c>
      <c r="C20" s="238"/>
      <c r="D20" s="238"/>
      <c r="E20" s="229"/>
      <c r="F20" s="229"/>
      <c r="G20" s="236"/>
      <c r="H20" s="239"/>
      <c r="I20" s="486"/>
      <c r="J20" s="487"/>
    </row>
    <row r="21" spans="1:10">
      <c r="A21" s="227">
        <f t="shared" si="0"/>
        <v>13</v>
      </c>
      <c r="B21" s="242" t="str">
        <f>"      1 / (1 - T)  =  (from line "&amp;A17&amp;")"</f>
        <v xml:space="preserve">      1 / (1 - T)  =  (from line 9)</v>
      </c>
      <c r="C21" s="238"/>
      <c r="D21" s="238"/>
      <c r="E21" s="665">
        <f>IF(E17&gt;0,1/(1-E17),0)</f>
        <v>1.3796433621908735</v>
      </c>
      <c r="F21" s="229"/>
      <c r="G21" s="236"/>
      <c r="H21" s="239"/>
      <c r="I21" s="486"/>
      <c r="J21" s="487"/>
    </row>
    <row r="22" spans="1:10">
      <c r="A22" s="227">
        <f t="shared" si="0"/>
        <v>14</v>
      </c>
      <c r="B22" s="241" t="s">
        <v>238</v>
      </c>
      <c r="C22" s="238"/>
      <c r="D22" s="238" t="s">
        <v>895</v>
      </c>
      <c r="E22" s="243">
        <f>+'Attachment H-30A'!D159</f>
        <v>0</v>
      </c>
      <c r="F22" s="229"/>
      <c r="G22" s="236"/>
      <c r="H22" s="239"/>
      <c r="I22" s="486"/>
      <c r="J22" s="487"/>
    </row>
    <row r="23" spans="1:10">
      <c r="A23" s="227">
        <f t="shared" si="0"/>
        <v>15</v>
      </c>
      <c r="B23" s="241" t="s">
        <v>239</v>
      </c>
      <c r="C23" s="238"/>
      <c r="D23" s="238" t="s">
        <v>896</v>
      </c>
      <c r="E23" s="243">
        <f>+'Attachment H-30A'!D160</f>
        <v>0</v>
      </c>
      <c r="F23" s="229"/>
      <c r="G23" s="236"/>
      <c r="H23" s="244"/>
      <c r="I23" s="486"/>
      <c r="J23" s="487"/>
    </row>
    <row r="24" spans="1:10">
      <c r="A24" s="227">
        <f t="shared" si="0"/>
        <v>16</v>
      </c>
      <c r="B24" s="241" t="s">
        <v>287</v>
      </c>
      <c r="C24" s="238"/>
      <c r="D24" s="238" t="s">
        <v>897</v>
      </c>
      <c r="E24" s="490">
        <f>+'Attachment H-30A'!D161</f>
        <v>0</v>
      </c>
      <c r="F24" s="229"/>
      <c r="G24" s="236"/>
      <c r="H24" s="239"/>
      <c r="I24" s="486"/>
      <c r="J24" s="487"/>
    </row>
    <row r="25" spans="1:10">
      <c r="A25" s="227">
        <f t="shared" si="0"/>
        <v>17</v>
      </c>
      <c r="B25" s="242" t="str">
        <f>"Income Tax Calculation = line "&amp;A14&amp;" * line "&amp;A18&amp;""</f>
        <v>Income Tax Calculation = line 7 * line 10</v>
      </c>
      <c r="C25" s="245"/>
      <c r="E25" s="263"/>
      <c r="F25" s="246"/>
      <c r="G25" s="246"/>
      <c r="H25" s="247"/>
      <c r="I25" s="488">
        <f>+E18*J14</f>
        <v>310241.57178102207</v>
      </c>
      <c r="J25" s="487"/>
    </row>
    <row r="26" spans="1:10">
      <c r="A26" s="227">
        <f t="shared" si="0"/>
        <v>18</v>
      </c>
      <c r="B26" s="235" t="str">
        <f>"ITC adjustment (line "&amp;A21&amp;" * line "&amp;A22&amp;")"</f>
        <v>ITC adjustment (line 13 * line 14)</v>
      </c>
      <c r="C26" s="245"/>
      <c r="D26" s="245"/>
      <c r="E26" s="263">
        <f>+E$21*E22</f>
        <v>0</v>
      </c>
      <c r="F26" s="246"/>
      <c r="G26" s="248" t="s">
        <v>27</v>
      </c>
      <c r="H26" s="226">
        <f>+'Attachment H-30A'!G83</f>
        <v>1</v>
      </c>
      <c r="I26" s="488">
        <f>+E26*H26</f>
        <v>0</v>
      </c>
      <c r="J26" s="487"/>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8">
        <f>+E27*H27</f>
        <v>0</v>
      </c>
      <c r="J27" s="487"/>
    </row>
    <row r="28" spans="1:10">
      <c r="A28" s="227">
        <f t="shared" si="0"/>
        <v>20</v>
      </c>
      <c r="B28" s="235" t="str">
        <f>"Permanent Differences Tax Adjustment (line "&amp;A21&amp;" * "&amp;A24&amp;")"</f>
        <v>Permanent Differences Tax Adjustment (line 13 * 16)</v>
      </c>
      <c r="C28" s="245"/>
      <c r="D28" s="245"/>
      <c r="E28" s="489">
        <f>+E$21*E24</f>
        <v>0</v>
      </c>
      <c r="F28" s="246"/>
      <c r="G28" s="248" t="s">
        <v>27</v>
      </c>
      <c r="H28" s="226">
        <f>H27</f>
        <v>1</v>
      </c>
      <c r="I28" s="489">
        <f>+E28*H28</f>
        <v>0</v>
      </c>
      <c r="J28" s="487"/>
    </row>
    <row r="29" spans="1:10">
      <c r="A29" s="227">
        <f t="shared" si="0"/>
        <v>21</v>
      </c>
      <c r="B29" s="249" t="str">
        <f>"Total Income Taxes (sum lines "&amp;A25&amp;" - "&amp;A28&amp;")"</f>
        <v>Total Income Taxes (sum lines 17 - 20)</v>
      </c>
      <c r="C29" s="235"/>
      <c r="D29" s="235"/>
      <c r="E29" s="243"/>
      <c r="F29" s="246"/>
      <c r="G29" s="246" t="s">
        <v>2</v>
      </c>
      <c r="H29" s="247" t="s">
        <v>2</v>
      </c>
      <c r="I29" s="490">
        <f>SUM(I25:I28)</f>
        <v>310241.57178102207</v>
      </c>
      <c r="J29" s="260">
        <f>+I29</f>
        <v>310241.57178102207</v>
      </c>
    </row>
    <row r="30" spans="1:10">
      <c r="A30" s="227"/>
      <c r="I30" s="487"/>
      <c r="J30" s="487"/>
    </row>
    <row r="31" spans="1:10">
      <c r="A31" s="227">
        <f>+A29+1</f>
        <v>22</v>
      </c>
      <c r="B31" s="235" t="s">
        <v>744</v>
      </c>
      <c r="D31" s="238" t="str">
        <f>"(line "&amp;A14&amp;" + line "&amp;A29&amp;")"</f>
        <v>(line 7 + line 21)</v>
      </c>
      <c r="I31" s="487"/>
      <c r="J31" s="260">
        <f>+J29+J14</f>
        <v>1305564.2029081639</v>
      </c>
    </row>
    <row r="32" spans="1:10">
      <c r="A32" s="227"/>
      <c r="I32" s="487"/>
      <c r="J32" s="487"/>
    </row>
    <row r="33" spans="1:10">
      <c r="A33" s="227">
        <f>+A31+1</f>
        <v>23</v>
      </c>
      <c r="B33" s="225" t="s">
        <v>898</v>
      </c>
      <c r="I33" s="487"/>
      <c r="J33" s="260">
        <f>+'Attachment H-30A'!I169</f>
        <v>923639.11002934631</v>
      </c>
    </row>
    <row r="34" spans="1:10">
      <c r="A34" s="227">
        <f t="shared" si="0"/>
        <v>24</v>
      </c>
      <c r="B34" s="225" t="s">
        <v>899</v>
      </c>
      <c r="I34" s="487"/>
      <c r="J34" s="260">
        <f>+'Attachment H-30A'!I166</f>
        <v>283027.39881777461</v>
      </c>
    </row>
    <row r="35" spans="1:10">
      <c r="A35" s="227">
        <f t="shared" si="0"/>
        <v>25</v>
      </c>
      <c r="B35" s="235" t="s">
        <v>745</v>
      </c>
      <c r="D35" s="238" t="str">
        <f>"(line "&amp;A33&amp;" + line "&amp;A34&amp;")"</f>
        <v>(line 23 + line 24)</v>
      </c>
      <c r="I35" s="487"/>
      <c r="J35" s="690">
        <f>SUM(J33:J34)</f>
        <v>1206666.5088471209</v>
      </c>
    </row>
    <row r="36" spans="1:10">
      <c r="A36" s="227">
        <f t="shared" si="0"/>
        <v>26</v>
      </c>
      <c r="B36" s="235" t="s">
        <v>746</v>
      </c>
      <c r="D36" s="238" t="str">
        <f>"(line "&amp;A31&amp;" - line "&amp;A35&amp;")"</f>
        <v>(line 22 - line 25)</v>
      </c>
      <c r="I36" s="225"/>
      <c r="J36" s="846">
        <f>+J31-J35</f>
        <v>98897.694061042974</v>
      </c>
    </row>
    <row r="37" spans="1:10">
      <c r="A37" s="227">
        <f t="shared" si="0"/>
        <v>27</v>
      </c>
      <c r="B37" s="225" t="s">
        <v>288</v>
      </c>
      <c r="I37" s="225"/>
      <c r="J37" s="276">
        <f>+J5</f>
        <v>11947253.516299272</v>
      </c>
    </row>
    <row r="38" spans="1:10">
      <c r="A38" s="227">
        <f t="shared" si="0"/>
        <v>28</v>
      </c>
      <c r="B38" s="225" t="s">
        <v>747</v>
      </c>
      <c r="I38" s="225"/>
      <c r="J38" s="277">
        <f>IF(J37=0,0,J36/J37)</f>
        <v>8.2778601731452236E-3</v>
      </c>
    </row>
    <row r="39" spans="1:10">
      <c r="I39" s="225"/>
      <c r="J39" s="231"/>
    </row>
    <row r="40" spans="1:10">
      <c r="A40" s="667" t="s">
        <v>267</v>
      </c>
      <c r="I40" s="225"/>
      <c r="J40" s="231"/>
    </row>
    <row r="41" spans="1:10">
      <c r="A41" s="666" t="s">
        <v>62</v>
      </c>
      <c r="B41" s="260" t="s">
        <v>748</v>
      </c>
      <c r="I41" s="225"/>
      <c r="J41" s="231"/>
    </row>
    <row r="42" spans="1:10">
      <c r="A42" s="666"/>
      <c r="B42" s="225" t="s">
        <v>749</v>
      </c>
      <c r="I42" s="225"/>
      <c r="J42" s="231"/>
    </row>
    <row r="43" spans="1:10">
      <c r="A43" s="666"/>
      <c r="B43" s="225" t="s">
        <v>634</v>
      </c>
      <c r="I43" s="225"/>
      <c r="J43" s="231"/>
    </row>
    <row r="44" spans="1:10">
      <c r="A44" s="666"/>
      <c r="B44" s="225" t="s">
        <v>635</v>
      </c>
      <c r="I44" s="225"/>
      <c r="J44" s="231"/>
    </row>
    <row r="45" spans="1:10">
      <c r="A45" s="666" t="s">
        <v>63</v>
      </c>
      <c r="B45" s="225" t="s">
        <v>268</v>
      </c>
      <c r="I45" s="225"/>
      <c r="J45" s="231"/>
    </row>
    <row r="46" spans="1:10">
      <c r="B46" s="225" t="s">
        <v>900</v>
      </c>
      <c r="I46" s="225"/>
      <c r="J46" s="231"/>
    </row>
    <row r="47" spans="1:10">
      <c r="A47" s="666" t="s">
        <v>64</v>
      </c>
      <c r="B47" s="225" t="s">
        <v>907</v>
      </c>
      <c r="I47" s="225"/>
      <c r="J47" s="231"/>
    </row>
    <row r="48" spans="1:10">
      <c r="B48" s="225" t="s">
        <v>908</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zoomScaleNormal="100" zoomScaleSheetLayoutView="70" workbookViewId="0"/>
  </sheetViews>
  <sheetFormatPr defaultColWidth="8.88671875" defaultRowHeight="12.75"/>
  <cols>
    <col min="1" max="1" width="6" style="437" customWidth="1"/>
    <col min="2" max="2" width="28.33203125" style="411" customWidth="1"/>
    <col min="3" max="3" width="12.109375" style="539" customWidth="1"/>
    <col min="4" max="4" width="21.6640625" style="411" customWidth="1"/>
    <col min="5" max="5" width="14.6640625" style="411" customWidth="1"/>
    <col min="6" max="6" width="14.5546875" style="411" customWidth="1"/>
    <col min="7" max="7" width="15.21875" style="411" customWidth="1"/>
    <col min="8" max="8" width="13.77734375" style="411" customWidth="1"/>
    <col min="9" max="9" width="12" style="411" customWidth="1"/>
    <col min="10" max="10" width="9.5546875" style="411" customWidth="1"/>
    <col min="11" max="11" width="12" style="411" customWidth="1"/>
    <col min="12" max="12" width="10.33203125" style="411" customWidth="1"/>
    <col min="13" max="13" width="13.5546875" style="411" customWidth="1"/>
    <col min="14" max="16384" width="8.88671875" style="411"/>
  </cols>
  <sheetData>
    <row r="1" spans="1:13">
      <c r="L1" s="407" t="s">
        <v>414</v>
      </c>
      <c r="M1" s="407"/>
    </row>
    <row r="2" spans="1:13">
      <c r="F2" s="408" t="s">
        <v>182</v>
      </c>
    </row>
    <row r="3" spans="1:13">
      <c r="F3" s="419" t="s">
        <v>553</v>
      </c>
    </row>
    <row r="4" spans="1:13">
      <c r="E4" s="407"/>
      <c r="F4" s="414" t="str">
        <f>+'Attachment H-30A'!D5</f>
        <v>Transource Maryland, LLC</v>
      </c>
      <c r="G4" s="407"/>
      <c r="H4" s="407"/>
      <c r="J4" s="407"/>
      <c r="K4" s="407"/>
      <c r="L4" s="407"/>
      <c r="M4" s="410"/>
    </row>
    <row r="5" spans="1:13">
      <c r="E5" s="407"/>
      <c r="G5" s="409"/>
      <c r="H5" s="409"/>
      <c r="J5" s="409"/>
      <c r="K5" s="409"/>
      <c r="L5" s="409"/>
      <c r="M5" s="410"/>
    </row>
    <row r="6" spans="1:13" ht="70.5" customHeight="1">
      <c r="B6" s="982" t="s">
        <v>589</v>
      </c>
      <c r="C6" s="982"/>
      <c r="D6" s="982"/>
      <c r="E6" s="982"/>
      <c r="F6" s="982"/>
      <c r="G6" s="982"/>
      <c r="H6" s="982"/>
      <c r="I6" s="982"/>
      <c r="J6" s="982"/>
      <c r="K6" s="982"/>
      <c r="L6" s="982"/>
      <c r="M6" s="588"/>
    </row>
    <row r="7" spans="1:13" s="418" customFormat="1" ht="27" customHeight="1">
      <c r="A7" s="438"/>
      <c r="B7" s="997" t="s">
        <v>665</v>
      </c>
      <c r="C7" s="997"/>
      <c r="D7" s="997"/>
      <c r="E7" s="997"/>
      <c r="F7" s="997"/>
      <c r="G7" s="997"/>
      <c r="H7" s="997"/>
      <c r="I7" s="997"/>
      <c r="J7" s="997"/>
      <c r="K7" s="415"/>
      <c r="L7" s="415"/>
      <c r="M7" s="415"/>
    </row>
    <row r="8" spans="1:13" s="568" customFormat="1" ht="18" customHeight="1">
      <c r="A8" s="583"/>
      <c r="B8" s="711"/>
      <c r="C8" s="711"/>
      <c r="D8" s="711"/>
      <c r="E8" s="711"/>
      <c r="F8" s="711"/>
      <c r="G8" s="711"/>
      <c r="H8" s="711"/>
      <c r="I8" s="711"/>
      <c r="J8" s="711"/>
      <c r="K8" s="564"/>
      <c r="L8" s="564"/>
      <c r="M8" s="564"/>
    </row>
    <row r="9" spans="1:13" s="418" customFormat="1" ht="15.75" customHeight="1">
      <c r="A9" s="527" t="s">
        <v>594</v>
      </c>
      <c r="B9" s="415"/>
      <c r="C9" s="564"/>
      <c r="D9" s="415"/>
      <c r="E9" s="1005" t="s">
        <v>485</v>
      </c>
      <c r="F9" s="1006"/>
      <c r="G9" s="1000" t="s">
        <v>552</v>
      </c>
      <c r="H9" s="450" t="s">
        <v>484</v>
      </c>
      <c r="I9" s="420"/>
      <c r="J9" s="423"/>
      <c r="K9" s="423"/>
      <c r="L9" s="421"/>
    </row>
    <row r="10" spans="1:13" s="418" customFormat="1" ht="15.75" customHeight="1">
      <c r="A10" s="438">
        <v>1</v>
      </c>
      <c r="B10" s="415" t="s">
        <v>712</v>
      </c>
      <c r="C10" s="564"/>
      <c r="D10" s="415"/>
      <c r="E10" s="1002" t="s">
        <v>304</v>
      </c>
      <c r="F10" s="1004"/>
      <c r="G10" s="1001"/>
      <c r="H10" s="424" t="s">
        <v>555</v>
      </c>
      <c r="I10" s="1002" t="s">
        <v>306</v>
      </c>
      <c r="J10" s="1003"/>
      <c r="K10" s="1003"/>
      <c r="L10" s="1004"/>
    </row>
    <row r="11" spans="1:13" s="418" customFormat="1">
      <c r="A11" s="438">
        <v>2</v>
      </c>
      <c r="B11" s="848">
        <v>2018</v>
      </c>
      <c r="C11" s="571"/>
      <c r="D11" s="415"/>
      <c r="E11" s="425"/>
      <c r="F11" s="425"/>
      <c r="G11" s="591">
        <v>1161651.96</v>
      </c>
      <c r="H11" s="426"/>
      <c r="I11" s="425"/>
      <c r="J11" s="425"/>
      <c r="K11" s="425"/>
      <c r="L11" s="425"/>
    </row>
    <row r="12" spans="1:13" s="418" customFormat="1">
      <c r="B12" s="427" t="s">
        <v>62</v>
      </c>
      <c r="C12" s="574"/>
      <c r="D12" s="427" t="s">
        <v>63</v>
      </c>
      <c r="E12" s="424" t="s">
        <v>64</v>
      </c>
      <c r="F12" s="424" t="s">
        <v>65</v>
      </c>
      <c r="G12" s="422" t="s">
        <v>66</v>
      </c>
      <c r="H12" s="428" t="s">
        <v>67</v>
      </c>
      <c r="I12" s="428" t="s">
        <v>68</v>
      </c>
      <c r="J12" s="428" t="s">
        <v>69</v>
      </c>
      <c r="K12" s="449" t="s">
        <v>70</v>
      </c>
      <c r="L12" s="428" t="s">
        <v>71</v>
      </c>
    </row>
    <row r="13" spans="1:13" s="418" customFormat="1">
      <c r="A13" s="438"/>
      <c r="B13" s="425"/>
      <c r="C13" s="572"/>
      <c r="D13" s="422"/>
      <c r="E13" s="422"/>
      <c r="F13" s="441" t="s">
        <v>307</v>
      </c>
      <c r="G13" s="422" t="s">
        <v>559</v>
      </c>
      <c r="H13" s="422"/>
      <c r="I13" s="425"/>
      <c r="J13" s="422" t="s">
        <v>479</v>
      </c>
      <c r="K13" s="425"/>
      <c r="L13" s="425"/>
    </row>
    <row r="14" spans="1:13" s="418" customFormat="1">
      <c r="A14" s="438"/>
      <c r="B14" s="426"/>
      <c r="C14" s="573"/>
      <c r="D14" s="575" t="s">
        <v>313</v>
      </c>
      <c r="E14" s="428"/>
      <c r="F14" s="439" t="s">
        <v>13</v>
      </c>
      <c r="G14" s="428" t="s">
        <v>379</v>
      </c>
      <c r="H14" s="428" t="s">
        <v>479</v>
      </c>
      <c r="I14" s="428" t="s">
        <v>380</v>
      </c>
      <c r="J14" s="428" t="s">
        <v>273</v>
      </c>
      <c r="K14" s="428" t="s">
        <v>325</v>
      </c>
      <c r="L14" s="428"/>
    </row>
    <row r="15" spans="1:13" s="418" customFormat="1">
      <c r="A15" s="438"/>
      <c r="B15" s="428"/>
      <c r="C15" s="575"/>
      <c r="D15" s="575" t="s">
        <v>585</v>
      </c>
      <c r="E15" s="428" t="s">
        <v>308</v>
      </c>
      <c r="F15" s="439" t="s">
        <v>282</v>
      </c>
      <c r="G15" s="428" t="s">
        <v>311</v>
      </c>
      <c r="H15" s="428" t="s">
        <v>308</v>
      </c>
      <c r="I15" s="428" t="s">
        <v>283</v>
      </c>
      <c r="J15" s="428" t="s">
        <v>309</v>
      </c>
      <c r="K15" s="448" t="s">
        <v>476</v>
      </c>
      <c r="L15" s="428" t="s">
        <v>332</v>
      </c>
    </row>
    <row r="16" spans="1:13" s="418" customFormat="1" ht="15.75">
      <c r="A16" s="438"/>
      <c r="B16" s="570" t="s">
        <v>310</v>
      </c>
      <c r="C16" s="570" t="s">
        <v>580</v>
      </c>
      <c r="D16" s="570" t="s">
        <v>586</v>
      </c>
      <c r="E16" s="424" t="s">
        <v>312</v>
      </c>
      <c r="F16" s="439" t="s">
        <v>305</v>
      </c>
      <c r="G16" s="442" t="s">
        <v>556</v>
      </c>
      <c r="H16" s="424" t="s">
        <v>483</v>
      </c>
      <c r="I16" s="424" t="s">
        <v>557</v>
      </c>
      <c r="J16" s="424" t="s">
        <v>480</v>
      </c>
      <c r="K16" s="447" t="s">
        <v>481</v>
      </c>
      <c r="L16" s="424" t="s">
        <v>558</v>
      </c>
    </row>
    <row r="17" spans="1:13" s="418" customFormat="1">
      <c r="A17" s="438">
        <v>3</v>
      </c>
      <c r="B17" s="468" t="s">
        <v>890</v>
      </c>
      <c r="C17" s="599"/>
      <c r="D17" s="435"/>
      <c r="E17" s="451">
        <v>0</v>
      </c>
      <c r="F17" s="464">
        <f>IF(E$29=0,0,E17/E$29)</f>
        <v>0</v>
      </c>
      <c r="G17" s="455">
        <f>IF(G$11=0,0,F17*G$11)</f>
        <v>0</v>
      </c>
      <c r="H17" s="456">
        <v>0</v>
      </c>
      <c r="I17" s="459">
        <f>+H17-G17</f>
        <v>0</v>
      </c>
      <c r="J17" s="459">
        <f>+$J$31*F17</f>
        <v>0</v>
      </c>
      <c r="K17" s="460">
        <f>+D38</f>
        <v>0</v>
      </c>
      <c r="L17" s="531">
        <f>+I17+J17+K17</f>
        <v>0</v>
      </c>
    </row>
    <row r="18" spans="1:13" s="568" customFormat="1">
      <c r="A18" s="582"/>
      <c r="B18" s="589"/>
      <c r="C18" s="589"/>
      <c r="D18" s="518"/>
      <c r="E18" s="519"/>
      <c r="F18" s="520"/>
      <c r="G18" s="521"/>
      <c r="H18" s="521"/>
      <c r="I18" s="522"/>
      <c r="J18" s="522"/>
      <c r="K18" s="522"/>
      <c r="L18" s="522"/>
    </row>
    <row r="19" spans="1:13" s="418" customFormat="1">
      <c r="A19" s="438" t="s">
        <v>590</v>
      </c>
      <c r="B19" s="955" t="s">
        <v>904</v>
      </c>
      <c r="C19" s="962" t="s">
        <v>581</v>
      </c>
      <c r="D19" s="955" t="s">
        <v>905</v>
      </c>
      <c r="E19" s="452">
        <v>1161652.3931471431</v>
      </c>
      <c r="F19" s="465">
        <f>IF(E$29=0,0,E19/E$29)</f>
        <v>1</v>
      </c>
      <c r="G19" s="455">
        <f>IF(G$11=0,0,F19*G$11)</f>
        <v>1161651.96</v>
      </c>
      <c r="H19" s="457">
        <v>902885.39604596689</v>
      </c>
      <c r="I19" s="461">
        <f>+H19-G19</f>
        <v>-258766.56395403307</v>
      </c>
      <c r="J19" s="459">
        <f>+$J$31*F19</f>
        <v>-27335.346759738226</v>
      </c>
      <c r="K19" s="462">
        <v>0</v>
      </c>
      <c r="L19" s="594">
        <f>+I19+J19+K19</f>
        <v>-286101.9107137713</v>
      </c>
    </row>
    <row r="20" spans="1:13" s="418" customFormat="1">
      <c r="A20" s="438" t="s">
        <v>591</v>
      </c>
      <c r="B20" s="962"/>
      <c r="C20" s="962"/>
      <c r="D20" s="959"/>
      <c r="E20" s="452">
        <v>0</v>
      </c>
      <c r="F20" s="465">
        <f>IF(E$29=0,0,E20/E$29)</f>
        <v>0</v>
      </c>
      <c r="G20" s="455">
        <f>IF(G$11=0,0,F20*G$11)</f>
        <v>0</v>
      </c>
      <c r="H20" s="457"/>
      <c r="I20" s="461">
        <f>+H20-G20</f>
        <v>0</v>
      </c>
      <c r="J20" s="459">
        <f>+$J$31*F20</f>
        <v>0</v>
      </c>
      <c r="K20" s="462">
        <v>0</v>
      </c>
      <c r="L20" s="594">
        <f>+I20+J20+K20</f>
        <v>0</v>
      </c>
    </row>
    <row r="21" spans="1:13" s="568" customFormat="1">
      <c r="A21" s="582">
        <v>5</v>
      </c>
      <c r="B21" s="961" t="s">
        <v>583</v>
      </c>
      <c r="C21" s="961"/>
      <c r="D21" s="964"/>
      <c r="E21" s="525">
        <f>+E19+E20</f>
        <v>1161652.3931471431</v>
      </c>
      <c r="F21" s="526"/>
      <c r="G21" s="525">
        <f t="shared" ref="G21:L21" si="0">+G19+G20</f>
        <v>1161651.96</v>
      </c>
      <c r="H21" s="525">
        <f t="shared" si="0"/>
        <v>902885.39604596689</v>
      </c>
      <c r="I21" s="525">
        <f t="shared" si="0"/>
        <v>-258766.56395403307</v>
      </c>
      <c r="J21" s="525">
        <f t="shared" si="0"/>
        <v>-27335.346759738226</v>
      </c>
      <c r="K21" s="525">
        <f t="shared" si="0"/>
        <v>0</v>
      </c>
      <c r="L21" s="528">
        <f t="shared" si="0"/>
        <v>-286101.9107137713</v>
      </c>
    </row>
    <row r="22" spans="1:13" s="568" customFormat="1">
      <c r="A22" s="582"/>
      <c r="B22" s="960"/>
      <c r="C22" s="960"/>
      <c r="D22" s="963"/>
      <c r="E22" s="519"/>
      <c r="F22" s="520"/>
      <c r="G22" s="521"/>
      <c r="H22" s="521"/>
      <c r="I22" s="523"/>
      <c r="J22" s="522"/>
      <c r="K22" s="523"/>
      <c r="L22" s="522"/>
    </row>
    <row r="23" spans="1:13" s="418" customFormat="1">
      <c r="A23" s="438" t="s">
        <v>592</v>
      </c>
      <c r="B23" s="962"/>
      <c r="C23" s="962" t="s">
        <v>582</v>
      </c>
      <c r="D23" s="959"/>
      <c r="E23" s="452">
        <v>0</v>
      </c>
      <c r="F23" s="465">
        <f>IF(E$29=0,0,E23/E$29)</f>
        <v>0</v>
      </c>
      <c r="G23" s="455">
        <f>IF(G$11=0,0,F23*G$11)</f>
        <v>0</v>
      </c>
      <c r="H23" s="457"/>
      <c r="I23" s="461">
        <f>+H23-G23</f>
        <v>0</v>
      </c>
      <c r="J23" s="594">
        <f>+$J$31*F23</f>
        <v>0</v>
      </c>
      <c r="K23" s="462">
        <v>0</v>
      </c>
      <c r="L23" s="594">
        <f>+I23+J23+K23</f>
        <v>0</v>
      </c>
    </row>
    <row r="24" spans="1:13" s="418" customFormat="1">
      <c r="A24" s="438" t="s">
        <v>593</v>
      </c>
      <c r="B24" s="962"/>
      <c r="C24" s="962"/>
      <c r="D24" s="959"/>
      <c r="E24" s="452">
        <v>0</v>
      </c>
      <c r="F24" s="465">
        <f>IF(E$29=0,0,E24/E$29)</f>
        <v>0</v>
      </c>
      <c r="G24" s="455">
        <f>IF(G$11=0,0,F24*G$11)</f>
        <v>0</v>
      </c>
      <c r="H24" s="457"/>
      <c r="I24" s="461">
        <f>+H24-G24</f>
        <v>0</v>
      </c>
      <c r="J24" s="594">
        <f>+$J$31*F24</f>
        <v>0</v>
      </c>
      <c r="K24" s="462">
        <v>0</v>
      </c>
      <c r="L24" s="594">
        <f>+I24+J24+K24</f>
        <v>0</v>
      </c>
    </row>
    <row r="25" spans="1:13" s="568" customFormat="1">
      <c r="A25" s="582">
        <v>7</v>
      </c>
      <c r="B25" s="590" t="s">
        <v>584</v>
      </c>
      <c r="C25" s="590"/>
      <c r="D25" s="524"/>
      <c r="E25" s="525">
        <f>+E23+E24</f>
        <v>0</v>
      </c>
      <c r="F25" s="526"/>
      <c r="G25" s="528">
        <f t="shared" ref="G25:L25" si="1">+G23+G24</f>
        <v>0</v>
      </c>
      <c r="H25" s="585">
        <f t="shared" si="1"/>
        <v>0</v>
      </c>
      <c r="I25" s="525">
        <f t="shared" si="1"/>
        <v>0</v>
      </c>
      <c r="J25" s="525">
        <f t="shared" si="1"/>
        <v>0</v>
      </c>
      <c r="K25" s="525">
        <f t="shared" si="1"/>
        <v>0</v>
      </c>
      <c r="L25" s="528">
        <f t="shared" si="1"/>
        <v>0</v>
      </c>
    </row>
    <row r="26" spans="1:13" s="568" customFormat="1">
      <c r="A26" s="582"/>
      <c r="B26" s="589"/>
      <c r="C26" s="589"/>
      <c r="D26" s="518"/>
      <c r="E26" s="519"/>
      <c r="F26" s="520"/>
      <c r="G26" s="523"/>
      <c r="H26" s="521"/>
      <c r="I26" s="523"/>
      <c r="J26" s="522"/>
      <c r="K26" s="523"/>
      <c r="L26" s="522"/>
    </row>
    <row r="27" spans="1:13" s="568" customFormat="1">
      <c r="A27" s="583">
        <f>+A25+1</f>
        <v>8</v>
      </c>
      <c r="B27" s="599" t="s">
        <v>404</v>
      </c>
      <c r="C27" s="599"/>
      <c r="D27" s="580"/>
      <c r="E27" s="591"/>
      <c r="F27" s="598"/>
      <c r="G27" s="595"/>
      <c r="H27" s="593"/>
      <c r="I27" s="595"/>
      <c r="J27" s="594"/>
      <c r="K27" s="596"/>
      <c r="L27" s="594"/>
    </row>
    <row r="28" spans="1:13">
      <c r="A28" s="438"/>
      <c r="B28" s="429"/>
      <c r="C28" s="576"/>
      <c r="D28" s="429"/>
      <c r="E28" s="453"/>
      <c r="F28" s="466"/>
      <c r="G28" s="597"/>
      <c r="H28" s="458"/>
      <c r="I28" s="463"/>
      <c r="J28" s="463"/>
      <c r="K28" s="463"/>
      <c r="L28" s="597"/>
    </row>
    <row r="29" spans="1:13">
      <c r="A29" s="438">
        <f>+A27+1</f>
        <v>9</v>
      </c>
      <c r="B29" s="415" t="s">
        <v>475</v>
      </c>
      <c r="C29" s="564"/>
      <c r="D29" s="415"/>
      <c r="E29" s="454">
        <f>+E17+E21+E25+E27</f>
        <v>1161652.3931471431</v>
      </c>
      <c r="F29" s="467">
        <f>SUM(F17:F28)</f>
        <v>1</v>
      </c>
      <c r="G29" s="592">
        <f t="shared" ref="G29:L29" si="2">+G17+G21+G25+G27</f>
        <v>1161651.96</v>
      </c>
      <c r="H29" s="592">
        <f t="shared" si="2"/>
        <v>902885.39604596689</v>
      </c>
      <c r="I29" s="592">
        <f t="shared" si="2"/>
        <v>-258766.56395403307</v>
      </c>
      <c r="J29" s="592">
        <f t="shared" si="2"/>
        <v>-27335.346759738226</v>
      </c>
      <c r="K29" s="592">
        <f t="shared" si="2"/>
        <v>0</v>
      </c>
      <c r="L29" s="592">
        <f t="shared" si="2"/>
        <v>-286101.9107137713</v>
      </c>
    </row>
    <row r="30" spans="1:13">
      <c r="A30" s="438"/>
      <c r="B30" s="415"/>
      <c r="C30" s="564"/>
      <c r="D30" s="415"/>
      <c r="E30" s="430"/>
      <c r="F30" s="430"/>
      <c r="G30" s="430"/>
      <c r="H30" s="454"/>
      <c r="I30" s="430"/>
      <c r="J30" s="430"/>
      <c r="K30" s="430"/>
      <c r="L30" s="430"/>
    </row>
    <row r="31" spans="1:13">
      <c r="A31" s="438">
        <f>+A29+1</f>
        <v>10</v>
      </c>
      <c r="B31" s="415"/>
      <c r="C31" s="564"/>
      <c r="D31" s="415"/>
      <c r="E31" s="430"/>
      <c r="F31" s="430"/>
      <c r="G31" s="817"/>
      <c r="H31" s="817" t="s">
        <v>624</v>
      </c>
      <c r="I31" s="817"/>
      <c r="J31" s="842">
        <f>+'6 - True-Up Interest'!I57</f>
        <v>-27335.346759738226</v>
      </c>
      <c r="K31" s="430"/>
      <c r="L31" s="430"/>
    </row>
    <row r="32" spans="1:13">
      <c r="A32" s="438"/>
      <c r="B32" s="415"/>
      <c r="C32" s="564"/>
      <c r="D32" s="415"/>
      <c r="E32" s="430"/>
      <c r="F32" s="430"/>
      <c r="G32" s="430"/>
      <c r="H32" s="430"/>
      <c r="I32" s="430"/>
      <c r="J32" s="430"/>
      <c r="K32" s="430"/>
      <c r="L32" s="430"/>
      <c r="M32" s="430"/>
    </row>
    <row r="33" spans="1:13">
      <c r="A33" s="438"/>
      <c r="B33" s="431"/>
      <c r="C33" s="577"/>
      <c r="D33" s="431"/>
      <c r="E33" s="412"/>
      <c r="F33" s="412"/>
      <c r="G33" s="412"/>
      <c r="H33" s="412"/>
      <c r="I33" s="412"/>
      <c r="J33" s="431"/>
      <c r="K33" s="431"/>
      <c r="L33" s="431"/>
    </row>
    <row r="34" spans="1:13">
      <c r="A34" s="440" t="s">
        <v>327</v>
      </c>
      <c r="D34" s="431"/>
      <c r="E34" s="412"/>
      <c r="F34" s="412"/>
      <c r="G34" s="412"/>
      <c r="H34" s="412"/>
      <c r="I34" s="412"/>
      <c r="J34" s="431"/>
      <c r="K34" s="431"/>
      <c r="L34" s="431"/>
    </row>
    <row r="35" spans="1:13" ht="15">
      <c r="A35" s="436"/>
      <c r="B35" s="404" t="s">
        <v>62</v>
      </c>
      <c r="C35" s="587"/>
      <c r="D35" s="404" t="s">
        <v>63</v>
      </c>
      <c r="E35"/>
      <c r="F35"/>
      <c r="G35"/>
      <c r="H35"/>
      <c r="L35" s="431"/>
    </row>
    <row r="36" spans="1:13" ht="15">
      <c r="A36" s="436"/>
      <c r="B36" s="432" t="str">
        <f>+A34</f>
        <v>Prior Period Adjustment</v>
      </c>
      <c r="C36" s="578"/>
      <c r="D36" s="433" t="s">
        <v>477</v>
      </c>
      <c r="E36"/>
      <c r="F36"/>
      <c r="G36"/>
      <c r="H36"/>
      <c r="L36" s="431"/>
    </row>
    <row r="37" spans="1:13" ht="15">
      <c r="A37" s="436"/>
      <c r="B37" s="663" t="s">
        <v>482</v>
      </c>
      <c r="C37" s="663" t="s">
        <v>199</v>
      </c>
      <c r="D37" s="664" t="s">
        <v>11</v>
      </c>
      <c r="E37"/>
      <c r="F37"/>
      <c r="G37"/>
      <c r="H37"/>
      <c r="L37" s="431"/>
    </row>
    <row r="38" spans="1:13" ht="15">
      <c r="A38" s="436">
        <f>+A31+1</f>
        <v>11</v>
      </c>
      <c r="B38" s="405" t="s">
        <v>554</v>
      </c>
      <c r="C38" s="818" t="s">
        <v>491</v>
      </c>
      <c r="D38" s="567">
        <f>+'11-Corrections'!F30</f>
        <v>0</v>
      </c>
      <c r="E38"/>
      <c r="F38"/>
      <c r="G38"/>
      <c r="H38"/>
      <c r="L38" s="431"/>
    </row>
    <row r="39" spans="1:13" ht="15">
      <c r="A39" s="436"/>
      <c r="B39" s="434"/>
      <c r="C39" s="579"/>
      <c r="D39" s="413"/>
      <c r="E39"/>
      <c r="F39"/>
      <c r="G39"/>
      <c r="H39"/>
      <c r="L39" s="431"/>
    </row>
    <row r="40" spans="1:13" ht="15">
      <c r="A40" s="436"/>
      <c r="D40" s="431"/>
      <c r="E40"/>
      <c r="F40"/>
      <c r="G40"/>
      <c r="H40"/>
      <c r="I40" s="406"/>
      <c r="L40" s="431"/>
    </row>
    <row r="41" spans="1:13" ht="14.25" customHeight="1">
      <c r="A41" s="527" t="s">
        <v>176</v>
      </c>
      <c r="B41" s="662"/>
      <c r="C41" s="564"/>
      <c r="D41" s="415"/>
      <c r="E41" s="415"/>
      <c r="F41" s="415"/>
      <c r="G41" s="415"/>
      <c r="H41" s="415"/>
      <c r="I41" s="415"/>
      <c r="J41" s="415"/>
      <c r="K41" s="415"/>
      <c r="L41" s="415"/>
      <c r="M41" s="415"/>
    </row>
    <row r="42" spans="1:13">
      <c r="A42" s="816" t="s">
        <v>655</v>
      </c>
      <c r="B42" s="798" t="s">
        <v>706</v>
      </c>
      <c r="C42" s="798"/>
      <c r="D42" s="798"/>
      <c r="E42" s="798"/>
      <c r="F42" s="798"/>
      <c r="G42" s="798"/>
      <c r="H42" s="798"/>
      <c r="I42" s="798"/>
      <c r="J42" s="798"/>
      <c r="K42" s="798"/>
      <c r="L42" s="798"/>
      <c r="M42" s="415"/>
    </row>
    <row r="43" spans="1:13">
      <c r="A43" s="816" t="s">
        <v>656</v>
      </c>
      <c r="B43" s="798" t="s">
        <v>736</v>
      </c>
      <c r="C43" s="798"/>
      <c r="D43" s="798"/>
      <c r="E43" s="798"/>
      <c r="F43" s="798"/>
      <c r="G43" s="798"/>
      <c r="H43" s="798"/>
      <c r="I43" s="798"/>
      <c r="J43" s="798"/>
      <c r="K43" s="798"/>
      <c r="L43" s="798"/>
      <c r="M43" s="415"/>
    </row>
    <row r="44" spans="1:13">
      <c r="A44" s="816" t="s">
        <v>657</v>
      </c>
      <c r="B44" s="798" t="s">
        <v>737</v>
      </c>
      <c r="C44" s="798"/>
      <c r="D44" s="798"/>
      <c r="E44" s="798"/>
      <c r="F44" s="798"/>
      <c r="G44" s="798"/>
      <c r="H44" s="798"/>
      <c r="I44" s="798"/>
      <c r="J44" s="798"/>
      <c r="K44" s="798"/>
      <c r="L44" s="798"/>
      <c r="M44" s="415"/>
    </row>
    <row r="45" spans="1:13" ht="28.5" customHeight="1">
      <c r="A45" s="816" t="s">
        <v>658</v>
      </c>
      <c r="B45" s="982" t="s">
        <v>738</v>
      </c>
      <c r="C45" s="982"/>
      <c r="D45" s="982"/>
      <c r="E45" s="982"/>
      <c r="F45" s="982"/>
      <c r="G45" s="982"/>
      <c r="H45" s="982"/>
      <c r="I45" s="982"/>
      <c r="J45" s="982"/>
      <c r="K45" s="982"/>
      <c r="L45" s="982"/>
      <c r="M45" s="402"/>
    </row>
    <row r="46" spans="1:13" ht="20.25" customHeight="1">
      <c r="A46" s="816" t="s">
        <v>659</v>
      </c>
      <c r="B46" s="999" t="s">
        <v>660</v>
      </c>
      <c r="C46" s="999"/>
      <c r="D46" s="999"/>
      <c r="E46" s="999"/>
      <c r="F46" s="999"/>
      <c r="G46" s="999"/>
      <c r="H46" s="999"/>
      <c r="I46" s="999"/>
      <c r="J46" s="999"/>
      <c r="K46" s="999"/>
      <c r="L46" s="999"/>
      <c r="M46" s="415"/>
    </row>
    <row r="47" spans="1:13">
      <c r="A47" s="438"/>
      <c r="B47" s="416"/>
      <c r="C47" s="566"/>
      <c r="D47" s="415"/>
      <c r="E47" s="415"/>
      <c r="F47" s="415"/>
      <c r="G47" s="415"/>
      <c r="H47" s="415"/>
      <c r="I47" s="416"/>
      <c r="J47" s="415"/>
      <c r="K47" s="415"/>
      <c r="L47" s="415"/>
      <c r="M47" s="415"/>
    </row>
    <row r="48" spans="1:13">
      <c r="A48" s="438"/>
      <c r="B48" s="416"/>
      <c r="C48" s="566"/>
      <c r="D48" s="415"/>
      <c r="E48" s="415"/>
      <c r="F48" s="415"/>
      <c r="G48" s="415"/>
      <c r="H48" s="415"/>
      <c r="I48" s="416"/>
      <c r="J48" s="415"/>
      <c r="K48" s="415"/>
      <c r="L48" s="415"/>
      <c r="M48" s="415"/>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70" zoomScaleNormal="80" zoomScaleSheetLayoutView="70" workbookViewId="0">
      <selection activeCell="C53" sqref="C53"/>
    </sheetView>
  </sheetViews>
  <sheetFormatPr defaultColWidth="8.88671875" defaultRowHeight="12.75"/>
  <cols>
    <col min="1" max="1" width="8" style="12" customWidth="1"/>
    <col min="2" max="2" width="34.77734375" style="14" customWidth="1"/>
    <col min="3" max="3" width="17.88671875" style="14" customWidth="1"/>
    <col min="4" max="4" width="17" style="14" customWidth="1"/>
    <col min="5" max="5" width="19.88671875" style="14" customWidth="1"/>
    <col min="6" max="6" width="19.5546875" style="14" customWidth="1"/>
    <col min="7" max="7" width="21.33203125" style="14" customWidth="1"/>
    <col min="8" max="8" width="18" style="14" customWidth="1"/>
    <col min="9" max="9" width="16.77734375" style="14" customWidth="1"/>
    <col min="10" max="10" width="17" style="14" customWidth="1"/>
    <col min="11" max="14" width="11.77734375" style="14" customWidth="1"/>
    <col min="15" max="16384" width="8.88671875" style="14"/>
  </cols>
  <sheetData>
    <row r="1" spans="1:12">
      <c r="B1" s="1008" t="s">
        <v>183</v>
      </c>
      <c r="C1" s="1008"/>
      <c r="D1" s="1008"/>
      <c r="E1" s="1008"/>
      <c r="F1" s="1008"/>
      <c r="G1" s="1008"/>
      <c r="H1" s="1008"/>
      <c r="I1" s="1008"/>
      <c r="J1" s="1" t="s">
        <v>602</v>
      </c>
    </row>
    <row r="2" spans="1:12">
      <c r="A2" s="218"/>
      <c r="B2" s="1009" t="s">
        <v>241</v>
      </c>
      <c r="C2" s="1009"/>
      <c r="D2" s="1009"/>
      <c r="E2" s="1009"/>
      <c r="F2" s="1009"/>
      <c r="G2" s="1009"/>
      <c r="H2" s="1009"/>
      <c r="I2" s="1009"/>
      <c r="J2" s="1"/>
      <c r="L2" s="217"/>
    </row>
    <row r="3" spans="1:12">
      <c r="A3" s="218"/>
      <c r="B3" s="1010" t="str">
        <f>+'Attachment H-30A'!D5</f>
        <v>Transource Maryland, LLC</v>
      </c>
      <c r="C3" s="1010"/>
      <c r="D3" s="1010"/>
      <c r="E3" s="1010"/>
      <c r="F3" s="1010"/>
      <c r="G3" s="1010"/>
      <c r="H3" s="1010"/>
      <c r="I3" s="1010"/>
      <c r="J3" s="1"/>
    </row>
    <row r="4" spans="1:12">
      <c r="A4" s="218"/>
      <c r="C4" s="1"/>
      <c r="D4" s="1"/>
      <c r="E4" s="1"/>
      <c r="F4" s="1"/>
      <c r="G4" s="1"/>
      <c r="H4" s="1"/>
      <c r="I4" s="1"/>
      <c r="J4" s="1"/>
    </row>
    <row r="5" spans="1:12">
      <c r="A5" s="218"/>
      <c r="B5" s="2"/>
      <c r="C5" s="2"/>
      <c r="D5" s="2"/>
      <c r="E5" s="2"/>
      <c r="F5" s="835"/>
      <c r="G5" s="2"/>
      <c r="H5" s="2"/>
      <c r="I5" s="2"/>
      <c r="J5" s="2"/>
    </row>
    <row r="6" spans="1:12">
      <c r="A6" s="218"/>
      <c r="B6" s="2"/>
      <c r="C6" s="1013" t="s">
        <v>201</v>
      </c>
      <c r="D6" s="1013"/>
      <c r="E6" s="10" t="s">
        <v>203</v>
      </c>
      <c r="F6" s="10" t="s">
        <v>204</v>
      </c>
      <c r="G6" s="1013" t="s">
        <v>202</v>
      </c>
      <c r="H6" s="1013"/>
      <c r="I6" s="1012" t="s">
        <v>200</v>
      </c>
      <c r="J6" s="1012"/>
    </row>
    <row r="7" spans="1:12" s="11" customFormat="1" ht="25.5">
      <c r="A7" s="219" t="s">
        <v>713</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504</v>
      </c>
      <c r="C9" s="274" t="s">
        <v>278</v>
      </c>
      <c r="D9" s="297" t="s">
        <v>294</v>
      </c>
      <c r="E9" s="323" t="s">
        <v>604</v>
      </c>
      <c r="F9" s="297" t="s">
        <v>717</v>
      </c>
      <c r="G9" s="274" t="s">
        <v>281</v>
      </c>
      <c r="H9" s="274" t="s">
        <v>851</v>
      </c>
      <c r="I9" s="274" t="s">
        <v>279</v>
      </c>
      <c r="J9" s="274" t="s">
        <v>280</v>
      </c>
      <c r="K9"/>
    </row>
    <row r="10" spans="1:12" ht="15">
      <c r="A10" s="218">
        <v>1</v>
      </c>
      <c r="B10" s="5" t="s">
        <v>187</v>
      </c>
      <c r="C10" s="6">
        <v>0</v>
      </c>
      <c r="D10" s="6">
        <v>93296.045694459885</v>
      </c>
      <c r="E10" s="6">
        <v>8563731.3739999998</v>
      </c>
      <c r="F10" s="6">
        <v>0</v>
      </c>
      <c r="G10" s="6">
        <v>0</v>
      </c>
      <c r="H10" s="6">
        <v>0.03</v>
      </c>
      <c r="I10" s="6">
        <v>0</v>
      </c>
      <c r="J10" s="6">
        <v>14325.9826721761</v>
      </c>
      <c r="K10"/>
    </row>
    <row r="11" spans="1:12" ht="15">
      <c r="A11" s="218">
        <v>2</v>
      </c>
      <c r="B11" s="5" t="s">
        <v>85</v>
      </c>
      <c r="C11" s="6">
        <v>0</v>
      </c>
      <c r="D11" s="6">
        <v>96663.005502387983</v>
      </c>
      <c r="E11" s="6">
        <v>8723731.3739999998</v>
      </c>
      <c r="F11" s="6">
        <v>0</v>
      </c>
      <c r="G11" s="6">
        <v>0</v>
      </c>
      <c r="H11" s="6">
        <v>0.03</v>
      </c>
      <c r="I11" s="6">
        <v>0</v>
      </c>
      <c r="J11" s="6">
        <v>14511.834355999799</v>
      </c>
      <c r="K11"/>
    </row>
    <row r="12" spans="1:12" ht="15">
      <c r="A12" s="218">
        <v>3</v>
      </c>
      <c r="B12" s="1" t="s">
        <v>84</v>
      </c>
      <c r="C12" s="6">
        <v>0</v>
      </c>
      <c r="D12" s="6">
        <v>90912.720218296818</v>
      </c>
      <c r="E12" s="6">
        <v>8883731.3739999998</v>
      </c>
      <c r="F12" s="6">
        <v>0</v>
      </c>
      <c r="G12" s="6">
        <v>0</v>
      </c>
      <c r="H12" s="6">
        <v>0.03</v>
      </c>
      <c r="I12" s="6">
        <v>0</v>
      </c>
      <c r="J12" s="6">
        <v>14688.7234910114</v>
      </c>
      <c r="K12"/>
    </row>
    <row r="13" spans="1:12" ht="15">
      <c r="A13" s="218">
        <v>4</v>
      </c>
      <c r="B13" s="1" t="s">
        <v>164</v>
      </c>
      <c r="C13" s="6">
        <v>0</v>
      </c>
      <c r="D13" s="6">
        <v>90912.720218296818</v>
      </c>
      <c r="E13" s="6">
        <v>9043731.3739999998</v>
      </c>
      <c r="F13" s="6">
        <v>0</v>
      </c>
      <c r="G13" s="6">
        <v>0</v>
      </c>
      <c r="H13" s="6">
        <v>0.03</v>
      </c>
      <c r="I13" s="6">
        <v>0</v>
      </c>
      <c r="J13" s="6">
        <v>14856.6765789358</v>
      </c>
      <c r="K13"/>
    </row>
    <row r="14" spans="1:12" ht="15">
      <c r="A14" s="218">
        <v>5</v>
      </c>
      <c r="B14" s="1" t="s">
        <v>76</v>
      </c>
      <c r="C14" s="6">
        <v>0</v>
      </c>
      <c r="D14" s="6">
        <v>90912.720218296818</v>
      </c>
      <c r="E14" s="6">
        <v>9203731.3739999998</v>
      </c>
      <c r="F14" s="6">
        <v>0</v>
      </c>
      <c r="G14" s="6">
        <v>0</v>
      </c>
      <c r="H14" s="6">
        <v>0.03</v>
      </c>
      <c r="I14" s="6">
        <v>0</v>
      </c>
      <c r="J14" s="6">
        <v>15024.950063706299</v>
      </c>
      <c r="K14"/>
    </row>
    <row r="15" spans="1:12" ht="15">
      <c r="A15" s="218">
        <v>6</v>
      </c>
      <c r="B15" s="1" t="s">
        <v>75</v>
      </c>
      <c r="C15" s="6">
        <v>0</v>
      </c>
      <c r="D15" s="6">
        <v>90912.720218296818</v>
      </c>
      <c r="E15" s="6">
        <v>9483731.3739999998</v>
      </c>
      <c r="F15" s="6">
        <v>0</v>
      </c>
      <c r="G15" s="6">
        <v>0</v>
      </c>
      <c r="H15" s="6">
        <v>0.03</v>
      </c>
      <c r="I15" s="6">
        <v>0</v>
      </c>
      <c r="J15" s="6">
        <v>15313.225576934899</v>
      </c>
      <c r="K15"/>
    </row>
    <row r="16" spans="1:12" ht="15">
      <c r="A16" s="218">
        <v>7</v>
      </c>
      <c r="B16" s="1" t="s">
        <v>92</v>
      </c>
      <c r="C16" s="6">
        <v>0</v>
      </c>
      <c r="D16" s="6">
        <v>90912.720218296818</v>
      </c>
      <c r="E16" s="6">
        <v>9833731.3739999998</v>
      </c>
      <c r="F16" s="6">
        <v>0</v>
      </c>
      <c r="G16" s="6">
        <v>0</v>
      </c>
      <c r="H16" s="6">
        <v>0.03</v>
      </c>
      <c r="I16" s="6">
        <v>0</v>
      </c>
      <c r="J16" s="6">
        <v>15671.5001562821</v>
      </c>
      <c r="K16"/>
    </row>
    <row r="17" spans="1:11" ht="15">
      <c r="A17" s="218">
        <v>8</v>
      </c>
      <c r="B17" s="1" t="s">
        <v>82</v>
      </c>
      <c r="C17" s="6">
        <v>0</v>
      </c>
      <c r="D17" s="6">
        <v>90912.720218296818</v>
      </c>
      <c r="E17" s="6">
        <v>11483731.374</v>
      </c>
      <c r="F17" s="6">
        <v>0</v>
      </c>
      <c r="G17" s="6">
        <v>0</v>
      </c>
      <c r="H17" s="6">
        <v>0.03</v>
      </c>
      <c r="I17" s="6">
        <v>0</v>
      </c>
      <c r="J17" s="6">
        <v>17329.7770860009</v>
      </c>
      <c r="K17"/>
    </row>
    <row r="18" spans="1:11" ht="15">
      <c r="A18" s="218">
        <v>9</v>
      </c>
      <c r="B18" s="1" t="s">
        <v>165</v>
      </c>
      <c r="C18" s="6">
        <v>0</v>
      </c>
      <c r="D18" s="6">
        <v>90912.720218296818</v>
      </c>
      <c r="E18" s="6">
        <v>12833731.374</v>
      </c>
      <c r="F18" s="6">
        <v>0</v>
      </c>
      <c r="G18" s="6">
        <v>0</v>
      </c>
      <c r="H18" s="6">
        <v>0.03</v>
      </c>
      <c r="I18" s="6">
        <v>0</v>
      </c>
      <c r="J18" s="6">
        <v>18661.813897286698</v>
      </c>
      <c r="K18"/>
    </row>
    <row r="19" spans="1:11" ht="15">
      <c r="A19" s="218">
        <v>10</v>
      </c>
      <c r="B19" s="1" t="s">
        <v>80</v>
      </c>
      <c r="C19" s="6">
        <v>0</v>
      </c>
      <c r="D19" s="6">
        <v>90912.720218296818</v>
      </c>
      <c r="E19" s="6">
        <v>14038731.374</v>
      </c>
      <c r="F19" s="6">
        <v>0</v>
      </c>
      <c r="G19" s="6">
        <v>0</v>
      </c>
      <c r="H19" s="6">
        <v>0.03</v>
      </c>
      <c r="I19" s="6">
        <v>0</v>
      </c>
      <c r="J19" s="6">
        <v>19845.8920948587</v>
      </c>
      <c r="K19"/>
    </row>
    <row r="20" spans="1:11" ht="15">
      <c r="A20" s="218">
        <v>11</v>
      </c>
      <c r="B20" s="1" t="s">
        <v>86</v>
      </c>
      <c r="C20" s="6">
        <v>0</v>
      </c>
      <c r="D20" s="6">
        <v>90912.720218296818</v>
      </c>
      <c r="E20" s="6">
        <v>15047612.374</v>
      </c>
      <c r="F20" s="6">
        <v>0</v>
      </c>
      <c r="G20" s="6">
        <v>0</v>
      </c>
      <c r="H20" s="6">
        <v>0.03</v>
      </c>
      <c r="I20" s="6">
        <v>0</v>
      </c>
      <c r="J20" s="6">
        <v>20862.5643000124</v>
      </c>
      <c r="K20"/>
    </row>
    <row r="21" spans="1:11" ht="15">
      <c r="A21" s="218">
        <v>12</v>
      </c>
      <c r="B21" s="1" t="s">
        <v>79</v>
      </c>
      <c r="C21" s="6">
        <v>0</v>
      </c>
      <c r="D21" s="6">
        <v>90912.720218296818</v>
      </c>
      <c r="E21" s="6">
        <v>15792083.374</v>
      </c>
      <c r="F21" s="6">
        <v>0</v>
      </c>
      <c r="G21" s="6">
        <v>0</v>
      </c>
      <c r="H21" s="6">
        <v>0.03</v>
      </c>
      <c r="I21" s="6">
        <v>0</v>
      </c>
      <c r="J21" s="6">
        <v>21614.827155636802</v>
      </c>
      <c r="K21"/>
    </row>
    <row r="22" spans="1:11" ht="15">
      <c r="A22" s="218">
        <v>13</v>
      </c>
      <c r="B22" s="1" t="s">
        <v>188</v>
      </c>
      <c r="C22" s="6">
        <v>0</v>
      </c>
      <c r="D22" s="6">
        <v>90912.720218296818</v>
      </c>
      <c r="E22" s="6">
        <v>16817083.373999998</v>
      </c>
      <c r="F22" s="6">
        <v>0</v>
      </c>
      <c r="G22" s="6">
        <v>0</v>
      </c>
      <c r="H22" s="6">
        <v>0.03</v>
      </c>
      <c r="I22" s="6">
        <v>0</v>
      </c>
      <c r="J22" s="6">
        <v>22647.618040173798</v>
      </c>
      <c r="K22"/>
    </row>
    <row r="23" spans="1:11" ht="15.75" thickBot="1">
      <c r="A23" s="218">
        <v>14</v>
      </c>
      <c r="B23" s="7" t="s">
        <v>242</v>
      </c>
      <c r="C23" s="605">
        <f t="shared" ref="C23:H23" si="0">SUM(C10:C22)/13</f>
        <v>0</v>
      </c>
      <c r="D23" s="605">
        <f>SUM(D10:D22)/13</f>
        <v>91538.382584470237</v>
      </c>
      <c r="E23" s="605">
        <f t="shared" si="0"/>
        <v>11519160.989384614</v>
      </c>
      <c r="F23" s="605">
        <f t="shared" si="0"/>
        <v>0</v>
      </c>
      <c r="G23" s="605">
        <f t="shared" si="0"/>
        <v>0</v>
      </c>
      <c r="H23" s="605">
        <f t="shared" si="0"/>
        <v>3.0000000000000009E-2</v>
      </c>
      <c r="I23" s="605">
        <f>SUM(I10:I22)/13</f>
        <v>0</v>
      </c>
      <c r="J23" s="605">
        <f>SUM(J10:J22)/13</f>
        <v>17335.029651462744</v>
      </c>
      <c r="K23"/>
    </row>
    <row r="24" spans="1:11" ht="15.75" thickTop="1">
      <c r="A24" s="218"/>
      <c r="B24" s="1"/>
      <c r="C24" s="8"/>
      <c r="D24" s="15"/>
      <c r="E24" s="15"/>
      <c r="F24" s="15"/>
      <c r="G24" s="8"/>
      <c r="H24" s="8"/>
      <c r="I24" s="8"/>
      <c r="K24"/>
    </row>
    <row r="25" spans="1:11">
      <c r="A25" s="218"/>
      <c r="B25" s="9"/>
      <c r="C25" s="1012" t="s">
        <v>205</v>
      </c>
      <c r="D25" s="1012"/>
      <c r="E25" s="1012"/>
      <c r="F25" s="1012"/>
      <c r="G25" s="1012"/>
      <c r="H25" s="1012"/>
      <c r="I25" s="1012"/>
    </row>
    <row r="26" spans="1:11" ht="72" customHeight="1">
      <c r="A26" s="797" t="s">
        <v>713</v>
      </c>
      <c r="B26" s="10" t="s">
        <v>160</v>
      </c>
      <c r="C26" s="4" t="s">
        <v>166</v>
      </c>
      <c r="D26" s="796" t="s">
        <v>708</v>
      </c>
      <c r="E26" s="796" t="s">
        <v>846</v>
      </c>
      <c r="F26" s="796" t="s">
        <v>847</v>
      </c>
      <c r="G26" s="796" t="s">
        <v>848</v>
      </c>
      <c r="H26" s="796" t="s">
        <v>849</v>
      </c>
      <c r="I26" s="4" t="s">
        <v>244</v>
      </c>
    </row>
    <row r="27" spans="1:11" s="13" customFormat="1">
      <c r="A27" s="218"/>
      <c r="B27" s="10" t="s">
        <v>190</v>
      </c>
      <c r="C27" s="4" t="s">
        <v>191</v>
      </c>
      <c r="D27" s="4" t="s">
        <v>192</v>
      </c>
      <c r="E27" s="796" t="s">
        <v>193</v>
      </c>
      <c r="F27" s="796" t="s">
        <v>195</v>
      </c>
      <c r="G27" s="796" t="s">
        <v>194</v>
      </c>
      <c r="H27" s="796" t="s">
        <v>196</v>
      </c>
      <c r="I27" s="4" t="s">
        <v>197</v>
      </c>
    </row>
    <row r="28" spans="1:11" s="13" customFormat="1" ht="25.5">
      <c r="A28" s="218"/>
      <c r="B28" s="250" t="s">
        <v>504</v>
      </c>
      <c r="C28" s="298" t="s">
        <v>374</v>
      </c>
      <c r="D28" s="4" t="s">
        <v>506</v>
      </c>
      <c r="E28" s="796" t="s">
        <v>850</v>
      </c>
      <c r="F28" s="796" t="s">
        <v>850</v>
      </c>
      <c r="G28" s="796" t="s">
        <v>850</v>
      </c>
      <c r="H28" s="796" t="s">
        <v>850</v>
      </c>
      <c r="I28" s="928" t="s">
        <v>866</v>
      </c>
    </row>
    <row r="29" spans="1:11">
      <c r="A29" s="218">
        <v>15</v>
      </c>
      <c r="B29" s="5" t="s">
        <v>187</v>
      </c>
      <c r="C29" s="6">
        <v>532902.9600000002</v>
      </c>
      <c r="D29" s="6">
        <v>0</v>
      </c>
      <c r="E29" s="6">
        <v>0</v>
      </c>
      <c r="F29" s="6">
        <v>2397</v>
      </c>
      <c r="G29" s="6">
        <v>170813</v>
      </c>
      <c r="H29" s="6">
        <v>12576</v>
      </c>
      <c r="I29" s="6">
        <v>0</v>
      </c>
    </row>
    <row r="30" spans="1:11">
      <c r="A30" s="218">
        <v>16</v>
      </c>
      <c r="B30" s="5" t="s">
        <v>85</v>
      </c>
      <c r="C30" s="6">
        <v>518100.10000000021</v>
      </c>
      <c r="D30" s="6">
        <v>0</v>
      </c>
      <c r="E30" s="950"/>
      <c r="F30" s="950"/>
      <c r="G30" s="950"/>
      <c r="H30" s="950"/>
      <c r="I30" s="6">
        <v>0</v>
      </c>
    </row>
    <row r="31" spans="1:11">
      <c r="A31" s="218">
        <v>17</v>
      </c>
      <c r="B31" s="1" t="s">
        <v>84</v>
      </c>
      <c r="C31" s="6">
        <v>503297.24000000022</v>
      </c>
      <c r="D31" s="6">
        <v>0</v>
      </c>
      <c r="E31" s="950"/>
      <c r="F31" s="950"/>
      <c r="G31" s="950"/>
      <c r="H31" s="950"/>
      <c r="I31" s="6">
        <v>0</v>
      </c>
    </row>
    <row r="32" spans="1:11">
      <c r="A32" s="218">
        <v>18</v>
      </c>
      <c r="B32" s="1" t="s">
        <v>164</v>
      </c>
      <c r="C32" s="6">
        <v>488494.38000000024</v>
      </c>
      <c r="D32" s="6">
        <v>0</v>
      </c>
      <c r="E32" s="950"/>
      <c r="F32" s="950"/>
      <c r="G32" s="950"/>
      <c r="H32" s="950"/>
      <c r="I32" s="6">
        <v>0</v>
      </c>
    </row>
    <row r="33" spans="1:15">
      <c r="A33" s="218">
        <v>19</v>
      </c>
      <c r="B33" s="1" t="s">
        <v>76</v>
      </c>
      <c r="C33" s="6">
        <v>473691.52000000025</v>
      </c>
      <c r="D33" s="6">
        <v>0</v>
      </c>
      <c r="E33" s="950"/>
      <c r="F33" s="950"/>
      <c r="G33" s="950"/>
      <c r="H33" s="950"/>
      <c r="I33" s="6">
        <v>0</v>
      </c>
    </row>
    <row r="34" spans="1:15">
      <c r="A34" s="218">
        <v>20</v>
      </c>
      <c r="B34" s="1" t="s">
        <v>75</v>
      </c>
      <c r="C34" s="6">
        <v>458888.66000000027</v>
      </c>
      <c r="D34" s="6">
        <v>0</v>
      </c>
      <c r="E34" s="950"/>
      <c r="F34" s="950"/>
      <c r="G34" s="950"/>
      <c r="H34" s="950"/>
      <c r="I34" s="6">
        <v>0</v>
      </c>
    </row>
    <row r="35" spans="1:15">
      <c r="A35" s="218">
        <v>21</v>
      </c>
      <c r="B35" s="1" t="s">
        <v>92</v>
      </c>
      <c r="C35" s="6">
        <v>444085.80000000028</v>
      </c>
      <c r="D35" s="6">
        <v>0</v>
      </c>
      <c r="E35" s="950"/>
      <c r="F35" s="950"/>
      <c r="G35" s="950"/>
      <c r="H35" s="950"/>
      <c r="I35" s="6">
        <v>0</v>
      </c>
    </row>
    <row r="36" spans="1:15">
      <c r="A36" s="218">
        <v>22</v>
      </c>
      <c r="B36" s="1" t="s">
        <v>82</v>
      </c>
      <c r="C36" s="6">
        <v>429282.94000000029</v>
      </c>
      <c r="D36" s="6">
        <v>0</v>
      </c>
      <c r="E36" s="950"/>
      <c r="F36" s="950"/>
      <c r="G36" s="950"/>
      <c r="H36" s="950"/>
      <c r="I36" s="6">
        <v>0</v>
      </c>
    </row>
    <row r="37" spans="1:15">
      <c r="A37" s="218">
        <v>23</v>
      </c>
      <c r="B37" s="1" t="s">
        <v>165</v>
      </c>
      <c r="C37" s="6">
        <v>414480.08000000031</v>
      </c>
      <c r="D37" s="6">
        <v>0</v>
      </c>
      <c r="E37" s="950"/>
      <c r="F37" s="950"/>
      <c r="G37" s="950"/>
      <c r="H37" s="950"/>
      <c r="I37" s="6">
        <v>0</v>
      </c>
    </row>
    <row r="38" spans="1:15">
      <c r="A38" s="218">
        <v>24</v>
      </c>
      <c r="B38" s="1" t="s">
        <v>80</v>
      </c>
      <c r="C38" s="6">
        <v>399677.22000000032</v>
      </c>
      <c r="D38" s="6">
        <v>0</v>
      </c>
      <c r="E38" s="950"/>
      <c r="F38" s="950"/>
      <c r="G38" s="950"/>
      <c r="H38" s="950"/>
      <c r="I38" s="6">
        <v>0</v>
      </c>
    </row>
    <row r="39" spans="1:15">
      <c r="A39" s="218">
        <v>25</v>
      </c>
      <c r="B39" s="1" t="s">
        <v>86</v>
      </c>
      <c r="C39" s="6">
        <v>384874.36000000034</v>
      </c>
      <c r="D39" s="6">
        <v>0</v>
      </c>
      <c r="E39" s="950"/>
      <c r="F39" s="950"/>
      <c r="G39" s="950"/>
      <c r="H39" s="950"/>
      <c r="I39" s="6">
        <v>0</v>
      </c>
    </row>
    <row r="40" spans="1:15">
      <c r="A40" s="218">
        <v>26</v>
      </c>
      <c r="B40" s="1" t="s">
        <v>79</v>
      </c>
      <c r="C40" s="6">
        <v>370071.50000000035</v>
      </c>
      <c r="D40" s="6">
        <v>0</v>
      </c>
      <c r="E40" s="950"/>
      <c r="F40" s="950"/>
      <c r="G40" s="950"/>
      <c r="H40" s="950"/>
      <c r="I40" s="6">
        <v>0</v>
      </c>
    </row>
    <row r="41" spans="1:15">
      <c r="A41" s="218">
        <v>27</v>
      </c>
      <c r="B41" s="1" t="s">
        <v>188</v>
      </c>
      <c r="C41" s="6">
        <v>355268.64000000036</v>
      </c>
      <c r="D41" s="6">
        <v>0</v>
      </c>
      <c r="E41" s="6">
        <v>0</v>
      </c>
      <c r="F41" s="6">
        <v>636.53561643835565</v>
      </c>
      <c r="G41" s="6">
        <v>133520</v>
      </c>
      <c r="H41" s="6">
        <v>12576</v>
      </c>
      <c r="I41" s="6">
        <v>0</v>
      </c>
    </row>
    <row r="42" spans="1:15" ht="13.5" thickBot="1">
      <c r="A42" s="218">
        <v>28</v>
      </c>
      <c r="B42" s="7" t="s">
        <v>243</v>
      </c>
      <c r="C42" s="605">
        <f t="shared" ref="C42:D42" si="1">SUM(C29:C41)/13</f>
        <v>444085.80000000034</v>
      </c>
      <c r="D42" s="605">
        <f t="shared" si="1"/>
        <v>0</v>
      </c>
      <c r="E42" s="605">
        <f>(E29+E41)/2</f>
        <v>0</v>
      </c>
      <c r="F42" s="605">
        <f>(F29+F41)/2</f>
        <v>1516.7678082191778</v>
      </c>
      <c r="G42" s="605">
        <f>(G29+G41)/2</f>
        <v>152166.5</v>
      </c>
      <c r="H42" s="605">
        <f>(H29+H41)/2</f>
        <v>12576</v>
      </c>
      <c r="I42" s="605">
        <f>SUM(I29:I41)/13</f>
        <v>0</v>
      </c>
    </row>
    <row r="43" spans="1:15" ht="13.5" thickTop="1">
      <c r="A43" s="218"/>
      <c r="B43" s="1"/>
      <c r="I43" s="15"/>
    </row>
    <row r="44" spans="1:15">
      <c r="A44" s="218"/>
    </row>
    <row r="45" spans="1:15">
      <c r="E45" s="216" t="str">
        <f>+B1</f>
        <v>Attachment 4</v>
      </c>
      <c r="J45" s="1" t="s">
        <v>147</v>
      </c>
    </row>
    <row r="46" spans="1:15">
      <c r="A46" s="285"/>
      <c r="B46" s="216"/>
      <c r="C46" s="286"/>
      <c r="D46" s="286"/>
      <c r="E46" s="811" t="str">
        <f>+B2</f>
        <v xml:space="preserve">Rate Base Worksheet </v>
      </c>
      <c r="F46" s="286"/>
      <c r="L46" s="13"/>
      <c r="M46" s="13"/>
      <c r="N46" s="13"/>
      <c r="O46" s="13"/>
    </row>
    <row r="47" spans="1:15" s="321" customFormat="1">
      <c r="A47" s="602"/>
      <c r="B47" s="216"/>
      <c r="C47" s="286"/>
      <c r="D47" s="286"/>
      <c r="E47" s="811" t="str">
        <f>+B3</f>
        <v>Transource Maryland, LLC</v>
      </c>
      <c r="F47" s="286"/>
      <c r="L47" s="13"/>
      <c r="M47" s="13"/>
      <c r="N47" s="13"/>
      <c r="O47" s="13"/>
    </row>
    <row r="48" spans="1:15" s="321" customFormat="1">
      <c r="A48" s="602"/>
      <c r="B48" s="606" t="s">
        <v>704</v>
      </c>
      <c r="C48" s="286"/>
      <c r="D48" s="286"/>
      <c r="E48" s="286"/>
      <c r="F48" s="286"/>
      <c r="G48" s="286"/>
      <c r="L48" s="13"/>
      <c r="M48" s="13"/>
      <c r="N48" s="13"/>
      <c r="O48" s="13"/>
    </row>
    <row r="49" spans="1:15" s="321" customFormat="1" ht="25.5" customHeight="1">
      <c r="A49" s="602"/>
      <c r="B49" s="216"/>
      <c r="C49" s="1007" t="s">
        <v>599</v>
      </c>
      <c r="D49" s="1007" t="s">
        <v>837</v>
      </c>
      <c r="E49" s="1007" t="s">
        <v>838</v>
      </c>
      <c r="F49" s="1007" t="s">
        <v>601</v>
      </c>
      <c r="L49" s="13"/>
      <c r="M49" s="13"/>
      <c r="N49" s="13"/>
      <c r="O49" s="13"/>
    </row>
    <row r="50" spans="1:15" s="321" customFormat="1" ht="12.75" customHeight="1">
      <c r="A50" s="602"/>
      <c r="B50" s="216"/>
      <c r="C50" s="1007"/>
      <c r="D50" s="1007"/>
      <c r="E50" s="1007"/>
      <c r="F50" s="1007"/>
      <c r="L50" s="13"/>
      <c r="M50" s="13"/>
      <c r="N50" s="13"/>
      <c r="O50" s="13"/>
    </row>
    <row r="51" spans="1:15" s="321" customFormat="1">
      <c r="A51" s="602"/>
      <c r="B51" s="216"/>
      <c r="C51" s="3" t="s">
        <v>190</v>
      </c>
      <c r="D51" s="3" t="s">
        <v>191</v>
      </c>
      <c r="E51" s="851" t="s">
        <v>192</v>
      </c>
      <c r="F51" s="604" t="s">
        <v>839</v>
      </c>
      <c r="L51" s="13"/>
      <c r="M51" s="13"/>
      <c r="N51" s="13"/>
      <c r="O51" s="13"/>
    </row>
    <row r="52" spans="1:15" s="321" customFormat="1" ht="25.5">
      <c r="A52" s="602"/>
      <c r="B52" s="216"/>
      <c r="C52" s="323" t="s">
        <v>598</v>
      </c>
      <c r="D52" s="323" t="s">
        <v>600</v>
      </c>
      <c r="E52" s="323" t="s">
        <v>600</v>
      </c>
      <c r="F52" s="323"/>
      <c r="L52" s="13"/>
      <c r="M52" s="13"/>
      <c r="N52" s="13"/>
      <c r="O52" s="13"/>
    </row>
    <row r="53" spans="1:15" s="321" customFormat="1">
      <c r="A53" s="602">
        <f>+A42+1</f>
        <v>29</v>
      </c>
      <c r="B53" s="5" t="s">
        <v>187</v>
      </c>
      <c r="C53" s="6">
        <v>8591789.9906015564</v>
      </c>
      <c r="D53" s="6">
        <v>28058.6166015573</v>
      </c>
      <c r="E53" s="6">
        <v>0</v>
      </c>
      <c r="F53" s="363">
        <f>+C53-D53-E53</f>
        <v>8563731.3739999998</v>
      </c>
      <c r="L53" s="13"/>
      <c r="M53" s="13"/>
      <c r="N53" s="13"/>
      <c r="O53" s="13"/>
    </row>
    <row r="54" spans="1:15" s="321" customFormat="1">
      <c r="A54" s="602">
        <f>+A53+1</f>
        <v>30</v>
      </c>
      <c r="B54" s="5" t="s">
        <v>85</v>
      </c>
      <c r="C54" s="6">
        <v>8741610.1681639273</v>
      </c>
      <c r="D54" s="6">
        <v>17878.794163927902</v>
      </c>
      <c r="E54" s="6">
        <v>0</v>
      </c>
      <c r="F54" s="363">
        <f t="shared" ref="F54:F65" si="2">+C54-D54-E54</f>
        <v>8723731.3739999998</v>
      </c>
      <c r="L54" s="13"/>
      <c r="M54" s="13"/>
      <c r="N54" s="13"/>
      <c r="O54" s="13"/>
    </row>
    <row r="55" spans="1:15" s="321" customFormat="1">
      <c r="A55" s="602">
        <f t="shared" ref="A55:A65" si="3">+A54+1</f>
        <v>31</v>
      </c>
      <c r="B55" s="1" t="s">
        <v>84</v>
      </c>
      <c r="C55" s="6">
        <v>8892669.8122069202</v>
      </c>
      <c r="D55" s="6">
        <v>8938.4382069202402</v>
      </c>
      <c r="E55" s="6">
        <v>0</v>
      </c>
      <c r="F55" s="363">
        <f>+C55-D55-E55</f>
        <v>8883731.3739999998</v>
      </c>
      <c r="L55" s="13"/>
      <c r="M55" s="13"/>
      <c r="N55" s="13"/>
      <c r="O55" s="13"/>
    </row>
    <row r="56" spans="1:15" s="321" customFormat="1">
      <c r="A56" s="602">
        <f t="shared" si="3"/>
        <v>32</v>
      </c>
      <c r="B56" s="1" t="s">
        <v>164</v>
      </c>
      <c r="C56" s="6">
        <v>9043731.3739999998</v>
      </c>
      <c r="D56" s="6">
        <v>0</v>
      </c>
      <c r="E56" s="6">
        <v>0</v>
      </c>
      <c r="F56" s="363">
        <f t="shared" si="2"/>
        <v>9043731.3739999998</v>
      </c>
      <c r="L56" s="13"/>
      <c r="M56" s="13"/>
      <c r="N56" s="13"/>
      <c r="O56" s="13"/>
    </row>
    <row r="57" spans="1:15" s="321" customFormat="1">
      <c r="A57" s="602">
        <f t="shared" si="3"/>
        <v>33</v>
      </c>
      <c r="B57" s="1" t="s">
        <v>76</v>
      </c>
      <c r="C57" s="6">
        <v>9203731.3739999998</v>
      </c>
      <c r="D57" s="6">
        <v>0</v>
      </c>
      <c r="E57" s="6">
        <v>0</v>
      </c>
      <c r="F57" s="363">
        <f t="shared" si="2"/>
        <v>9203731.3739999998</v>
      </c>
      <c r="L57" s="13"/>
      <c r="M57" s="13"/>
      <c r="N57" s="13"/>
      <c r="O57" s="13"/>
    </row>
    <row r="58" spans="1:15" s="321" customFormat="1">
      <c r="A58" s="602">
        <f t="shared" si="3"/>
        <v>34</v>
      </c>
      <c r="B58" s="1" t="s">
        <v>75</v>
      </c>
      <c r="C58" s="6">
        <v>9483731.3739999998</v>
      </c>
      <c r="D58" s="6">
        <v>0</v>
      </c>
      <c r="E58" s="6">
        <v>0</v>
      </c>
      <c r="F58" s="363">
        <f t="shared" si="2"/>
        <v>9483731.3739999998</v>
      </c>
      <c r="L58" s="13"/>
      <c r="M58" s="13"/>
      <c r="N58" s="13"/>
      <c r="O58" s="13"/>
    </row>
    <row r="59" spans="1:15" s="321" customFormat="1">
      <c r="A59" s="602">
        <f t="shared" si="3"/>
        <v>35</v>
      </c>
      <c r="B59" s="1" t="s">
        <v>92</v>
      </c>
      <c r="C59" s="6">
        <v>9833731.3739999998</v>
      </c>
      <c r="D59" s="6">
        <v>0</v>
      </c>
      <c r="E59" s="6">
        <v>0</v>
      </c>
      <c r="F59" s="363">
        <f t="shared" si="2"/>
        <v>9833731.3739999998</v>
      </c>
      <c r="L59" s="13"/>
      <c r="M59" s="13"/>
      <c r="N59" s="13"/>
      <c r="O59" s="13"/>
    </row>
    <row r="60" spans="1:15" s="321" customFormat="1">
      <c r="A60" s="602">
        <f t="shared" si="3"/>
        <v>36</v>
      </c>
      <c r="B60" s="1" t="s">
        <v>82</v>
      </c>
      <c r="C60" s="6">
        <v>11483731.374</v>
      </c>
      <c r="D60" s="6">
        <v>0</v>
      </c>
      <c r="E60" s="6">
        <v>0</v>
      </c>
      <c r="F60" s="363">
        <f t="shared" si="2"/>
        <v>11483731.374</v>
      </c>
      <c r="L60" s="13"/>
      <c r="M60" s="13"/>
      <c r="N60" s="13"/>
      <c r="O60" s="13"/>
    </row>
    <row r="61" spans="1:15" s="321" customFormat="1">
      <c r="A61" s="602">
        <f t="shared" si="3"/>
        <v>37</v>
      </c>
      <c r="B61" s="1" t="s">
        <v>165</v>
      </c>
      <c r="C61" s="6">
        <v>12833731.374</v>
      </c>
      <c r="D61" s="6">
        <v>0</v>
      </c>
      <c r="E61" s="6">
        <v>0</v>
      </c>
      <c r="F61" s="363">
        <f t="shared" si="2"/>
        <v>12833731.374</v>
      </c>
      <c r="L61" s="13"/>
      <c r="M61" s="13"/>
      <c r="N61" s="13"/>
      <c r="O61" s="13"/>
    </row>
    <row r="62" spans="1:15" s="321" customFormat="1">
      <c r="A62" s="602">
        <f t="shared" si="3"/>
        <v>38</v>
      </c>
      <c r="B62" s="1" t="s">
        <v>80</v>
      </c>
      <c r="C62" s="6">
        <v>14038731.374</v>
      </c>
      <c r="D62" s="6">
        <v>0</v>
      </c>
      <c r="E62" s="6">
        <v>0</v>
      </c>
      <c r="F62" s="363">
        <f t="shared" si="2"/>
        <v>14038731.374</v>
      </c>
      <c r="L62" s="13"/>
      <c r="M62" s="13"/>
      <c r="N62" s="13"/>
      <c r="O62" s="13"/>
    </row>
    <row r="63" spans="1:15" s="321" customFormat="1">
      <c r="A63" s="602">
        <f t="shared" si="3"/>
        <v>39</v>
      </c>
      <c r="B63" s="1" t="s">
        <v>86</v>
      </c>
      <c r="C63" s="6">
        <v>15047612.374</v>
      </c>
      <c r="D63" s="6">
        <v>0</v>
      </c>
      <c r="E63" s="6">
        <v>0</v>
      </c>
      <c r="F63" s="363">
        <f t="shared" si="2"/>
        <v>15047612.374</v>
      </c>
      <c r="L63" s="13"/>
      <c r="M63" s="13"/>
      <c r="N63" s="13"/>
      <c r="O63" s="13"/>
    </row>
    <row r="64" spans="1:15" s="321" customFormat="1">
      <c r="A64" s="602">
        <f t="shared" si="3"/>
        <v>40</v>
      </c>
      <c r="B64" s="1" t="s">
        <v>79</v>
      </c>
      <c r="C64" s="6">
        <v>15792083.374</v>
      </c>
      <c r="D64" s="6">
        <v>0</v>
      </c>
      <c r="E64" s="6">
        <v>0</v>
      </c>
      <c r="F64" s="363">
        <f t="shared" si="2"/>
        <v>15792083.374</v>
      </c>
      <c r="L64" s="13"/>
      <c r="M64" s="13"/>
      <c r="N64" s="13"/>
      <c r="O64" s="13"/>
    </row>
    <row r="65" spans="1:16" s="321" customFormat="1">
      <c r="A65" s="602">
        <f t="shared" si="3"/>
        <v>41</v>
      </c>
      <c r="B65" s="1" t="s">
        <v>188</v>
      </c>
      <c r="C65" s="6">
        <v>16817083.373999998</v>
      </c>
      <c r="D65" s="6">
        <v>0</v>
      </c>
      <c r="E65" s="6">
        <v>0</v>
      </c>
      <c r="F65" s="363">
        <f t="shared" si="2"/>
        <v>16817083.373999998</v>
      </c>
      <c r="L65" s="13"/>
      <c r="M65" s="13"/>
      <c r="N65" s="13"/>
      <c r="O65" s="13"/>
    </row>
    <row r="66" spans="1:16" s="321" customFormat="1" ht="13.5" thickBot="1">
      <c r="A66" s="602"/>
      <c r="B66" s="216"/>
      <c r="C66" s="605">
        <f>+F66+D66</f>
        <v>11523382.208536338</v>
      </c>
      <c r="D66" s="605">
        <f>SUM(D53:D65)/13</f>
        <v>4221.2191517234951</v>
      </c>
      <c r="E66" s="605">
        <f>SUM(E53:E65)/13</f>
        <v>0</v>
      </c>
      <c r="F66" s="605">
        <f>SUM(F53:F65)/13</f>
        <v>11519160.989384614</v>
      </c>
      <c r="L66" s="13"/>
      <c r="M66" s="13"/>
      <c r="N66" s="13"/>
      <c r="O66" s="13"/>
    </row>
    <row r="67" spans="1:16" s="321" customFormat="1" ht="13.5" thickTop="1">
      <c r="A67" s="602"/>
      <c r="B67" s="216"/>
      <c r="C67" s="286"/>
      <c r="D67" s="286"/>
      <c r="E67" s="286"/>
      <c r="F67" s="286"/>
      <c r="G67" s="286"/>
      <c r="L67" s="13"/>
      <c r="M67" s="13"/>
      <c r="N67" s="13"/>
      <c r="O67" s="13"/>
    </row>
    <row r="68" spans="1:16">
      <c r="A68" s="285"/>
      <c r="B68" s="607" t="s">
        <v>826</v>
      </c>
      <c r="C68" s="286"/>
      <c r="D68" s="286"/>
      <c r="E68" s="286"/>
      <c r="F68" s="287"/>
      <c r="G68" s="287"/>
      <c r="H68" s="215"/>
      <c r="I68" s="215"/>
      <c r="J68" s="217"/>
      <c r="K68" s="13"/>
      <c r="L68" s="13"/>
      <c r="M68" s="13"/>
      <c r="N68" s="13"/>
      <c r="O68" s="13"/>
    </row>
    <row r="69" spans="1:16">
      <c r="A69" s="285"/>
      <c r="B69" s="216" t="s">
        <v>190</v>
      </c>
      <c r="C69" s="216" t="s">
        <v>191</v>
      </c>
      <c r="D69" s="844" t="s">
        <v>756</v>
      </c>
      <c r="E69" s="844" t="s">
        <v>757</v>
      </c>
      <c r="F69" s="216" t="s">
        <v>192</v>
      </c>
      <c r="G69" s="216" t="s">
        <v>193</v>
      </c>
      <c r="H69" s="264" t="s">
        <v>195</v>
      </c>
      <c r="I69" s="264" t="s">
        <v>194</v>
      </c>
      <c r="J69" s="264" t="s">
        <v>196</v>
      </c>
      <c r="K69" s="264" t="s">
        <v>197</v>
      </c>
      <c r="L69" s="13"/>
      <c r="M69" s="13"/>
      <c r="N69" s="13"/>
      <c r="O69" s="13"/>
      <c r="P69" s="13"/>
    </row>
    <row r="70" spans="1:16" ht="63.75">
      <c r="A70" s="285"/>
      <c r="B70" s="669" t="s">
        <v>297</v>
      </c>
      <c r="C70" s="357"/>
      <c r="D70" s="670" t="s">
        <v>758</v>
      </c>
      <c r="E70" s="670" t="s">
        <v>759</v>
      </c>
      <c r="F70" s="670" t="s">
        <v>11</v>
      </c>
      <c r="G70" s="670" t="s">
        <v>298</v>
      </c>
      <c r="H70" s="670" t="s">
        <v>639</v>
      </c>
      <c r="I70" s="670" t="s">
        <v>637</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2"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1" t="s">
        <v>13</v>
      </c>
      <c r="D73" s="672"/>
      <c r="E73" s="672"/>
      <c r="F73" s="585">
        <f>SUM(F71:F72)</f>
        <v>0</v>
      </c>
      <c r="G73" s="672"/>
      <c r="H73" s="673"/>
      <c r="I73" s="673"/>
      <c r="J73" s="672"/>
      <c r="K73" s="674">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8" t="s">
        <v>176</v>
      </c>
    </row>
    <row r="77" spans="1:16" ht="18" customHeight="1">
      <c r="A77" s="322" t="s">
        <v>62</v>
      </c>
      <c r="B77" s="268" t="s">
        <v>867</v>
      </c>
      <c r="C77" s="257"/>
      <c r="D77" s="257"/>
      <c r="E77" s="257"/>
      <c r="F77" s="257"/>
      <c r="G77" s="257"/>
      <c r="H77" s="257"/>
      <c r="I77" s="257"/>
      <c r="J77" s="257"/>
      <c r="K77" s="257"/>
    </row>
    <row r="78" spans="1:16" s="215" customFormat="1" ht="48.75" customHeight="1">
      <c r="A78" s="322" t="s">
        <v>63</v>
      </c>
      <c r="B78" s="982" t="s">
        <v>707</v>
      </c>
      <c r="C78" s="982"/>
      <c r="D78" s="982"/>
      <c r="E78" s="982"/>
      <c r="F78" s="982"/>
      <c r="G78" s="982"/>
      <c r="H78" s="982"/>
      <c r="I78" s="982"/>
      <c r="J78" s="801"/>
      <c r="K78" s="443"/>
    </row>
    <row r="79" spans="1:16" ht="27.75" customHeight="1">
      <c r="A79" s="322" t="s">
        <v>64</v>
      </c>
      <c r="B79" s="982" t="s">
        <v>505</v>
      </c>
      <c r="C79" s="982"/>
      <c r="D79" s="982"/>
      <c r="E79" s="982"/>
      <c r="F79" s="982"/>
      <c r="G79" s="982"/>
      <c r="H79" s="982"/>
      <c r="I79" s="982"/>
      <c r="J79" s="801"/>
      <c r="K79" s="801"/>
    </row>
    <row r="80" spans="1:16" ht="12.75" customHeight="1">
      <c r="A80" s="322" t="s">
        <v>65</v>
      </c>
      <c r="B80" s="982" t="s">
        <v>334</v>
      </c>
      <c r="C80" s="982"/>
      <c r="D80" s="982"/>
      <c r="E80" s="982"/>
      <c r="F80" s="982"/>
      <c r="G80" s="982"/>
      <c r="H80" s="982"/>
      <c r="I80" s="982"/>
      <c r="J80" s="801"/>
      <c r="K80" s="801"/>
      <c r="L80" s="217"/>
    </row>
    <row r="81" spans="1:12" ht="33.75" customHeight="1">
      <c r="A81" s="322" t="s">
        <v>66</v>
      </c>
      <c r="B81" s="982" t="s">
        <v>869</v>
      </c>
      <c r="C81" s="982"/>
      <c r="D81" s="982"/>
      <c r="E81" s="982"/>
      <c r="F81" s="982"/>
      <c r="G81" s="982"/>
      <c r="H81" s="982"/>
      <c r="I81" s="982"/>
    </row>
    <row r="82" spans="1:12" s="215" customFormat="1" ht="60.75" customHeight="1">
      <c r="A82" s="322" t="s">
        <v>67</v>
      </c>
      <c r="B82" s="982" t="s">
        <v>636</v>
      </c>
      <c r="C82" s="982"/>
      <c r="D82" s="982"/>
      <c r="E82" s="982"/>
      <c r="F82" s="982"/>
      <c r="G82" s="982"/>
      <c r="H82" s="982"/>
      <c r="I82" s="982"/>
      <c r="J82" s="802"/>
      <c r="K82" s="802"/>
    </row>
    <row r="83" spans="1:12" ht="29.25" customHeight="1">
      <c r="A83" s="322" t="s">
        <v>68</v>
      </c>
      <c r="B83" s="1011" t="s">
        <v>705</v>
      </c>
      <c r="C83" s="1011"/>
      <c r="D83" s="1011"/>
      <c r="E83" s="1011"/>
      <c r="F83" s="1011"/>
      <c r="G83" s="1011"/>
      <c r="H83" s="1011"/>
      <c r="I83" s="1011"/>
      <c r="J83" s="802"/>
      <c r="K83" s="798"/>
    </row>
    <row r="84" spans="1:12" ht="18" customHeight="1">
      <c r="A84" s="322" t="s">
        <v>69</v>
      </c>
      <c r="B84" s="993" t="s">
        <v>638</v>
      </c>
      <c r="C84" s="993"/>
      <c r="D84" s="993"/>
      <c r="E84" s="993"/>
      <c r="F84" s="993"/>
      <c r="G84" s="993"/>
      <c r="H84" s="993"/>
      <c r="I84" s="993"/>
      <c r="J84" s="798"/>
      <c r="K84" s="798"/>
    </row>
    <row r="85" spans="1:12" ht="21.75" customHeight="1">
      <c r="A85" s="322" t="s">
        <v>70</v>
      </c>
      <c r="B85" s="993" t="s">
        <v>760</v>
      </c>
      <c r="C85" s="993"/>
      <c r="D85" s="993"/>
      <c r="E85" s="993"/>
      <c r="F85" s="993"/>
      <c r="G85" s="993"/>
      <c r="H85" s="993"/>
      <c r="I85" s="993"/>
    </row>
    <row r="86" spans="1:12" s="321" customFormat="1" ht="12.75" customHeight="1">
      <c r="A86" s="322" t="s">
        <v>71</v>
      </c>
      <c r="B86" s="982" t="s">
        <v>825</v>
      </c>
      <c r="C86" s="982"/>
      <c r="D86" s="982"/>
      <c r="E86" s="982"/>
      <c r="F86" s="982"/>
      <c r="G86" s="982"/>
      <c r="H86" s="982"/>
      <c r="I86" s="982"/>
      <c r="J86" s="850"/>
      <c r="K86" s="850"/>
      <c r="L86" s="217"/>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6"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8"/>
  <sheetViews>
    <sheetView view="pageBreakPreview" zoomScale="80" zoomScaleNormal="90" zoomScaleSheetLayoutView="80" workbookViewId="0"/>
  </sheetViews>
  <sheetFormatPr defaultColWidth="8.88671875" defaultRowHeight="15" customHeight="1"/>
  <cols>
    <col min="1" max="1" width="6.6640625" style="855" customWidth="1"/>
    <col min="2" max="2" width="35" style="888" customWidth="1"/>
    <col min="3" max="3" width="14.77734375" style="855" customWidth="1"/>
    <col min="4" max="4" width="14.109375" style="855" customWidth="1"/>
    <col min="5" max="5" width="13" style="855" customWidth="1"/>
    <col min="6" max="6" width="13.109375" style="855" customWidth="1"/>
    <col min="7" max="7" width="15.88671875" style="855" customWidth="1"/>
    <col min="8" max="8" width="39.33203125" style="855" customWidth="1"/>
    <col min="9" max="9" width="8.88671875" style="855"/>
    <col min="10" max="10" width="27.88671875" style="855" customWidth="1"/>
    <col min="11" max="16384" width="8.88671875" style="855"/>
  </cols>
  <sheetData>
    <row r="1" spans="2:10" ht="15" customHeight="1">
      <c r="B1" s="1019" t="str">
        <f>+'Attachment H-30A'!D5</f>
        <v>Transource Maryland, LLC</v>
      </c>
      <c r="C1" s="1019"/>
      <c r="D1" s="1019"/>
      <c r="E1" s="1019"/>
      <c r="F1" s="1019"/>
      <c r="G1" s="1019"/>
      <c r="H1" s="931" t="str">
        <f>+'Attachment H-30A'!J3</f>
        <v>For  the 12 months ended 12/31/20</v>
      </c>
      <c r="I1" s="854"/>
      <c r="J1" s="854"/>
    </row>
    <row r="2" spans="2:10" ht="15" customHeight="1">
      <c r="B2" s="1020" t="s">
        <v>816</v>
      </c>
      <c r="C2" s="1020"/>
      <c r="D2" s="1020"/>
      <c r="E2" s="1020"/>
      <c r="F2" s="1020"/>
      <c r="G2" s="1020"/>
      <c r="H2" s="931" t="s">
        <v>602</v>
      </c>
      <c r="I2" s="854"/>
      <c r="J2" s="854"/>
    </row>
    <row r="3" spans="2:10" ht="15" customHeight="1">
      <c r="B3" s="1019" t="s">
        <v>817</v>
      </c>
      <c r="C3" s="1019"/>
      <c r="D3" s="1019"/>
      <c r="E3" s="1019"/>
      <c r="F3" s="1019"/>
      <c r="G3" s="1019"/>
      <c r="H3" s="853"/>
      <c r="I3" s="854"/>
      <c r="J3" s="854"/>
    </row>
    <row r="4" spans="2:10" s="857" customFormat="1" ht="15" customHeight="1">
      <c r="B4" s="912"/>
      <c r="C4" s="912"/>
      <c r="D4" s="912"/>
      <c r="E4" s="912"/>
      <c r="F4" s="912"/>
      <c r="G4" s="912"/>
      <c r="H4" s="931"/>
      <c r="I4" s="856"/>
      <c r="J4" s="854"/>
    </row>
    <row r="5" spans="2:10" s="859" customFormat="1" ht="15" customHeight="1">
      <c r="H5" s="861"/>
      <c r="J5" s="918"/>
    </row>
    <row r="6" spans="2:10" s="859" customFormat="1" ht="15" customHeight="1">
      <c r="B6" s="858" t="s">
        <v>827</v>
      </c>
      <c r="J6" s="918"/>
    </row>
    <row r="7" spans="2:10" s="859" customFormat="1" ht="15" customHeight="1">
      <c r="B7" s="858" t="s">
        <v>789</v>
      </c>
      <c r="J7" s="918"/>
    </row>
    <row r="8" spans="2:10" s="859" customFormat="1" ht="15" customHeight="1">
      <c r="B8" s="858"/>
      <c r="J8" s="918"/>
    </row>
    <row r="9" spans="2:10" s="918" customFormat="1" ht="15" customHeight="1">
      <c r="B9" s="865" t="s">
        <v>785</v>
      </c>
      <c r="C9" s="866"/>
      <c r="D9" s="867"/>
      <c r="E9" s="868"/>
      <c r="F9" s="869"/>
      <c r="G9" s="870"/>
      <c r="H9" s="869"/>
    </row>
    <row r="10" spans="2:10" s="918" customFormat="1" ht="15" customHeight="1">
      <c r="B10" s="1017" t="s">
        <v>804</v>
      </c>
      <c r="C10" s="1018"/>
      <c r="D10" s="1018"/>
      <c r="E10" s="1018"/>
      <c r="F10" s="1018"/>
      <c r="G10" s="1018"/>
      <c r="H10" s="869"/>
    </row>
    <row r="11" spans="2:10" s="918" customFormat="1" ht="15" customHeight="1">
      <c r="B11" s="871" t="s">
        <v>828</v>
      </c>
      <c r="C11" s="869"/>
      <c r="D11" s="863"/>
      <c r="E11" s="863"/>
      <c r="F11" s="868"/>
      <c r="G11" s="868"/>
      <c r="H11" s="869"/>
    </row>
    <row r="12" spans="2:10" s="918" customFormat="1" ht="15" customHeight="1">
      <c r="B12" s="871" t="s">
        <v>786</v>
      </c>
      <c r="C12" s="869"/>
      <c r="D12" s="863"/>
      <c r="E12" s="863"/>
      <c r="F12" s="868"/>
      <c r="G12" s="868"/>
      <c r="H12" s="869"/>
    </row>
    <row r="13" spans="2:10" s="918" customFormat="1" ht="15" customHeight="1">
      <c r="B13" s="871" t="s">
        <v>815</v>
      </c>
      <c r="C13" s="869"/>
      <c r="D13" s="863"/>
      <c r="E13" s="863"/>
      <c r="F13" s="868"/>
      <c r="G13" s="868"/>
      <c r="H13" s="869"/>
    </row>
    <row r="14" spans="2:10" s="859" customFormat="1" ht="15" customHeight="1">
      <c r="B14" s="858"/>
      <c r="J14" s="918"/>
    </row>
    <row r="15" spans="2:10" s="859" customFormat="1" ht="15" customHeight="1">
      <c r="B15" s="860" t="s">
        <v>62</v>
      </c>
      <c r="C15" s="860" t="s">
        <v>63</v>
      </c>
      <c r="D15" s="860" t="s">
        <v>64</v>
      </c>
      <c r="E15" s="860" t="s">
        <v>65</v>
      </c>
      <c r="F15" s="860" t="s">
        <v>67</v>
      </c>
      <c r="G15" s="860" t="s">
        <v>68</v>
      </c>
      <c r="H15" s="860" t="s">
        <v>69</v>
      </c>
      <c r="J15" s="918"/>
    </row>
    <row r="16" spans="2:10" s="859" customFormat="1" ht="15" customHeight="1">
      <c r="B16" s="858"/>
      <c r="D16" s="860"/>
      <c r="E16" s="860"/>
      <c r="F16" s="860"/>
      <c r="G16" s="860"/>
      <c r="J16" s="918"/>
    </row>
    <row r="17" spans="1:10" s="859" customFormat="1" ht="15" customHeight="1">
      <c r="B17" s="858" t="s">
        <v>781</v>
      </c>
      <c r="C17" s="860" t="s">
        <v>13</v>
      </c>
      <c r="D17" s="860" t="s">
        <v>803</v>
      </c>
      <c r="E17" s="860" t="s">
        <v>16</v>
      </c>
      <c r="F17" s="860" t="s">
        <v>777</v>
      </c>
      <c r="G17" s="860" t="s">
        <v>778</v>
      </c>
      <c r="J17" s="918"/>
    </row>
    <row r="18" spans="1:10" s="859" customFormat="1" ht="15" customHeight="1">
      <c r="A18" s="892" t="s">
        <v>594</v>
      </c>
      <c r="B18" s="858"/>
      <c r="C18" s="860"/>
      <c r="D18" s="860" t="s">
        <v>802</v>
      </c>
      <c r="E18" s="860" t="s">
        <v>779</v>
      </c>
      <c r="F18" s="860" t="s">
        <v>779</v>
      </c>
      <c r="G18" s="860" t="s">
        <v>779</v>
      </c>
      <c r="H18" s="860" t="s">
        <v>784</v>
      </c>
      <c r="J18" s="918"/>
    </row>
    <row r="19" spans="1:10" s="918" customFormat="1" ht="16.5" customHeight="1">
      <c r="A19" s="860">
        <v>1</v>
      </c>
      <c r="B19" s="975" t="s">
        <v>911</v>
      </c>
      <c r="C19" s="920">
        <v>12576</v>
      </c>
      <c r="D19" s="921">
        <v>0</v>
      </c>
      <c r="E19" s="921">
        <v>12576</v>
      </c>
      <c r="F19" s="921">
        <v>0</v>
      </c>
      <c r="G19" s="921">
        <v>0</v>
      </c>
      <c r="H19" s="974" t="s">
        <v>912</v>
      </c>
      <c r="I19" s="869"/>
    </row>
    <row r="20" spans="1:10" s="918" customFormat="1" ht="16.5" customHeight="1">
      <c r="A20" s="860">
        <f>+A19+1</f>
        <v>2</v>
      </c>
      <c r="B20" s="975" t="s">
        <v>913</v>
      </c>
      <c r="C20" s="920">
        <v>262</v>
      </c>
      <c r="D20" s="920">
        <v>262</v>
      </c>
      <c r="E20" s="921">
        <v>0</v>
      </c>
      <c r="F20" s="921">
        <v>0</v>
      </c>
      <c r="G20" s="921">
        <v>0</v>
      </c>
      <c r="H20" s="974" t="s">
        <v>914</v>
      </c>
      <c r="I20" s="869"/>
    </row>
    <row r="21" spans="1:10" s="918" customFormat="1" ht="16.5" customHeight="1">
      <c r="A21" s="860">
        <f t="shared" ref="A21:A32" si="0">+A20+1</f>
        <v>3</v>
      </c>
      <c r="B21" s="975" t="s">
        <v>915</v>
      </c>
      <c r="C21" s="920">
        <v>-1121</v>
      </c>
      <c r="D21" s="921">
        <v>-1121</v>
      </c>
      <c r="E21" s="921">
        <v>0</v>
      </c>
      <c r="F21" s="921">
        <v>0</v>
      </c>
      <c r="G21" s="921">
        <v>0</v>
      </c>
      <c r="H21" s="974" t="s">
        <v>916</v>
      </c>
      <c r="I21" s="869"/>
    </row>
    <row r="22" spans="1:10" s="918" customFormat="1" ht="16.5" customHeight="1">
      <c r="A22" s="860">
        <f t="shared" si="0"/>
        <v>4</v>
      </c>
      <c r="B22" s="975"/>
      <c r="C22" s="920">
        <v>0</v>
      </c>
      <c r="D22" s="921">
        <v>0</v>
      </c>
      <c r="E22" s="921">
        <v>0</v>
      </c>
      <c r="F22" s="921">
        <v>0</v>
      </c>
      <c r="G22" s="921">
        <v>0</v>
      </c>
      <c r="H22" s="974"/>
      <c r="I22" s="869"/>
    </row>
    <row r="23" spans="1:10" s="918" customFormat="1" ht="15" customHeight="1">
      <c r="A23" s="860">
        <f t="shared" si="0"/>
        <v>5</v>
      </c>
      <c r="B23" s="919"/>
      <c r="C23" s="920">
        <v>0</v>
      </c>
      <c r="D23" s="921"/>
      <c r="E23" s="920"/>
      <c r="F23" s="920"/>
      <c r="G23" s="921"/>
      <c r="H23" s="877"/>
      <c r="I23" s="869"/>
    </row>
    <row r="24" spans="1:10" s="918" customFormat="1" ht="15" customHeight="1">
      <c r="A24" s="860">
        <f t="shared" si="0"/>
        <v>6</v>
      </c>
      <c r="B24" s="919"/>
      <c r="C24" s="920">
        <v>0</v>
      </c>
      <c r="D24" s="921"/>
      <c r="E24" s="920"/>
      <c r="F24" s="920"/>
      <c r="G24" s="921"/>
      <c r="H24" s="877"/>
      <c r="I24" s="869"/>
    </row>
    <row r="25" spans="1:10" s="918" customFormat="1" ht="15" customHeight="1">
      <c r="A25" s="860">
        <f t="shared" si="0"/>
        <v>7</v>
      </c>
      <c r="B25" s="919"/>
      <c r="C25" s="920">
        <v>0</v>
      </c>
      <c r="D25" s="920"/>
      <c r="E25" s="920"/>
      <c r="F25" s="921"/>
      <c r="G25" s="921"/>
      <c r="H25" s="877"/>
      <c r="I25" s="869"/>
    </row>
    <row r="26" spans="1:10" s="918" customFormat="1" ht="15" customHeight="1">
      <c r="A26" s="860">
        <f t="shared" si="0"/>
        <v>8</v>
      </c>
      <c r="B26" s="919"/>
      <c r="C26" s="920">
        <v>0</v>
      </c>
      <c r="D26" s="920"/>
      <c r="E26" s="920"/>
      <c r="F26" s="921"/>
      <c r="G26" s="921"/>
      <c r="H26" s="877"/>
      <c r="I26" s="869"/>
    </row>
    <row r="27" spans="1:10" s="918" customFormat="1" ht="15" customHeight="1">
      <c r="A27" s="860">
        <f t="shared" si="0"/>
        <v>9</v>
      </c>
      <c r="B27" s="919"/>
      <c r="C27" s="920">
        <v>0</v>
      </c>
      <c r="D27" s="920"/>
      <c r="E27" s="920"/>
      <c r="F27" s="921"/>
      <c r="G27" s="921"/>
      <c r="H27" s="877"/>
      <c r="I27" s="869"/>
    </row>
    <row r="28" spans="1:10" s="918" customFormat="1" ht="15" customHeight="1">
      <c r="A28" s="860">
        <f t="shared" si="0"/>
        <v>10</v>
      </c>
      <c r="B28" s="919"/>
      <c r="C28" s="920">
        <v>0</v>
      </c>
      <c r="D28" s="920"/>
      <c r="E28" s="920"/>
      <c r="F28" s="920"/>
      <c r="G28" s="920"/>
      <c r="H28" s="877"/>
      <c r="I28" s="869"/>
    </row>
    <row r="29" spans="1:10" s="918" customFormat="1" ht="15" customHeight="1">
      <c r="A29" s="860">
        <f t="shared" si="0"/>
        <v>11</v>
      </c>
      <c r="B29" s="879" t="s">
        <v>824</v>
      </c>
      <c r="C29" s="880">
        <f>SUBTOTAL(9,C19:C28)</f>
        <v>11717</v>
      </c>
      <c r="D29" s="880">
        <f>SUM(D19:D28)</f>
        <v>-859</v>
      </c>
      <c r="E29" s="880">
        <f>SUM(E19:E28)</f>
        <v>12576</v>
      </c>
      <c r="F29" s="880">
        <f>SUM(F19:F28)</f>
        <v>0</v>
      </c>
      <c r="G29" s="880">
        <f>SUM(G19:G28)</f>
        <v>0</v>
      </c>
      <c r="H29" s="881"/>
      <c r="I29" s="869"/>
    </row>
    <row r="30" spans="1:10" s="918" customFormat="1" ht="15" customHeight="1">
      <c r="A30" s="860">
        <f t="shared" si="0"/>
        <v>12</v>
      </c>
      <c r="B30" s="879" t="s">
        <v>782</v>
      </c>
      <c r="C30" s="942"/>
      <c r="D30" s="943"/>
      <c r="E30" s="947"/>
      <c r="F30" s="943"/>
      <c r="G30" s="945">
        <f>+'Attachment H-30A'!$I$197</f>
        <v>1</v>
      </c>
      <c r="H30" s="870"/>
      <c r="I30" s="869"/>
    </row>
    <row r="31" spans="1:10" s="918" customFormat="1" ht="15" customHeight="1">
      <c r="A31" s="860">
        <f t="shared" si="0"/>
        <v>13</v>
      </c>
      <c r="B31" s="941" t="s">
        <v>783</v>
      </c>
      <c r="C31" s="938"/>
      <c r="D31" s="926"/>
      <c r="E31" s="948"/>
      <c r="F31" s="935">
        <f>+'Attachment H-30A'!$G$83</f>
        <v>1</v>
      </c>
      <c r="G31" s="947"/>
      <c r="H31" s="870"/>
      <c r="I31" s="869"/>
    </row>
    <row r="32" spans="1:10" s="918" customFormat="1" ht="15" customHeight="1" thickBot="1">
      <c r="A32" s="860">
        <f t="shared" si="0"/>
        <v>14</v>
      </c>
      <c r="B32" s="946" t="s">
        <v>841</v>
      </c>
      <c r="C32" s="939">
        <f>+SUM(E32:G32)</f>
        <v>12576</v>
      </c>
      <c r="D32" s="949"/>
      <c r="E32" s="934">
        <f>+E29</f>
        <v>12576</v>
      </c>
      <c r="F32" s="940">
        <f>+F29*F31</f>
        <v>0</v>
      </c>
      <c r="G32" s="940">
        <f>+G29*G30</f>
        <v>0</v>
      </c>
      <c r="H32" s="870"/>
      <c r="I32" s="869"/>
    </row>
    <row r="33" spans="1:10" s="918" customFormat="1" ht="15" customHeight="1" thickTop="1">
      <c r="A33" s="860"/>
      <c r="B33" s="869"/>
      <c r="C33" s="933"/>
      <c r="D33" s="864"/>
      <c r="E33" s="864"/>
      <c r="F33" s="864"/>
      <c r="G33" s="864"/>
      <c r="H33" s="870"/>
      <c r="I33" s="869"/>
    </row>
    <row r="34" spans="1:10" s="859" customFormat="1" ht="15" customHeight="1">
      <c r="B34" s="1015" t="str">
        <f>+B1</f>
        <v>Transource Maryland, LLC</v>
      </c>
      <c r="C34" s="1016"/>
      <c r="D34" s="1016"/>
      <c r="E34" s="1016"/>
      <c r="F34" s="1016"/>
      <c r="G34" s="1016"/>
      <c r="H34" s="1016"/>
      <c r="I34" s="863"/>
      <c r="J34" s="918"/>
    </row>
    <row r="35" spans="1:10" s="859" customFormat="1" ht="15" customHeight="1">
      <c r="B35" s="1015" t="str">
        <f>+B2</f>
        <v>Attachment 4a - Accumulated Deferred Income Taxes (ADIT) Worksheet</v>
      </c>
      <c r="C35" s="1016"/>
      <c r="D35" s="1016"/>
      <c r="E35" s="1016"/>
      <c r="F35" s="1016"/>
      <c r="G35" s="1016"/>
      <c r="H35" s="1016"/>
      <c r="I35" s="863"/>
      <c r="J35" s="918"/>
    </row>
    <row r="36" spans="1:10" s="859" customFormat="1" ht="15" customHeight="1">
      <c r="B36" s="1015" t="str">
        <f>+B3</f>
        <v>Beginning of Rate Year and Rate Year Average</v>
      </c>
      <c r="C36" s="1016"/>
      <c r="D36" s="1016"/>
      <c r="E36" s="1016"/>
      <c r="F36" s="1016"/>
      <c r="G36" s="1016"/>
      <c r="H36" s="1016"/>
      <c r="I36" s="863"/>
      <c r="J36" s="918"/>
    </row>
    <row r="37" spans="1:10" s="859" customFormat="1" ht="9.75" customHeight="1">
      <c r="B37" s="874"/>
      <c r="C37" s="874"/>
      <c r="D37" s="874"/>
      <c r="E37" s="874"/>
      <c r="F37" s="874"/>
      <c r="G37" s="874"/>
      <c r="H37" s="874"/>
      <c r="I37" s="863"/>
      <c r="J37" s="918"/>
    </row>
    <row r="38" spans="1:10" s="918" customFormat="1" ht="15" customHeight="1">
      <c r="B38" s="865" t="s">
        <v>842</v>
      </c>
      <c r="C38" s="863"/>
      <c r="D38" s="868"/>
      <c r="E38" s="867"/>
      <c r="F38" s="869"/>
      <c r="G38" s="884"/>
      <c r="H38" s="931" t="s">
        <v>147</v>
      </c>
    </row>
    <row r="39" spans="1:10" s="918" customFormat="1" ht="15" customHeight="1">
      <c r="B39" s="1017" t="s">
        <v>804</v>
      </c>
      <c r="C39" s="1018"/>
      <c r="D39" s="1018"/>
      <c r="E39" s="1018"/>
      <c r="F39" s="1018"/>
      <c r="G39" s="1018"/>
      <c r="H39" s="869"/>
    </row>
    <row r="40" spans="1:10" s="918" customFormat="1" ht="15" customHeight="1">
      <c r="B40" s="871" t="s">
        <v>828</v>
      </c>
      <c r="C40" s="869"/>
      <c r="D40" s="863"/>
      <c r="E40" s="863"/>
      <c r="F40" s="868"/>
      <c r="G40" s="868"/>
      <c r="H40" s="869"/>
    </row>
    <row r="41" spans="1:10" s="918" customFormat="1" ht="15" customHeight="1">
      <c r="B41" s="871" t="s">
        <v>786</v>
      </c>
      <c r="C41" s="869"/>
      <c r="D41" s="863"/>
      <c r="E41" s="863"/>
      <c r="F41" s="868"/>
      <c r="G41" s="868"/>
      <c r="H41" s="869"/>
    </row>
    <row r="42" spans="1:10" s="918" customFormat="1" ht="15" customHeight="1">
      <c r="B42" s="871" t="s">
        <v>815</v>
      </c>
      <c r="C42" s="869"/>
      <c r="D42" s="863"/>
      <c r="E42" s="863"/>
      <c r="F42" s="868"/>
      <c r="G42" s="868"/>
      <c r="H42" s="869"/>
    </row>
    <row r="43" spans="1:10" s="918" customFormat="1" ht="15" customHeight="1">
      <c r="B43" s="872"/>
      <c r="C43" s="872"/>
      <c r="D43" s="872"/>
      <c r="E43" s="872"/>
      <c r="F43" s="872"/>
      <c r="G43" s="872"/>
      <c r="H43" s="884"/>
    </row>
    <row r="44" spans="1:10" s="859" customFormat="1" ht="15" customHeight="1">
      <c r="B44" s="860" t="s">
        <v>62</v>
      </c>
      <c r="C44" s="860" t="s">
        <v>63</v>
      </c>
      <c r="D44" s="860" t="s">
        <v>64</v>
      </c>
      <c r="E44" s="860" t="s">
        <v>65</v>
      </c>
      <c r="F44" s="860" t="s">
        <v>67</v>
      </c>
      <c r="G44" s="860" t="s">
        <v>68</v>
      </c>
      <c r="H44" s="860" t="s">
        <v>69</v>
      </c>
      <c r="I44" s="863"/>
      <c r="J44" s="918"/>
    </row>
    <row r="45" spans="1:10" s="859" customFormat="1" ht="15" customHeight="1">
      <c r="B45" s="863" t="s">
        <v>843</v>
      </c>
      <c r="C45" s="860" t="s">
        <v>13</v>
      </c>
      <c r="D45" s="860" t="s">
        <v>803</v>
      </c>
      <c r="E45" s="860" t="s">
        <v>16</v>
      </c>
      <c r="F45" s="860" t="s">
        <v>777</v>
      </c>
      <c r="G45" s="860" t="s">
        <v>778</v>
      </c>
      <c r="I45" s="863"/>
      <c r="J45" s="918"/>
    </row>
    <row r="46" spans="1:10" s="859" customFormat="1" ht="15" customHeight="1">
      <c r="A46" s="892" t="s">
        <v>594</v>
      </c>
      <c r="B46" s="871"/>
      <c r="C46" s="860"/>
      <c r="D46" s="860" t="s">
        <v>802</v>
      </c>
      <c r="E46" s="860" t="s">
        <v>779</v>
      </c>
      <c r="F46" s="860" t="s">
        <v>779</v>
      </c>
      <c r="G46" s="860" t="s">
        <v>779</v>
      </c>
      <c r="H46" s="860" t="s">
        <v>784</v>
      </c>
      <c r="I46" s="863"/>
      <c r="J46" s="918"/>
    </row>
    <row r="47" spans="1:10" s="918" customFormat="1" ht="15" customHeight="1">
      <c r="A47" s="860">
        <f>+A32+1</f>
        <v>15</v>
      </c>
      <c r="B47" s="975"/>
      <c r="C47" s="920">
        <v>0</v>
      </c>
      <c r="D47" s="921"/>
      <c r="E47" s="920"/>
      <c r="F47" s="920"/>
      <c r="G47" s="921"/>
      <c r="H47" s="877"/>
      <c r="I47" s="869"/>
    </row>
    <row r="48" spans="1:10" s="918" customFormat="1" ht="15" customHeight="1">
      <c r="A48" s="860">
        <f>+A47+1</f>
        <v>16</v>
      </c>
      <c r="B48" s="878"/>
      <c r="C48" s="920">
        <v>0</v>
      </c>
      <c r="D48" s="876"/>
      <c r="E48" s="876"/>
      <c r="F48" s="876"/>
      <c r="G48" s="876"/>
      <c r="H48" s="877"/>
      <c r="I48" s="869"/>
    </row>
    <row r="49" spans="1:10" s="918" customFormat="1" ht="15" customHeight="1">
      <c r="A49" s="860">
        <f t="shared" ref="A49:A52" si="1">+A48+1</f>
        <v>17</v>
      </c>
      <c r="B49" s="879" t="s">
        <v>845</v>
      </c>
      <c r="C49" s="880">
        <f>SUBTOTAL(9,C47:C48)</f>
        <v>0</v>
      </c>
      <c r="D49" s="880">
        <f>SUM(D47:D48)</f>
        <v>0</v>
      </c>
      <c r="E49" s="880">
        <f>SUM(E47:E48)</f>
        <v>0</v>
      </c>
      <c r="F49" s="880">
        <f>SUM(F47:F48)</f>
        <v>0</v>
      </c>
      <c r="G49" s="880">
        <f>SUM(G47:G48)</f>
        <v>0</v>
      </c>
      <c r="H49" s="881"/>
      <c r="I49" s="869"/>
    </row>
    <row r="50" spans="1:10" s="918" customFormat="1" ht="15" customHeight="1">
      <c r="A50" s="860">
        <f t="shared" si="1"/>
        <v>18</v>
      </c>
      <c r="B50" s="879" t="s">
        <v>782</v>
      </c>
      <c r="C50" s="942"/>
      <c r="D50" s="943"/>
      <c r="E50" s="947"/>
      <c r="F50" s="943"/>
      <c r="G50" s="945">
        <f>+'Attachment H-30A'!$I$197</f>
        <v>1</v>
      </c>
      <c r="H50" s="870"/>
      <c r="I50" s="869"/>
    </row>
    <row r="51" spans="1:10" s="918" customFormat="1" ht="15" customHeight="1">
      <c r="A51" s="860">
        <f t="shared" si="1"/>
        <v>19</v>
      </c>
      <c r="B51" s="941" t="s">
        <v>783</v>
      </c>
      <c r="C51" s="938"/>
      <c r="D51" s="926"/>
      <c r="E51" s="948"/>
      <c r="F51" s="935">
        <f>+'Attachment H-30A'!$G$83</f>
        <v>1</v>
      </c>
      <c r="G51" s="947"/>
      <c r="H51" s="870"/>
      <c r="I51" s="869"/>
    </row>
    <row r="52" spans="1:10" s="918" customFormat="1" ht="15" customHeight="1" thickBot="1">
      <c r="A52" s="860">
        <f t="shared" si="1"/>
        <v>20</v>
      </c>
      <c r="B52" s="946" t="s">
        <v>841</v>
      </c>
      <c r="C52" s="939">
        <f>+SUM(E52:G52)</f>
        <v>0</v>
      </c>
      <c r="D52" s="949"/>
      <c r="E52" s="934">
        <f>+E49</f>
        <v>0</v>
      </c>
      <c r="F52" s="940">
        <f>+F49*F51</f>
        <v>0</v>
      </c>
      <c r="G52" s="940">
        <f>+G49*G50</f>
        <v>0</v>
      </c>
      <c r="H52" s="870"/>
      <c r="I52" s="869"/>
    </row>
    <row r="53" spans="1:10" s="918" customFormat="1" ht="15" customHeight="1" thickTop="1">
      <c r="A53" s="860"/>
      <c r="B53" s="869"/>
      <c r="C53" s="933"/>
      <c r="D53" s="864"/>
      <c r="E53" s="864"/>
      <c r="F53" s="864"/>
      <c r="G53" s="864"/>
      <c r="H53" s="870"/>
      <c r="I53" s="869"/>
    </row>
    <row r="54" spans="1:10" s="859" customFormat="1" ht="15" customHeight="1">
      <c r="B54" s="860" t="s">
        <v>62</v>
      </c>
      <c r="C54" s="860" t="s">
        <v>63</v>
      </c>
      <c r="D54" s="860" t="s">
        <v>64</v>
      </c>
      <c r="E54" s="860" t="s">
        <v>65</v>
      </c>
      <c r="F54" s="860" t="s">
        <v>67</v>
      </c>
      <c r="G54" s="860" t="s">
        <v>68</v>
      </c>
      <c r="H54" s="860" t="s">
        <v>69</v>
      </c>
      <c r="I54" s="863"/>
      <c r="J54" s="918"/>
    </row>
    <row r="55" spans="1:10" s="859" customFormat="1" ht="15" customHeight="1">
      <c r="B55" s="863" t="s">
        <v>780</v>
      </c>
      <c r="C55" s="860" t="s">
        <v>13</v>
      </c>
      <c r="D55" s="860" t="s">
        <v>803</v>
      </c>
      <c r="E55" s="860" t="s">
        <v>16</v>
      </c>
      <c r="F55" s="860" t="s">
        <v>777</v>
      </c>
      <c r="G55" s="860" t="s">
        <v>778</v>
      </c>
      <c r="I55" s="863"/>
      <c r="J55" s="918"/>
    </row>
    <row r="56" spans="1:10" s="859" customFormat="1" ht="15" customHeight="1">
      <c r="A56" s="892" t="s">
        <v>594</v>
      </c>
      <c r="B56" s="871"/>
      <c r="C56" s="860"/>
      <c r="D56" s="860" t="s">
        <v>802</v>
      </c>
      <c r="E56" s="860" t="s">
        <v>779</v>
      </c>
      <c r="F56" s="860" t="s">
        <v>779</v>
      </c>
      <c r="G56" s="860" t="s">
        <v>779</v>
      </c>
      <c r="H56" s="860" t="s">
        <v>784</v>
      </c>
      <c r="I56" s="863"/>
      <c r="J56" s="918"/>
    </row>
    <row r="57" spans="1:10" s="918" customFormat="1" ht="15" customHeight="1">
      <c r="A57" s="860">
        <f>+A52+1</f>
        <v>21</v>
      </c>
      <c r="B57" s="919" t="s">
        <v>917</v>
      </c>
      <c r="C57" s="920">
        <v>-6695</v>
      </c>
      <c r="D57" s="921">
        <v>0</v>
      </c>
      <c r="E57" s="920">
        <v>0</v>
      </c>
      <c r="F57" s="921">
        <v>-6695</v>
      </c>
      <c r="G57" s="921">
        <v>0</v>
      </c>
      <c r="H57" s="974" t="s">
        <v>918</v>
      </c>
      <c r="I57" s="869"/>
    </row>
    <row r="58" spans="1:10" s="918" customFormat="1" ht="15" customHeight="1">
      <c r="A58" s="860">
        <f>+A57+1</f>
        <v>22</v>
      </c>
      <c r="B58" s="975" t="s">
        <v>919</v>
      </c>
      <c r="C58" s="920">
        <v>8050</v>
      </c>
      <c r="D58" s="921">
        <v>0</v>
      </c>
      <c r="E58" s="920">
        <v>0</v>
      </c>
      <c r="F58" s="921">
        <v>8050</v>
      </c>
      <c r="G58" s="921">
        <v>0</v>
      </c>
      <c r="H58" s="877" t="s">
        <v>920</v>
      </c>
      <c r="I58" s="869"/>
    </row>
    <row r="59" spans="1:10" s="918" customFormat="1" ht="15" customHeight="1">
      <c r="A59" s="860">
        <f t="shared" ref="A59:A67" si="2">+A58+1</f>
        <v>23</v>
      </c>
      <c r="B59" s="975" t="s">
        <v>921</v>
      </c>
      <c r="C59" s="920">
        <v>56</v>
      </c>
      <c r="D59" s="921">
        <v>0</v>
      </c>
      <c r="E59" s="920">
        <v>0</v>
      </c>
      <c r="F59" s="921">
        <v>56</v>
      </c>
      <c r="G59" s="921">
        <v>0</v>
      </c>
      <c r="H59" s="877" t="s">
        <v>922</v>
      </c>
      <c r="I59" s="869"/>
    </row>
    <row r="60" spans="1:10" s="918" customFormat="1" ht="15" customHeight="1">
      <c r="A60" s="860">
        <f t="shared" si="2"/>
        <v>24</v>
      </c>
      <c r="B60" s="975" t="s">
        <v>923</v>
      </c>
      <c r="C60" s="920">
        <v>986</v>
      </c>
      <c r="D60" s="921">
        <v>0</v>
      </c>
      <c r="E60" s="920">
        <v>0</v>
      </c>
      <c r="F60" s="921">
        <v>986</v>
      </c>
      <c r="G60" s="921">
        <v>0</v>
      </c>
      <c r="H60" s="877" t="s">
        <v>924</v>
      </c>
      <c r="I60" s="869"/>
    </row>
    <row r="61" spans="1:10" s="918" customFormat="1" ht="15" customHeight="1">
      <c r="A61" s="860">
        <f t="shared" si="2"/>
        <v>25</v>
      </c>
      <c r="B61" s="975" t="s">
        <v>925</v>
      </c>
      <c r="C61" s="920">
        <v>-88</v>
      </c>
      <c r="D61" s="921">
        <v>-88</v>
      </c>
      <c r="E61" s="920">
        <v>0</v>
      </c>
      <c r="F61" s="921">
        <v>0</v>
      </c>
      <c r="G61" s="921">
        <v>0</v>
      </c>
      <c r="H61" s="877" t="s">
        <v>926</v>
      </c>
      <c r="I61" s="869"/>
    </row>
    <row r="62" spans="1:10" s="918" customFormat="1" ht="15" customHeight="1">
      <c r="A62" s="860">
        <f t="shared" si="2"/>
        <v>26</v>
      </c>
      <c r="B62" s="975" t="s">
        <v>927</v>
      </c>
      <c r="C62" s="920">
        <v>19067</v>
      </c>
      <c r="D62" s="921">
        <v>19067</v>
      </c>
      <c r="E62" s="920">
        <v>0</v>
      </c>
      <c r="F62" s="921">
        <v>0</v>
      </c>
      <c r="G62" s="921">
        <v>0</v>
      </c>
      <c r="H62" s="877" t="s">
        <v>928</v>
      </c>
      <c r="I62" s="869"/>
    </row>
    <row r="63" spans="1:10" s="918" customFormat="1" ht="15" customHeight="1">
      <c r="A63" s="860">
        <f t="shared" si="2"/>
        <v>27</v>
      </c>
      <c r="B63" s="975" t="s">
        <v>913</v>
      </c>
      <c r="C63" s="920">
        <v>-986</v>
      </c>
      <c r="D63" s="921">
        <v>-986</v>
      </c>
      <c r="E63" s="920">
        <v>0</v>
      </c>
      <c r="F63" s="921">
        <v>0</v>
      </c>
      <c r="G63" s="921">
        <v>0</v>
      </c>
      <c r="H63" s="877" t="s">
        <v>924</v>
      </c>
      <c r="I63" s="869"/>
    </row>
    <row r="64" spans="1:10" s="918" customFormat="1" ht="15" customHeight="1">
      <c r="A64" s="860">
        <f t="shared" si="2"/>
        <v>28</v>
      </c>
      <c r="B64" s="879" t="s">
        <v>823</v>
      </c>
      <c r="C64" s="880">
        <f>SUBTOTAL(9,C57:C63)</f>
        <v>20390</v>
      </c>
      <c r="D64" s="880">
        <f>SUM(D57:D63)</f>
        <v>17993</v>
      </c>
      <c r="E64" s="880">
        <f>SUM(E57:E63)</f>
        <v>0</v>
      </c>
      <c r="F64" s="880">
        <f>SUM(F57:F63)</f>
        <v>2397</v>
      </c>
      <c r="G64" s="880">
        <f>SUM(G57:G63)</f>
        <v>0</v>
      </c>
      <c r="H64" s="881"/>
      <c r="I64" s="869"/>
    </row>
    <row r="65" spans="1:10" s="918" customFormat="1" ht="15" customHeight="1">
      <c r="A65" s="860">
        <f t="shared" si="2"/>
        <v>29</v>
      </c>
      <c r="B65" s="879" t="s">
        <v>782</v>
      </c>
      <c r="C65" s="942"/>
      <c r="D65" s="943"/>
      <c r="E65" s="947"/>
      <c r="F65" s="943"/>
      <c r="G65" s="945">
        <f>+'Attachment H-30A'!$I$197</f>
        <v>1</v>
      </c>
      <c r="H65" s="870"/>
      <c r="I65" s="869"/>
    </row>
    <row r="66" spans="1:10" s="918" customFormat="1" ht="15" customHeight="1">
      <c r="A66" s="860">
        <f t="shared" si="2"/>
        <v>30</v>
      </c>
      <c r="B66" s="941" t="s">
        <v>783</v>
      </c>
      <c r="C66" s="938"/>
      <c r="D66" s="926"/>
      <c r="E66" s="948"/>
      <c r="F66" s="935">
        <f>+'Attachment H-30A'!$G$83</f>
        <v>1</v>
      </c>
      <c r="G66" s="947"/>
      <c r="H66" s="870"/>
      <c r="I66" s="869"/>
    </row>
    <row r="67" spans="1:10" s="918" customFormat="1" ht="15" customHeight="1" thickBot="1">
      <c r="A67" s="860">
        <f t="shared" si="2"/>
        <v>31</v>
      </c>
      <c r="B67" s="946" t="s">
        <v>841</v>
      </c>
      <c r="C67" s="939">
        <f>+SUM(E67:G67)</f>
        <v>2397</v>
      </c>
      <c r="D67" s="949"/>
      <c r="E67" s="934">
        <f>+E64</f>
        <v>0</v>
      </c>
      <c r="F67" s="940">
        <f>+F64*F66</f>
        <v>2397</v>
      </c>
      <c r="G67" s="940">
        <f>+G64*G65</f>
        <v>0</v>
      </c>
      <c r="H67" s="870"/>
      <c r="I67" s="869"/>
    </row>
    <row r="68" spans="1:10" s="918" customFormat="1" ht="15" customHeight="1" thickTop="1">
      <c r="A68" s="860"/>
      <c r="B68" s="883"/>
      <c r="C68" s="869"/>
      <c r="D68" s="863"/>
      <c r="E68" s="866"/>
      <c r="F68" s="891"/>
      <c r="G68" s="867"/>
      <c r="H68" s="932"/>
      <c r="I68" s="869"/>
    </row>
    <row r="69" spans="1:10" s="859" customFormat="1" ht="15" customHeight="1">
      <c r="B69" s="860" t="s">
        <v>62</v>
      </c>
      <c r="C69" s="860" t="s">
        <v>63</v>
      </c>
      <c r="D69" s="860" t="s">
        <v>64</v>
      </c>
      <c r="E69" s="860" t="s">
        <v>65</v>
      </c>
      <c r="F69" s="860" t="s">
        <v>67</v>
      </c>
      <c r="G69" s="860" t="s">
        <v>68</v>
      </c>
      <c r="H69" s="860" t="s">
        <v>69</v>
      </c>
      <c r="I69" s="863"/>
      <c r="J69" s="918"/>
    </row>
    <row r="70" spans="1:10" s="859" customFormat="1" ht="15" customHeight="1">
      <c r="B70" s="863" t="s">
        <v>787</v>
      </c>
      <c r="C70" s="860" t="s">
        <v>13</v>
      </c>
      <c r="D70" s="860" t="s">
        <v>803</v>
      </c>
      <c r="E70" s="860" t="s">
        <v>16</v>
      </c>
      <c r="F70" s="860" t="s">
        <v>777</v>
      </c>
      <c r="G70" s="860" t="s">
        <v>778</v>
      </c>
      <c r="H70" s="860"/>
      <c r="I70" s="863"/>
      <c r="J70" s="918"/>
    </row>
    <row r="71" spans="1:10" s="859" customFormat="1" ht="15" customHeight="1">
      <c r="A71" s="892" t="s">
        <v>594</v>
      </c>
      <c r="B71" s="863"/>
      <c r="C71" s="860"/>
      <c r="D71" s="860" t="s">
        <v>802</v>
      </c>
      <c r="E71" s="860" t="s">
        <v>779</v>
      </c>
      <c r="F71" s="860" t="s">
        <v>779</v>
      </c>
      <c r="G71" s="860" t="s">
        <v>779</v>
      </c>
      <c r="H71" s="860" t="s">
        <v>784</v>
      </c>
      <c r="I71" s="863"/>
      <c r="J71" s="918"/>
    </row>
    <row r="72" spans="1:10" s="918" customFormat="1" ht="15" customHeight="1">
      <c r="A72" s="860">
        <f>+A67+1</f>
        <v>32</v>
      </c>
      <c r="B72" s="919" t="s">
        <v>929</v>
      </c>
      <c r="C72" s="920">
        <v>115146</v>
      </c>
      <c r="D72" s="920">
        <v>0</v>
      </c>
      <c r="E72" s="921">
        <v>115146</v>
      </c>
      <c r="F72" s="921">
        <v>0</v>
      </c>
      <c r="G72" s="921">
        <v>0</v>
      </c>
      <c r="H72" s="974" t="s">
        <v>930</v>
      </c>
      <c r="I72" s="869"/>
    </row>
    <row r="73" spans="1:10" s="918" customFormat="1" ht="15" customHeight="1">
      <c r="A73" s="860">
        <f>+A72+1</f>
        <v>33</v>
      </c>
      <c r="B73" s="975" t="s">
        <v>911</v>
      </c>
      <c r="C73" s="920">
        <v>59885</v>
      </c>
      <c r="D73" s="920">
        <v>0</v>
      </c>
      <c r="E73" s="921">
        <v>59885</v>
      </c>
      <c r="F73" s="921">
        <v>0</v>
      </c>
      <c r="G73" s="921">
        <v>0</v>
      </c>
      <c r="H73" s="974" t="s">
        <v>912</v>
      </c>
      <c r="I73" s="869"/>
    </row>
    <row r="74" spans="1:10" s="918" customFormat="1" ht="15" customHeight="1">
      <c r="A74" s="860">
        <f t="shared" ref="A74:A80" si="3">+A73+1</f>
        <v>34</v>
      </c>
      <c r="B74" s="975" t="s">
        <v>931</v>
      </c>
      <c r="C74" s="920">
        <v>-4218</v>
      </c>
      <c r="D74" s="921">
        <v>0</v>
      </c>
      <c r="E74" s="921">
        <v>-4218</v>
      </c>
      <c r="F74" s="921">
        <v>0</v>
      </c>
      <c r="G74" s="921">
        <v>0</v>
      </c>
      <c r="H74" s="974" t="s">
        <v>932</v>
      </c>
      <c r="I74" s="869"/>
    </row>
    <row r="75" spans="1:10" s="918" customFormat="1" ht="15" customHeight="1">
      <c r="A75" s="860">
        <f t="shared" si="3"/>
        <v>35</v>
      </c>
      <c r="B75" s="975" t="s">
        <v>915</v>
      </c>
      <c r="C75" s="920">
        <v>4218</v>
      </c>
      <c r="D75" s="921">
        <v>4218</v>
      </c>
      <c r="E75" s="921">
        <v>0</v>
      </c>
      <c r="F75" s="921">
        <v>0</v>
      </c>
      <c r="G75" s="921">
        <v>0</v>
      </c>
      <c r="H75" s="974" t="s">
        <v>932</v>
      </c>
      <c r="I75" s="869"/>
    </row>
    <row r="76" spans="1:10" s="918" customFormat="1" ht="15" customHeight="1">
      <c r="A76" s="860">
        <f t="shared" si="3"/>
        <v>36</v>
      </c>
      <c r="B76" s="919"/>
      <c r="C76" s="920">
        <v>0</v>
      </c>
      <c r="D76" s="921"/>
      <c r="E76" s="921"/>
      <c r="F76" s="921"/>
      <c r="G76" s="921"/>
      <c r="H76" s="877"/>
      <c r="I76" s="869"/>
    </row>
    <row r="77" spans="1:10" s="918" customFormat="1" ht="15" customHeight="1">
      <c r="A77" s="860">
        <f t="shared" si="3"/>
        <v>37</v>
      </c>
      <c r="B77" s="879" t="s">
        <v>822</v>
      </c>
      <c r="C77" s="880">
        <f>SUBTOTAL(9,C72:C76)</f>
        <v>175031</v>
      </c>
      <c r="D77" s="880">
        <f>SUM(D72:D76)</f>
        <v>4218</v>
      </c>
      <c r="E77" s="880">
        <f>SUM(E72:E76)</f>
        <v>170813</v>
      </c>
      <c r="F77" s="880">
        <f>SUM(F72:F76)</f>
        <v>0</v>
      </c>
      <c r="G77" s="880">
        <f>SUM(G72:G76)</f>
        <v>0</v>
      </c>
      <c r="H77" s="924"/>
      <c r="I77" s="869"/>
    </row>
    <row r="78" spans="1:10" s="918" customFormat="1" ht="15" customHeight="1">
      <c r="A78" s="860">
        <f t="shared" si="3"/>
        <v>38</v>
      </c>
      <c r="B78" s="879" t="s">
        <v>782</v>
      </c>
      <c r="C78" s="942"/>
      <c r="D78" s="943"/>
      <c r="E78" s="947"/>
      <c r="F78" s="943"/>
      <c r="G78" s="945">
        <f>+'Attachment H-30A'!$I$197</f>
        <v>1</v>
      </c>
      <c r="H78" s="870"/>
      <c r="I78" s="869"/>
    </row>
    <row r="79" spans="1:10" s="918" customFormat="1" ht="15" customHeight="1">
      <c r="A79" s="860">
        <f t="shared" si="3"/>
        <v>39</v>
      </c>
      <c r="B79" s="941" t="s">
        <v>783</v>
      </c>
      <c r="C79" s="938"/>
      <c r="D79" s="926"/>
      <c r="E79" s="948"/>
      <c r="F79" s="935">
        <f>+'Attachment H-30A'!$G$83</f>
        <v>1</v>
      </c>
      <c r="G79" s="947"/>
      <c r="H79" s="870"/>
      <c r="I79" s="869"/>
    </row>
    <row r="80" spans="1:10" s="918" customFormat="1" ht="15" customHeight="1" thickBot="1">
      <c r="A80" s="860">
        <f t="shared" si="3"/>
        <v>40</v>
      </c>
      <c r="B80" s="946" t="s">
        <v>841</v>
      </c>
      <c r="C80" s="939">
        <f>+SUM(E80:G80)</f>
        <v>170813</v>
      </c>
      <c r="D80" s="949"/>
      <c r="E80" s="934">
        <f>+E77</f>
        <v>170813</v>
      </c>
      <c r="F80" s="940">
        <f>+F77*F79</f>
        <v>0</v>
      </c>
      <c r="G80" s="940">
        <f>+G77*G78</f>
        <v>0</v>
      </c>
      <c r="H80" s="870"/>
      <c r="I80" s="869"/>
    </row>
    <row r="81" spans="2:9" ht="15" customHeight="1" thickTop="1">
      <c r="B81" s="913"/>
      <c r="C81" s="913"/>
      <c r="D81" s="913"/>
      <c r="E81" s="913"/>
      <c r="F81" s="913"/>
      <c r="G81" s="913"/>
      <c r="H81" s="913"/>
      <c r="I81" s="862"/>
    </row>
    <row r="82" spans="2:9" ht="15" customHeight="1">
      <c r="B82" s="1014"/>
      <c r="C82" s="1014"/>
      <c r="D82" s="1014"/>
      <c r="E82" s="1014"/>
      <c r="F82" s="1014"/>
      <c r="G82" s="1014"/>
      <c r="H82" s="1014"/>
      <c r="I82" s="885"/>
    </row>
    <row r="83" spans="2:9" ht="15" customHeight="1">
      <c r="B83" s="873"/>
      <c r="C83" s="873"/>
      <c r="D83" s="873"/>
      <c r="E83" s="873"/>
      <c r="F83" s="873"/>
      <c r="G83" s="873"/>
      <c r="H83" s="873"/>
      <c r="I83" s="862"/>
    </row>
    <row r="84" spans="2:9" ht="15" customHeight="1">
      <c r="B84" s="873"/>
      <c r="C84" s="873"/>
      <c r="D84" s="873"/>
      <c r="E84" s="873"/>
      <c r="F84" s="873"/>
      <c r="G84" s="873"/>
      <c r="H84" s="873"/>
      <c r="I84" s="862"/>
    </row>
    <row r="85" spans="2:9" ht="15" customHeight="1">
      <c r="B85" s="873"/>
      <c r="C85" s="873"/>
      <c r="D85" s="873"/>
      <c r="E85" s="873"/>
      <c r="F85" s="873"/>
      <c r="G85" s="873"/>
      <c r="H85" s="873"/>
      <c r="I85" s="862"/>
    </row>
    <row r="86" spans="2:9" ht="15" customHeight="1">
      <c r="B86" s="873"/>
      <c r="C86" s="873"/>
      <c r="D86" s="914"/>
      <c r="E86" s="914"/>
      <c r="F86" s="914"/>
      <c r="G86" s="914"/>
      <c r="H86" s="914"/>
      <c r="I86" s="886"/>
    </row>
    <row r="87" spans="2:9" ht="15" customHeight="1">
      <c r="B87" s="873"/>
      <c r="C87" s="873"/>
      <c r="D87" s="914"/>
      <c r="E87" s="914"/>
      <c r="F87" s="914"/>
      <c r="G87" s="914"/>
      <c r="H87" s="914"/>
      <c r="I87" s="886"/>
    </row>
    <row r="88" spans="2:9" ht="15" customHeight="1">
      <c r="B88" s="915"/>
      <c r="C88" s="873"/>
      <c r="D88" s="916"/>
      <c r="E88" s="916"/>
      <c r="F88" s="873"/>
      <c r="G88" s="873"/>
      <c r="H88" s="873"/>
      <c r="I88" s="862"/>
    </row>
    <row r="89" spans="2:9" ht="15" customHeight="1">
      <c r="B89" s="915"/>
      <c r="C89" s="873"/>
      <c r="D89" s="917"/>
      <c r="E89" s="917"/>
      <c r="F89" s="873"/>
      <c r="G89" s="873"/>
      <c r="H89" s="873"/>
      <c r="I89" s="862"/>
    </row>
    <row r="90" spans="2:9" ht="15" customHeight="1">
      <c r="B90" s="915"/>
      <c r="C90" s="873"/>
      <c r="D90" s="917"/>
      <c r="E90" s="917"/>
      <c r="F90" s="873"/>
      <c r="G90" s="873"/>
      <c r="H90" s="873"/>
      <c r="I90" s="862"/>
    </row>
    <row r="91" spans="2:9" ht="15" customHeight="1">
      <c r="B91" s="915"/>
      <c r="C91" s="873"/>
      <c r="D91" s="917"/>
      <c r="E91" s="917"/>
      <c r="F91" s="873"/>
      <c r="G91" s="873"/>
      <c r="H91" s="873"/>
      <c r="I91" s="862"/>
    </row>
    <row r="92" spans="2:9" ht="15" customHeight="1">
      <c r="B92" s="915"/>
      <c r="C92" s="873"/>
      <c r="D92" s="917"/>
      <c r="E92" s="917"/>
      <c r="F92" s="873"/>
      <c r="G92" s="873"/>
      <c r="H92" s="873"/>
      <c r="I92" s="862"/>
    </row>
    <row r="93" spans="2:9" ht="15" customHeight="1">
      <c r="B93" s="915"/>
      <c r="C93" s="873"/>
      <c r="D93" s="917"/>
      <c r="E93" s="917"/>
      <c r="F93" s="873"/>
      <c r="G93" s="873"/>
      <c r="H93" s="873"/>
      <c r="I93" s="862"/>
    </row>
    <row r="94" spans="2:9" ht="15" customHeight="1">
      <c r="B94" s="915"/>
      <c r="C94" s="873"/>
      <c r="D94" s="917"/>
      <c r="E94" s="917"/>
      <c r="F94" s="873"/>
      <c r="G94" s="873"/>
      <c r="H94" s="873"/>
      <c r="I94" s="862"/>
    </row>
    <row r="95" spans="2:9" ht="15" customHeight="1">
      <c r="B95" s="915"/>
      <c r="C95" s="873"/>
      <c r="D95" s="917"/>
      <c r="E95" s="917"/>
      <c r="F95" s="873"/>
      <c r="G95" s="873"/>
      <c r="H95" s="873"/>
      <c r="I95" s="862"/>
    </row>
    <row r="96" spans="2:9" ht="15" customHeight="1">
      <c r="B96" s="915"/>
      <c r="C96" s="873"/>
      <c r="D96" s="917"/>
      <c r="E96" s="917"/>
      <c r="F96" s="873"/>
      <c r="G96" s="873"/>
      <c r="H96" s="873"/>
      <c r="I96" s="862"/>
    </row>
    <row r="97" spans="2:9" ht="15" customHeight="1">
      <c r="B97" s="915"/>
      <c r="C97" s="873"/>
      <c r="D97" s="917"/>
      <c r="E97" s="917"/>
      <c r="F97" s="873"/>
      <c r="G97" s="873"/>
      <c r="H97" s="873"/>
      <c r="I97" s="862"/>
    </row>
    <row r="98" spans="2:9" ht="15" customHeight="1">
      <c r="B98" s="915"/>
      <c r="C98" s="873"/>
      <c r="D98" s="917"/>
      <c r="E98" s="917"/>
      <c r="F98" s="873"/>
      <c r="G98" s="873"/>
      <c r="H98" s="873"/>
      <c r="I98" s="862"/>
    </row>
    <row r="99" spans="2:9" ht="15" customHeight="1">
      <c r="B99" s="873"/>
      <c r="C99" s="873"/>
      <c r="D99" s="917"/>
      <c r="E99" s="917"/>
      <c r="F99" s="873"/>
      <c r="G99" s="873"/>
      <c r="H99" s="873"/>
      <c r="I99" s="862"/>
    </row>
    <row r="100" spans="2:9" ht="15" customHeight="1">
      <c r="B100" s="915"/>
      <c r="C100" s="873"/>
      <c r="D100" s="917"/>
      <c r="E100" s="917"/>
      <c r="F100" s="873"/>
      <c r="G100" s="873"/>
      <c r="H100" s="873"/>
      <c r="I100" s="862"/>
    </row>
    <row r="101" spans="2:9" ht="15" customHeight="1">
      <c r="B101" s="873"/>
      <c r="C101" s="873"/>
      <c r="D101" s="917"/>
      <c r="E101" s="917"/>
      <c r="F101" s="873"/>
      <c r="G101" s="873"/>
      <c r="H101" s="873"/>
      <c r="I101" s="862"/>
    </row>
    <row r="102" spans="2:9" ht="15" customHeight="1">
      <c r="B102" s="915"/>
      <c r="C102" s="873"/>
      <c r="D102" s="873"/>
      <c r="E102" s="873"/>
      <c r="F102" s="873"/>
      <c r="G102" s="873"/>
      <c r="H102" s="873"/>
      <c r="I102" s="862"/>
    </row>
    <row r="103" spans="2:9" ht="15" customHeight="1">
      <c r="B103" s="915"/>
      <c r="C103" s="873"/>
      <c r="D103" s="873"/>
      <c r="E103" s="873"/>
      <c r="F103" s="873"/>
      <c r="G103" s="873"/>
      <c r="H103" s="873"/>
    </row>
    <row r="104" spans="2:9" ht="15" customHeight="1">
      <c r="B104" s="915"/>
      <c r="C104" s="873"/>
      <c r="D104" s="873"/>
      <c r="E104" s="873"/>
      <c r="F104" s="873"/>
      <c r="G104" s="873"/>
      <c r="H104" s="873"/>
    </row>
    <row r="105" spans="2:9" ht="15" customHeight="1">
      <c r="B105" s="915"/>
      <c r="C105" s="873"/>
      <c r="D105" s="873"/>
      <c r="E105" s="873"/>
      <c r="F105" s="873"/>
      <c r="G105" s="873"/>
      <c r="H105" s="873"/>
    </row>
    <row r="106" spans="2:9" ht="15" customHeight="1">
      <c r="B106" s="915"/>
      <c r="C106" s="873"/>
      <c r="D106" s="873"/>
      <c r="E106" s="873"/>
      <c r="F106" s="873"/>
      <c r="G106" s="873"/>
      <c r="H106" s="873"/>
    </row>
    <row r="107" spans="2:9" ht="15" customHeight="1">
      <c r="B107" s="915"/>
      <c r="C107" s="873"/>
      <c r="D107" s="873"/>
      <c r="E107" s="873"/>
      <c r="F107" s="873"/>
      <c r="G107" s="873"/>
      <c r="H107" s="873"/>
    </row>
    <row r="108" spans="2:9" ht="15" customHeight="1">
      <c r="B108" s="915"/>
      <c r="C108" s="873"/>
      <c r="D108" s="873"/>
      <c r="E108" s="873"/>
      <c r="F108" s="873"/>
      <c r="G108" s="873"/>
      <c r="H108" s="873"/>
    </row>
    <row r="109" spans="2:9" ht="15" customHeight="1">
      <c r="B109" s="915"/>
      <c r="C109" s="873"/>
      <c r="D109" s="873"/>
      <c r="E109" s="873"/>
      <c r="F109" s="873"/>
      <c r="G109" s="873"/>
      <c r="H109" s="873"/>
    </row>
    <row r="110" spans="2:9" ht="15" customHeight="1">
      <c r="B110" s="915"/>
      <c r="C110" s="873"/>
      <c r="D110" s="873"/>
      <c r="E110" s="873"/>
      <c r="F110" s="873"/>
      <c r="G110" s="873"/>
      <c r="H110" s="873"/>
    </row>
    <row r="111" spans="2:9" ht="15" customHeight="1">
      <c r="B111" s="915"/>
      <c r="C111" s="873"/>
      <c r="D111" s="873"/>
      <c r="E111" s="873"/>
      <c r="F111" s="873"/>
      <c r="G111" s="873"/>
      <c r="H111" s="873"/>
    </row>
    <row r="112" spans="2:9" ht="15" customHeight="1">
      <c r="B112" s="915"/>
      <c r="C112" s="873"/>
      <c r="D112" s="873"/>
      <c r="E112" s="873"/>
      <c r="F112" s="873"/>
      <c r="G112" s="873"/>
      <c r="H112" s="873"/>
    </row>
    <row r="113" spans="2:8" ht="15" customHeight="1">
      <c r="B113" s="915"/>
      <c r="C113" s="873"/>
      <c r="D113" s="873"/>
      <c r="E113" s="873"/>
      <c r="F113" s="873"/>
      <c r="G113" s="873"/>
      <c r="H113" s="873"/>
    </row>
    <row r="114" spans="2:8" ht="15" customHeight="1">
      <c r="B114" s="915"/>
      <c r="C114" s="873"/>
      <c r="D114" s="873"/>
      <c r="E114" s="873"/>
      <c r="F114" s="873"/>
      <c r="G114" s="873"/>
      <c r="H114" s="873"/>
    </row>
    <row r="115" spans="2:8" ht="15" customHeight="1">
      <c r="B115" s="915"/>
      <c r="C115" s="873"/>
      <c r="D115" s="873"/>
      <c r="E115" s="873"/>
      <c r="F115" s="873"/>
      <c r="G115" s="873"/>
      <c r="H115" s="873"/>
    </row>
    <row r="116" spans="2:8" ht="15" customHeight="1">
      <c r="B116" s="915"/>
      <c r="C116" s="873"/>
      <c r="D116" s="873"/>
      <c r="E116" s="873"/>
      <c r="F116" s="873"/>
      <c r="G116" s="873"/>
      <c r="H116" s="873"/>
    </row>
    <row r="117" spans="2:8" ht="15" customHeight="1">
      <c r="B117" s="915"/>
      <c r="C117" s="873"/>
      <c r="D117" s="873"/>
      <c r="E117" s="873"/>
      <c r="F117" s="873"/>
      <c r="G117" s="873"/>
      <c r="H117" s="873"/>
    </row>
    <row r="118" spans="2:8" ht="15" customHeight="1">
      <c r="B118" s="915"/>
      <c r="C118" s="873"/>
      <c r="D118" s="873"/>
      <c r="E118" s="873"/>
      <c r="F118" s="873"/>
      <c r="G118" s="873"/>
      <c r="H118" s="873"/>
    </row>
    <row r="119" spans="2:8" ht="15" customHeight="1">
      <c r="B119" s="915"/>
      <c r="C119" s="873"/>
      <c r="D119" s="873"/>
      <c r="E119" s="873"/>
      <c r="F119" s="873"/>
      <c r="G119" s="873"/>
      <c r="H119" s="873"/>
    </row>
    <row r="120" spans="2:8" ht="15" customHeight="1">
      <c r="B120" s="915"/>
      <c r="C120" s="873"/>
      <c r="D120" s="873"/>
      <c r="E120" s="873"/>
      <c r="F120" s="873"/>
      <c r="G120" s="873"/>
      <c r="H120" s="873"/>
    </row>
    <row r="121" spans="2:8" ht="15" customHeight="1">
      <c r="B121" s="915"/>
      <c r="C121" s="873"/>
      <c r="D121" s="873"/>
      <c r="E121" s="873"/>
      <c r="F121" s="873"/>
      <c r="G121" s="873"/>
      <c r="H121" s="873"/>
    </row>
    <row r="122" spans="2:8" ht="15" customHeight="1">
      <c r="B122" s="915"/>
      <c r="C122" s="873"/>
      <c r="D122" s="873"/>
      <c r="E122" s="873"/>
      <c r="F122" s="873"/>
      <c r="G122" s="873"/>
      <c r="H122" s="873"/>
    </row>
    <row r="123" spans="2:8" ht="15" customHeight="1">
      <c r="B123" s="915"/>
      <c r="C123" s="873"/>
      <c r="D123" s="873"/>
      <c r="E123" s="873"/>
      <c r="F123" s="873"/>
      <c r="G123" s="873"/>
      <c r="H123" s="873"/>
    </row>
    <row r="124" spans="2:8" ht="15" customHeight="1">
      <c r="B124" s="915"/>
      <c r="C124" s="873"/>
      <c r="D124" s="873"/>
      <c r="E124" s="873"/>
      <c r="F124" s="873"/>
      <c r="G124" s="873"/>
      <c r="H124" s="873"/>
    </row>
    <row r="125" spans="2:8" ht="15" customHeight="1">
      <c r="B125" s="915"/>
      <c r="C125" s="873"/>
      <c r="D125" s="873"/>
      <c r="E125" s="873"/>
      <c r="F125" s="873"/>
      <c r="G125" s="873"/>
      <c r="H125" s="873"/>
    </row>
    <row r="126" spans="2:8" ht="15" customHeight="1">
      <c r="B126" s="915"/>
      <c r="C126" s="873"/>
      <c r="D126" s="873"/>
      <c r="E126" s="873"/>
      <c r="F126" s="873"/>
      <c r="G126" s="873"/>
      <c r="H126" s="873"/>
    </row>
    <row r="127" spans="2:8" ht="15" customHeight="1">
      <c r="B127" s="915"/>
      <c r="C127" s="873"/>
      <c r="D127" s="873"/>
      <c r="E127" s="873"/>
      <c r="F127" s="873"/>
      <c r="G127" s="873"/>
      <c r="H127" s="873"/>
    </row>
    <row r="128" spans="2:8" ht="15" customHeight="1">
      <c r="B128" s="915"/>
      <c r="C128" s="873"/>
      <c r="D128" s="873"/>
      <c r="E128" s="873"/>
      <c r="F128" s="873"/>
      <c r="G128" s="873"/>
      <c r="H128" s="873"/>
    </row>
    <row r="129" spans="2:8" ht="15" customHeight="1">
      <c r="B129" s="915"/>
      <c r="C129" s="873"/>
      <c r="D129" s="873"/>
      <c r="E129" s="873"/>
      <c r="F129" s="873"/>
      <c r="G129" s="873"/>
      <c r="H129" s="873"/>
    </row>
    <row r="130" spans="2:8" ht="15" customHeight="1">
      <c r="B130" s="915"/>
      <c r="C130" s="873"/>
      <c r="D130" s="873"/>
      <c r="E130" s="873"/>
      <c r="F130" s="873"/>
      <c r="G130" s="873"/>
      <c r="H130" s="873"/>
    </row>
    <row r="131" spans="2:8" ht="15" customHeight="1">
      <c r="B131" s="915"/>
      <c r="C131" s="873"/>
      <c r="D131" s="873"/>
      <c r="E131" s="873"/>
      <c r="F131" s="873"/>
      <c r="G131" s="873"/>
      <c r="H131" s="873"/>
    </row>
    <row r="132" spans="2:8" ht="15" customHeight="1">
      <c r="B132" s="915"/>
      <c r="C132" s="873"/>
      <c r="D132" s="873"/>
      <c r="E132" s="873"/>
      <c r="F132" s="873"/>
      <c r="G132" s="873"/>
      <c r="H132" s="873"/>
    </row>
    <row r="133" spans="2:8" ht="15" customHeight="1">
      <c r="B133" s="915"/>
      <c r="C133" s="873"/>
      <c r="D133" s="873"/>
      <c r="E133" s="873"/>
      <c r="F133" s="873"/>
      <c r="G133" s="873"/>
      <c r="H133" s="873"/>
    </row>
    <row r="134" spans="2:8" ht="15" customHeight="1">
      <c r="B134" s="915"/>
      <c r="C134" s="873"/>
      <c r="D134" s="873"/>
      <c r="E134" s="873"/>
      <c r="F134" s="873"/>
      <c r="G134" s="873"/>
      <c r="H134" s="873"/>
    </row>
    <row r="135" spans="2:8" ht="15" customHeight="1">
      <c r="B135" s="915"/>
      <c r="C135" s="873"/>
      <c r="D135" s="873"/>
      <c r="E135" s="873"/>
      <c r="F135" s="873"/>
      <c r="G135" s="873"/>
      <c r="H135" s="873"/>
    </row>
    <row r="136" spans="2:8" ht="15" customHeight="1">
      <c r="B136" s="915"/>
      <c r="C136" s="873"/>
      <c r="D136" s="873"/>
      <c r="E136" s="873"/>
      <c r="F136" s="873"/>
      <c r="G136" s="873"/>
      <c r="H136" s="873"/>
    </row>
    <row r="137" spans="2:8" ht="15" customHeight="1">
      <c r="B137" s="915"/>
      <c r="C137" s="873"/>
      <c r="D137" s="873"/>
      <c r="E137" s="873"/>
      <c r="F137" s="873"/>
      <c r="G137" s="873"/>
      <c r="H137" s="873"/>
    </row>
    <row r="138" spans="2:8" ht="15" customHeight="1">
      <c r="B138" s="915"/>
      <c r="C138" s="873"/>
      <c r="D138" s="873"/>
      <c r="E138" s="873"/>
      <c r="F138" s="873"/>
      <c r="G138" s="873"/>
      <c r="H138" s="873"/>
    </row>
    <row r="139" spans="2:8" ht="15" customHeight="1">
      <c r="B139" s="915"/>
      <c r="C139" s="873"/>
      <c r="D139" s="873"/>
      <c r="E139" s="873"/>
      <c r="F139" s="873"/>
      <c r="G139" s="873"/>
      <c r="H139" s="873"/>
    </row>
    <row r="140" spans="2:8" ht="15" customHeight="1">
      <c r="B140" s="915"/>
      <c r="C140" s="873"/>
      <c r="D140" s="873"/>
      <c r="E140" s="873"/>
      <c r="F140" s="873"/>
      <c r="G140" s="873"/>
      <c r="H140" s="873"/>
    </row>
    <row r="141" spans="2:8" ht="15" customHeight="1">
      <c r="B141" s="915"/>
      <c r="C141" s="873"/>
      <c r="D141" s="873"/>
      <c r="E141" s="873"/>
      <c r="F141" s="873"/>
      <c r="G141" s="873"/>
      <c r="H141" s="873"/>
    </row>
    <row r="142" spans="2:8" ht="15" customHeight="1">
      <c r="B142" s="915"/>
      <c r="C142" s="873"/>
      <c r="D142" s="873"/>
      <c r="E142" s="873"/>
      <c r="F142" s="873"/>
      <c r="G142" s="873"/>
      <c r="H142" s="873"/>
    </row>
    <row r="143" spans="2:8" ht="15" customHeight="1">
      <c r="B143" s="915"/>
      <c r="C143" s="873"/>
      <c r="D143" s="873"/>
      <c r="E143" s="873"/>
      <c r="F143" s="873"/>
      <c r="G143" s="873"/>
      <c r="H143" s="873"/>
    </row>
    <row r="144" spans="2:8" ht="15" customHeight="1">
      <c r="B144" s="915"/>
      <c r="C144" s="873"/>
      <c r="D144" s="873"/>
      <c r="E144" s="873"/>
      <c r="F144" s="873"/>
      <c r="G144" s="873"/>
      <c r="H144" s="873"/>
    </row>
    <row r="145" spans="2:8" ht="15" customHeight="1">
      <c r="B145" s="915"/>
      <c r="C145" s="873"/>
      <c r="D145" s="873"/>
      <c r="E145" s="873"/>
      <c r="F145" s="873"/>
      <c r="G145" s="873"/>
      <c r="H145" s="873"/>
    </row>
    <row r="146" spans="2:8" ht="15" customHeight="1">
      <c r="B146" s="915"/>
      <c r="C146" s="873"/>
      <c r="D146" s="873"/>
      <c r="E146" s="873"/>
      <c r="F146" s="873"/>
      <c r="G146" s="873"/>
      <c r="H146" s="873"/>
    </row>
    <row r="147" spans="2:8" ht="15" customHeight="1">
      <c r="B147" s="915"/>
      <c r="C147" s="873"/>
      <c r="D147" s="873"/>
      <c r="E147" s="873"/>
      <c r="F147" s="873"/>
      <c r="G147" s="873"/>
      <c r="H147" s="873"/>
    </row>
    <row r="148" spans="2:8" ht="15" customHeight="1">
      <c r="B148" s="915"/>
      <c r="C148" s="873"/>
      <c r="D148" s="873"/>
      <c r="E148" s="873"/>
      <c r="F148" s="873"/>
      <c r="G148" s="873"/>
      <c r="H148" s="873"/>
    </row>
    <row r="149" spans="2:8" ht="15" customHeight="1">
      <c r="B149" s="915"/>
      <c r="C149" s="873"/>
      <c r="D149" s="873"/>
      <c r="E149" s="873"/>
      <c r="F149" s="873"/>
      <c r="G149" s="873"/>
      <c r="H149" s="873"/>
    </row>
    <row r="150" spans="2:8" ht="15" customHeight="1">
      <c r="B150" s="915"/>
      <c r="C150" s="873"/>
      <c r="D150" s="873"/>
      <c r="E150" s="873"/>
      <c r="F150" s="873"/>
      <c r="G150" s="873"/>
      <c r="H150" s="873"/>
    </row>
    <row r="151" spans="2:8" ht="15" customHeight="1">
      <c r="B151" s="915"/>
      <c r="C151" s="873"/>
      <c r="D151" s="873"/>
      <c r="E151" s="873"/>
      <c r="F151" s="873"/>
      <c r="G151" s="873"/>
      <c r="H151" s="873"/>
    </row>
    <row r="152" spans="2:8" ht="15" customHeight="1">
      <c r="B152" s="915"/>
      <c r="C152" s="873"/>
      <c r="D152" s="873"/>
      <c r="E152" s="873"/>
      <c r="F152" s="873"/>
      <c r="G152" s="873"/>
      <c r="H152" s="873"/>
    </row>
    <row r="153" spans="2:8" ht="15" customHeight="1">
      <c r="B153" s="915"/>
      <c r="C153" s="873"/>
      <c r="D153" s="873"/>
      <c r="E153" s="873"/>
      <c r="F153" s="873"/>
      <c r="G153" s="873"/>
      <c r="H153" s="873"/>
    </row>
    <row r="154" spans="2:8" ht="15" customHeight="1">
      <c r="B154" s="915"/>
      <c r="C154" s="873"/>
      <c r="D154" s="873"/>
      <c r="E154" s="873"/>
      <c r="F154" s="873"/>
      <c r="G154" s="873"/>
      <c r="H154" s="873"/>
    </row>
    <row r="155" spans="2:8" ht="15" customHeight="1">
      <c r="B155" s="915"/>
      <c r="C155" s="873"/>
      <c r="D155" s="873"/>
      <c r="E155" s="873"/>
      <c r="F155" s="873"/>
      <c r="G155" s="873"/>
      <c r="H155" s="873"/>
    </row>
    <row r="156" spans="2:8" ht="15" customHeight="1">
      <c r="B156" s="915"/>
      <c r="C156" s="873"/>
      <c r="D156" s="873"/>
      <c r="E156" s="873"/>
      <c r="F156" s="873"/>
      <c r="G156" s="873"/>
      <c r="H156" s="873"/>
    </row>
    <row r="157" spans="2:8" ht="15" customHeight="1">
      <c r="B157" s="915"/>
      <c r="C157" s="873"/>
      <c r="D157" s="873"/>
      <c r="E157" s="873"/>
      <c r="F157" s="873"/>
      <c r="G157" s="873"/>
      <c r="H157" s="873"/>
    </row>
    <row r="158" spans="2:8" ht="15" customHeight="1">
      <c r="B158" s="915"/>
      <c r="C158" s="873"/>
      <c r="D158" s="873"/>
      <c r="E158" s="873"/>
      <c r="F158" s="873"/>
      <c r="G158" s="873"/>
      <c r="H158" s="873"/>
    </row>
    <row r="159" spans="2:8" ht="15" customHeight="1">
      <c r="B159" s="915"/>
      <c r="C159" s="873"/>
      <c r="D159" s="873"/>
      <c r="E159" s="873"/>
      <c r="F159" s="873"/>
      <c r="G159" s="873"/>
      <c r="H159" s="873"/>
    </row>
    <row r="160" spans="2:8" ht="15" customHeight="1">
      <c r="B160" s="915"/>
      <c r="C160" s="873"/>
      <c r="D160" s="873"/>
      <c r="E160" s="873"/>
      <c r="F160" s="873"/>
      <c r="G160" s="873"/>
      <c r="H160" s="873"/>
    </row>
    <row r="161" spans="2:8" ht="15" customHeight="1">
      <c r="B161" s="915"/>
      <c r="C161" s="873"/>
      <c r="D161" s="873"/>
      <c r="E161" s="873"/>
      <c r="F161" s="873"/>
      <c r="G161" s="873"/>
      <c r="H161" s="873"/>
    </row>
    <row r="162" spans="2:8" ht="15" customHeight="1">
      <c r="B162" s="915"/>
      <c r="C162" s="873"/>
      <c r="D162" s="873"/>
      <c r="E162" s="873"/>
      <c r="F162" s="873"/>
      <c r="G162" s="873"/>
      <c r="H162" s="873"/>
    </row>
    <row r="163" spans="2:8" ht="15" customHeight="1">
      <c r="B163" s="915"/>
      <c r="C163" s="873"/>
      <c r="D163" s="873"/>
      <c r="E163" s="873"/>
      <c r="F163" s="873"/>
      <c r="G163" s="873"/>
      <c r="H163" s="873"/>
    </row>
    <row r="164" spans="2:8" ht="15" customHeight="1">
      <c r="B164" s="915"/>
      <c r="C164" s="873"/>
      <c r="D164" s="873"/>
      <c r="E164" s="873"/>
      <c r="F164" s="873"/>
      <c r="G164" s="873"/>
      <c r="H164" s="873"/>
    </row>
    <row r="165" spans="2:8" ht="15" customHeight="1">
      <c r="B165" s="915"/>
      <c r="C165" s="873"/>
      <c r="D165" s="873"/>
      <c r="E165" s="873"/>
      <c r="F165" s="873"/>
      <c r="G165" s="873"/>
      <c r="H165" s="873"/>
    </row>
    <row r="166" spans="2:8" ht="15" customHeight="1">
      <c r="B166" s="915"/>
      <c r="C166" s="873"/>
      <c r="D166" s="873"/>
      <c r="E166" s="873"/>
      <c r="F166" s="873"/>
      <c r="G166" s="873"/>
      <c r="H166" s="873"/>
    </row>
    <row r="167" spans="2:8" ht="15" customHeight="1">
      <c r="B167" s="915"/>
      <c r="C167" s="873"/>
      <c r="D167" s="873"/>
      <c r="E167" s="873"/>
      <c r="F167" s="873"/>
      <c r="G167" s="873"/>
      <c r="H167" s="873"/>
    </row>
    <row r="168" spans="2:8" ht="15" customHeight="1">
      <c r="B168" s="915"/>
      <c r="C168" s="873"/>
      <c r="D168" s="873"/>
      <c r="E168" s="873"/>
      <c r="F168" s="873"/>
      <c r="G168" s="873"/>
      <c r="H168" s="873"/>
    </row>
    <row r="169" spans="2:8" ht="15" customHeight="1">
      <c r="B169" s="915"/>
      <c r="C169" s="873"/>
      <c r="D169" s="873"/>
      <c r="E169" s="873"/>
      <c r="F169" s="873"/>
      <c r="G169" s="873"/>
      <c r="H169" s="873"/>
    </row>
    <row r="170" spans="2:8" ht="15" customHeight="1">
      <c r="B170" s="915"/>
      <c r="C170" s="873"/>
      <c r="D170" s="873"/>
      <c r="E170" s="873"/>
      <c r="F170" s="873"/>
      <c r="G170" s="873"/>
      <c r="H170" s="873"/>
    </row>
    <row r="171" spans="2:8" ht="15" customHeight="1">
      <c r="B171" s="915"/>
      <c r="C171" s="873"/>
      <c r="D171" s="873"/>
      <c r="E171" s="873"/>
      <c r="F171" s="873"/>
      <c r="G171" s="873"/>
      <c r="H171" s="873"/>
    </row>
    <row r="172" spans="2:8" ht="15" customHeight="1">
      <c r="B172" s="915"/>
      <c r="C172" s="873"/>
      <c r="D172" s="873"/>
      <c r="E172" s="873"/>
      <c r="F172" s="873"/>
      <c r="G172" s="873"/>
      <c r="H172" s="873"/>
    </row>
    <row r="173" spans="2:8" ht="15" customHeight="1">
      <c r="B173" s="915"/>
      <c r="C173" s="873"/>
      <c r="D173" s="873"/>
      <c r="E173" s="873"/>
      <c r="F173" s="873"/>
      <c r="G173" s="873"/>
      <c r="H173" s="873"/>
    </row>
    <row r="174" spans="2:8" ht="15" customHeight="1">
      <c r="B174" s="915"/>
      <c r="C174" s="873"/>
      <c r="D174" s="873"/>
      <c r="E174" s="873"/>
      <c r="F174" s="873"/>
      <c r="G174" s="873"/>
      <c r="H174" s="873"/>
    </row>
    <row r="175" spans="2:8" ht="15" customHeight="1">
      <c r="B175" s="915"/>
      <c r="C175" s="873"/>
      <c r="D175" s="873"/>
      <c r="E175" s="873"/>
      <c r="F175" s="873"/>
      <c r="G175" s="873"/>
      <c r="H175" s="873"/>
    </row>
    <row r="176" spans="2:8" ht="15" customHeight="1">
      <c r="B176" s="915"/>
      <c r="C176" s="873"/>
      <c r="D176" s="873"/>
      <c r="E176" s="873"/>
      <c r="F176" s="873"/>
      <c r="G176" s="873"/>
      <c r="H176" s="873"/>
    </row>
    <row r="177" spans="2:8" ht="15" customHeight="1">
      <c r="B177" s="915"/>
      <c r="C177" s="873"/>
      <c r="D177" s="873"/>
      <c r="E177" s="873"/>
      <c r="F177" s="873"/>
      <c r="G177" s="873"/>
      <c r="H177" s="873"/>
    </row>
    <row r="178" spans="2:8" ht="15" customHeight="1">
      <c r="B178" s="915"/>
      <c r="C178" s="873"/>
      <c r="D178" s="873"/>
      <c r="E178" s="873"/>
      <c r="F178" s="873"/>
      <c r="G178" s="873"/>
      <c r="H178" s="873"/>
    </row>
    <row r="179" spans="2:8" ht="15" customHeight="1">
      <c r="B179" s="915"/>
      <c r="C179" s="873"/>
      <c r="D179" s="873"/>
      <c r="E179" s="873"/>
      <c r="F179" s="873"/>
      <c r="G179" s="873"/>
      <c r="H179" s="873"/>
    </row>
    <row r="180" spans="2:8" ht="15" customHeight="1">
      <c r="B180" s="915"/>
      <c r="C180" s="873"/>
      <c r="D180" s="873"/>
      <c r="E180" s="873"/>
      <c r="F180" s="873"/>
      <c r="G180" s="873"/>
      <c r="H180" s="873"/>
    </row>
    <row r="181" spans="2:8" ht="15" customHeight="1">
      <c r="B181" s="915"/>
      <c r="C181" s="873"/>
      <c r="D181" s="873"/>
      <c r="E181" s="873"/>
      <c r="F181" s="873"/>
      <c r="G181" s="873"/>
      <c r="H181" s="873"/>
    </row>
    <row r="182" spans="2:8" ht="15" customHeight="1">
      <c r="B182" s="915"/>
      <c r="C182" s="873"/>
      <c r="D182" s="873"/>
      <c r="E182" s="873"/>
      <c r="F182" s="873"/>
      <c r="G182" s="873"/>
      <c r="H182" s="873"/>
    </row>
    <row r="183" spans="2:8" ht="15" customHeight="1">
      <c r="B183" s="915"/>
      <c r="C183" s="873"/>
      <c r="D183" s="873"/>
      <c r="E183" s="873"/>
      <c r="F183" s="873"/>
      <c r="G183" s="873"/>
      <c r="H183" s="873"/>
    </row>
    <row r="184" spans="2:8" ht="15" customHeight="1">
      <c r="B184" s="915"/>
      <c r="C184" s="873"/>
      <c r="D184" s="873"/>
      <c r="E184" s="873"/>
      <c r="F184" s="873"/>
      <c r="G184" s="873"/>
      <c r="H184" s="873"/>
    </row>
    <row r="185" spans="2:8" ht="15" customHeight="1">
      <c r="B185" s="915"/>
      <c r="C185" s="873"/>
      <c r="D185" s="873"/>
      <c r="E185" s="873"/>
      <c r="F185" s="873"/>
      <c r="G185" s="873"/>
      <c r="H185" s="873"/>
    </row>
    <row r="186" spans="2:8" ht="15" customHeight="1">
      <c r="B186" s="915"/>
      <c r="C186" s="873"/>
      <c r="D186" s="873"/>
      <c r="E186" s="873"/>
      <c r="F186" s="873"/>
      <c r="G186" s="873"/>
      <c r="H186" s="873"/>
    </row>
    <row r="187" spans="2:8" ht="15" customHeight="1">
      <c r="B187" s="915"/>
      <c r="C187" s="873"/>
      <c r="D187" s="873"/>
      <c r="E187" s="873"/>
      <c r="F187" s="873"/>
      <c r="G187" s="873"/>
      <c r="H187" s="873"/>
    </row>
    <row r="188" spans="2:8" ht="15" customHeight="1">
      <c r="B188" s="915"/>
      <c r="C188" s="873"/>
      <c r="D188" s="873"/>
      <c r="E188" s="873"/>
      <c r="F188" s="873"/>
      <c r="G188" s="873"/>
      <c r="H188" s="873"/>
    </row>
    <row r="189" spans="2:8" ht="15" customHeight="1">
      <c r="B189" s="915"/>
      <c r="C189" s="873"/>
      <c r="D189" s="873"/>
      <c r="E189" s="873"/>
      <c r="F189" s="873"/>
      <c r="G189" s="873"/>
      <c r="H189" s="873"/>
    </row>
    <row r="190" spans="2:8" ht="15" customHeight="1">
      <c r="B190" s="915"/>
      <c r="C190" s="873"/>
      <c r="D190" s="873"/>
      <c r="E190" s="873"/>
      <c r="F190" s="873"/>
      <c r="G190" s="873"/>
      <c r="H190" s="873"/>
    </row>
    <row r="191" spans="2:8" ht="15" customHeight="1">
      <c r="B191" s="915"/>
      <c r="C191" s="873"/>
      <c r="D191" s="873"/>
      <c r="E191" s="873"/>
      <c r="F191" s="873"/>
      <c r="G191" s="873"/>
      <c r="H191" s="873"/>
    </row>
    <row r="192" spans="2:8" ht="15" customHeight="1">
      <c r="B192" s="915"/>
      <c r="C192" s="873"/>
      <c r="D192" s="873"/>
      <c r="E192" s="873"/>
      <c r="F192" s="873"/>
      <c r="G192" s="873"/>
      <c r="H192" s="873"/>
    </row>
    <row r="193" spans="2:8" ht="15" customHeight="1">
      <c r="B193" s="915"/>
      <c r="C193" s="873"/>
      <c r="D193" s="873"/>
      <c r="E193" s="873"/>
      <c r="F193" s="873"/>
      <c r="G193" s="873"/>
      <c r="H193" s="873"/>
    </row>
    <row r="194" spans="2:8" ht="15" customHeight="1">
      <c r="B194" s="915"/>
      <c r="C194" s="873"/>
      <c r="D194" s="873"/>
      <c r="E194" s="873"/>
      <c r="F194" s="873"/>
      <c r="G194" s="873"/>
      <c r="H194" s="873"/>
    </row>
    <row r="195" spans="2:8" ht="15" customHeight="1">
      <c r="B195" s="915"/>
      <c r="C195" s="873"/>
      <c r="D195" s="873"/>
      <c r="E195" s="873"/>
      <c r="F195" s="873"/>
      <c r="G195" s="873"/>
      <c r="H195" s="873"/>
    </row>
    <row r="196" spans="2:8" ht="15" customHeight="1">
      <c r="B196" s="915"/>
      <c r="C196" s="873"/>
      <c r="D196" s="873"/>
      <c r="E196" s="873"/>
      <c r="F196" s="873"/>
      <c r="G196" s="873"/>
      <c r="H196" s="873"/>
    </row>
    <row r="197" spans="2:8" ht="15" customHeight="1">
      <c r="B197" s="915"/>
      <c r="C197" s="873"/>
      <c r="D197" s="873"/>
      <c r="E197" s="873"/>
      <c r="F197" s="873"/>
      <c r="G197" s="873"/>
      <c r="H197" s="873"/>
    </row>
    <row r="198" spans="2:8" ht="15" customHeight="1">
      <c r="B198" s="915"/>
      <c r="C198" s="873"/>
      <c r="D198" s="873"/>
      <c r="E198" s="873"/>
      <c r="F198" s="873"/>
      <c r="G198" s="873"/>
      <c r="H198" s="873"/>
    </row>
    <row r="199" spans="2:8" ht="15" customHeight="1">
      <c r="B199" s="915"/>
      <c r="C199" s="873"/>
      <c r="D199" s="873"/>
      <c r="E199" s="873"/>
      <c r="F199" s="873"/>
      <c r="G199" s="873"/>
      <c r="H199" s="873"/>
    </row>
    <row r="200" spans="2:8" ht="15" customHeight="1">
      <c r="B200" s="915"/>
      <c r="C200" s="873"/>
      <c r="D200" s="873"/>
      <c r="E200" s="873"/>
      <c r="F200" s="873"/>
      <c r="G200" s="873"/>
      <c r="H200" s="873"/>
    </row>
    <row r="201" spans="2:8" ht="15" customHeight="1">
      <c r="B201" s="915"/>
      <c r="C201" s="873"/>
      <c r="D201" s="873"/>
      <c r="E201" s="873"/>
      <c r="F201" s="873"/>
      <c r="G201" s="873"/>
      <c r="H201" s="873"/>
    </row>
    <row r="202" spans="2:8" ht="15" customHeight="1">
      <c r="B202" s="915"/>
      <c r="C202" s="873"/>
      <c r="D202" s="873"/>
      <c r="E202" s="873"/>
      <c r="F202" s="873"/>
      <c r="G202" s="873"/>
      <c r="H202" s="873"/>
    </row>
    <row r="203" spans="2:8" ht="15" customHeight="1">
      <c r="B203" s="915"/>
      <c r="C203" s="873"/>
      <c r="D203" s="873"/>
      <c r="E203" s="873"/>
      <c r="F203" s="873"/>
      <c r="G203" s="873"/>
      <c r="H203" s="873"/>
    </row>
    <row r="204" spans="2:8" ht="15" customHeight="1">
      <c r="B204" s="915"/>
      <c r="C204" s="873"/>
      <c r="D204" s="873"/>
      <c r="E204" s="873"/>
      <c r="F204" s="873"/>
      <c r="G204" s="873"/>
      <c r="H204" s="873"/>
    </row>
    <row r="205" spans="2:8" ht="15" customHeight="1">
      <c r="B205" s="915"/>
      <c r="C205" s="873"/>
      <c r="D205" s="873"/>
      <c r="E205" s="873"/>
      <c r="F205" s="873"/>
      <c r="G205" s="873"/>
      <c r="H205" s="873"/>
    </row>
    <row r="206" spans="2:8" ht="15" customHeight="1">
      <c r="B206" s="915"/>
      <c r="C206" s="873"/>
      <c r="D206" s="873"/>
      <c r="E206" s="873"/>
      <c r="F206" s="873"/>
      <c r="G206" s="873"/>
      <c r="H206" s="873"/>
    </row>
    <row r="207" spans="2:8" ht="15" customHeight="1">
      <c r="B207" s="915"/>
      <c r="C207" s="873"/>
      <c r="D207" s="873"/>
      <c r="E207" s="873"/>
      <c r="F207" s="873"/>
      <c r="G207" s="873"/>
      <c r="H207" s="873"/>
    </row>
    <row r="208" spans="2:8" ht="15" customHeight="1">
      <c r="B208" s="887"/>
      <c r="C208" s="875"/>
      <c r="D208" s="875"/>
      <c r="E208" s="875"/>
      <c r="F208" s="875"/>
      <c r="G208" s="875"/>
      <c r="H208" s="875"/>
    </row>
    <row r="209" spans="2:8" ht="15" customHeight="1">
      <c r="B209" s="887"/>
      <c r="C209" s="875"/>
      <c r="D209" s="875"/>
      <c r="E209" s="875"/>
      <c r="F209" s="875"/>
      <c r="G209" s="875"/>
      <c r="H209" s="875"/>
    </row>
    <row r="210" spans="2:8" ht="15" customHeight="1">
      <c r="B210" s="887"/>
      <c r="C210" s="875"/>
      <c r="D210" s="875"/>
      <c r="E210" s="875"/>
      <c r="F210" s="875"/>
      <c r="G210" s="875"/>
      <c r="H210" s="875"/>
    </row>
    <row r="211" spans="2:8" ht="15" customHeight="1">
      <c r="B211" s="887"/>
      <c r="C211" s="875"/>
      <c r="D211" s="875"/>
      <c r="E211" s="875"/>
      <c r="F211" s="875"/>
      <c r="G211" s="875"/>
      <c r="H211" s="875"/>
    </row>
    <row r="212" spans="2:8" ht="15" customHeight="1">
      <c r="B212" s="887"/>
      <c r="C212" s="875"/>
      <c r="D212" s="875"/>
      <c r="E212" s="875"/>
      <c r="F212" s="875"/>
      <c r="G212" s="875"/>
      <c r="H212" s="875"/>
    </row>
    <row r="213" spans="2:8" ht="15" customHeight="1">
      <c r="B213" s="887"/>
      <c r="C213" s="875"/>
      <c r="D213" s="875"/>
      <c r="E213" s="875"/>
      <c r="F213" s="875"/>
      <c r="G213" s="875"/>
      <c r="H213" s="875"/>
    </row>
    <row r="214" spans="2:8" ht="15" customHeight="1">
      <c r="B214" s="887"/>
      <c r="C214" s="875"/>
      <c r="D214" s="875"/>
      <c r="E214" s="875"/>
      <c r="F214" s="875"/>
      <c r="G214" s="875"/>
      <c r="H214" s="875"/>
    </row>
    <row r="215" spans="2:8" ht="15" customHeight="1">
      <c r="B215" s="887"/>
      <c r="C215" s="875"/>
      <c r="D215" s="875"/>
      <c r="E215" s="875"/>
      <c r="F215" s="875"/>
      <c r="G215" s="875"/>
      <c r="H215" s="875"/>
    </row>
    <row r="216" spans="2:8" ht="15" customHeight="1">
      <c r="B216" s="887"/>
      <c r="C216" s="875"/>
      <c r="D216" s="875"/>
      <c r="E216" s="875"/>
      <c r="F216" s="875"/>
      <c r="G216" s="875"/>
      <c r="H216" s="875"/>
    </row>
    <row r="217" spans="2:8" ht="15" customHeight="1">
      <c r="B217" s="887"/>
      <c r="C217" s="875"/>
      <c r="D217" s="875"/>
      <c r="E217" s="875"/>
      <c r="F217" s="875"/>
      <c r="G217" s="875"/>
      <c r="H217" s="875"/>
    </row>
    <row r="218" spans="2:8" ht="15" customHeight="1">
      <c r="B218" s="887"/>
      <c r="C218" s="875"/>
      <c r="D218" s="875"/>
      <c r="E218" s="875"/>
      <c r="F218" s="875"/>
      <c r="G218" s="875"/>
      <c r="H218" s="875"/>
    </row>
    <row r="219" spans="2:8" ht="15" customHeight="1">
      <c r="B219" s="887"/>
      <c r="C219" s="875"/>
      <c r="D219" s="875"/>
      <c r="E219" s="875"/>
      <c r="F219" s="875"/>
      <c r="G219" s="875"/>
      <c r="H219" s="875"/>
    </row>
    <row r="220" spans="2:8" ht="15" customHeight="1">
      <c r="B220" s="887"/>
      <c r="C220" s="875"/>
      <c r="D220" s="875"/>
      <c r="E220" s="875"/>
      <c r="F220" s="875"/>
      <c r="G220" s="875"/>
      <c r="H220" s="875"/>
    </row>
    <row r="221" spans="2:8" ht="15" customHeight="1">
      <c r="B221" s="887"/>
      <c r="C221" s="875"/>
      <c r="D221" s="875"/>
      <c r="E221" s="875"/>
      <c r="F221" s="875"/>
      <c r="G221" s="875"/>
      <c r="H221" s="875"/>
    </row>
    <row r="222" spans="2:8" ht="15" customHeight="1">
      <c r="B222" s="887"/>
      <c r="C222" s="875"/>
      <c r="D222" s="875"/>
      <c r="E222" s="875"/>
      <c r="F222" s="875"/>
      <c r="G222" s="875"/>
      <c r="H222" s="875"/>
    </row>
    <row r="223" spans="2:8" ht="15" customHeight="1">
      <c r="B223" s="887"/>
      <c r="C223" s="875"/>
      <c r="D223" s="875"/>
      <c r="E223" s="875"/>
      <c r="F223" s="875"/>
      <c r="G223" s="875"/>
      <c r="H223" s="875"/>
    </row>
    <row r="224" spans="2:8" ht="15" customHeight="1">
      <c r="B224" s="887"/>
      <c r="C224" s="875"/>
      <c r="D224" s="875"/>
      <c r="E224" s="875"/>
      <c r="F224" s="875"/>
      <c r="G224" s="875"/>
      <c r="H224" s="875"/>
    </row>
    <row r="225" spans="2:8" ht="15" customHeight="1">
      <c r="B225" s="887"/>
      <c r="C225" s="875"/>
      <c r="D225" s="875"/>
      <c r="E225" s="875"/>
      <c r="F225" s="875"/>
      <c r="G225" s="875"/>
      <c r="H225" s="875"/>
    </row>
    <row r="226" spans="2:8" ht="15" customHeight="1">
      <c r="B226" s="887"/>
      <c r="C226" s="875"/>
      <c r="D226" s="875"/>
      <c r="E226" s="875"/>
      <c r="F226" s="875"/>
      <c r="G226" s="875"/>
      <c r="H226" s="875"/>
    </row>
    <row r="227" spans="2:8" ht="15" customHeight="1">
      <c r="B227" s="887"/>
      <c r="C227" s="875"/>
      <c r="D227" s="875"/>
      <c r="E227" s="875"/>
      <c r="F227" s="875"/>
      <c r="G227" s="875"/>
      <c r="H227" s="875"/>
    </row>
    <row r="228" spans="2:8" ht="15" customHeight="1">
      <c r="B228" s="887"/>
      <c r="C228" s="875"/>
      <c r="D228" s="875"/>
      <c r="E228" s="875"/>
      <c r="F228" s="875"/>
      <c r="G228" s="875"/>
      <c r="H228" s="875"/>
    </row>
    <row r="229" spans="2:8" ht="15" customHeight="1">
      <c r="B229" s="887"/>
      <c r="C229" s="875"/>
      <c r="D229" s="875"/>
      <c r="E229" s="875"/>
      <c r="F229" s="875"/>
      <c r="G229" s="875"/>
      <c r="H229" s="875"/>
    </row>
    <row r="230" spans="2:8" ht="15" customHeight="1">
      <c r="B230" s="887"/>
      <c r="C230" s="875"/>
      <c r="D230" s="875"/>
      <c r="E230" s="875"/>
      <c r="F230" s="875"/>
      <c r="G230" s="875"/>
      <c r="H230" s="875"/>
    </row>
    <row r="231" spans="2:8" ht="15" customHeight="1">
      <c r="B231" s="887"/>
      <c r="C231" s="875"/>
      <c r="D231" s="875"/>
      <c r="E231" s="875"/>
      <c r="F231" s="875"/>
      <c r="G231" s="875"/>
      <c r="H231" s="875"/>
    </row>
    <row r="232" spans="2:8" ht="15" customHeight="1">
      <c r="B232" s="887"/>
      <c r="C232" s="875"/>
      <c r="D232" s="875"/>
      <c r="E232" s="875"/>
      <c r="F232" s="875"/>
      <c r="G232" s="875"/>
      <c r="H232" s="875"/>
    </row>
    <row r="233" spans="2:8" ht="15" customHeight="1">
      <c r="B233" s="887"/>
      <c r="C233" s="875"/>
      <c r="D233" s="875"/>
      <c r="E233" s="875"/>
      <c r="F233" s="875"/>
      <c r="G233" s="875"/>
      <c r="H233" s="875"/>
    </row>
    <row r="234" spans="2:8" ht="15" customHeight="1">
      <c r="B234" s="887"/>
      <c r="C234" s="875"/>
      <c r="D234" s="875"/>
      <c r="E234" s="875"/>
      <c r="F234" s="875"/>
      <c r="G234" s="875"/>
      <c r="H234" s="875"/>
    </row>
    <row r="235" spans="2:8" ht="15" customHeight="1">
      <c r="B235" s="887"/>
      <c r="C235" s="875"/>
      <c r="D235" s="875"/>
      <c r="E235" s="875"/>
      <c r="F235" s="875"/>
      <c r="G235" s="875"/>
      <c r="H235" s="875"/>
    </row>
    <row r="236" spans="2:8" ht="15" customHeight="1">
      <c r="B236" s="887"/>
      <c r="C236" s="875"/>
      <c r="D236" s="875"/>
      <c r="E236" s="875"/>
      <c r="F236" s="875"/>
      <c r="G236" s="875"/>
      <c r="H236" s="875"/>
    </row>
    <row r="237" spans="2:8" ht="15" customHeight="1">
      <c r="B237" s="887"/>
      <c r="C237" s="875"/>
      <c r="D237" s="875"/>
      <c r="E237" s="875"/>
      <c r="F237" s="875"/>
      <c r="G237" s="875"/>
      <c r="H237" s="875"/>
    </row>
    <row r="238" spans="2:8" ht="15" customHeight="1">
      <c r="B238" s="887"/>
      <c r="C238" s="875"/>
      <c r="D238" s="875"/>
      <c r="E238" s="875"/>
      <c r="F238" s="875"/>
      <c r="G238" s="875"/>
      <c r="H238" s="875"/>
    </row>
    <row r="239" spans="2:8" ht="15" customHeight="1">
      <c r="B239" s="887"/>
      <c r="C239" s="875"/>
      <c r="D239" s="875"/>
      <c r="E239" s="875"/>
      <c r="F239" s="875"/>
      <c r="G239" s="875"/>
      <c r="H239" s="875"/>
    </row>
    <row r="240" spans="2:8" ht="15" customHeight="1">
      <c r="B240" s="887"/>
      <c r="C240" s="875"/>
      <c r="D240" s="875"/>
      <c r="E240" s="875"/>
      <c r="F240" s="875"/>
      <c r="G240" s="875"/>
      <c r="H240" s="875"/>
    </row>
    <row r="241" spans="2:8" ht="15" customHeight="1">
      <c r="B241" s="887"/>
      <c r="C241" s="875"/>
      <c r="D241" s="875"/>
      <c r="E241" s="875"/>
      <c r="F241" s="875"/>
      <c r="G241" s="875"/>
      <c r="H241" s="875"/>
    </row>
    <row r="242" spans="2:8" ht="15" customHeight="1">
      <c r="B242" s="887"/>
      <c r="C242" s="875"/>
      <c r="D242" s="875"/>
      <c r="E242" s="875"/>
      <c r="F242" s="875"/>
      <c r="G242" s="875"/>
      <c r="H242" s="875"/>
    </row>
    <row r="243" spans="2:8" ht="15" customHeight="1">
      <c r="B243" s="887"/>
      <c r="C243" s="875"/>
      <c r="D243" s="875"/>
      <c r="E243" s="875"/>
      <c r="F243" s="875"/>
      <c r="G243" s="875"/>
      <c r="H243" s="875"/>
    </row>
    <row r="244" spans="2:8" ht="15" customHeight="1">
      <c r="B244" s="887"/>
      <c r="C244" s="875"/>
      <c r="D244" s="875"/>
      <c r="E244" s="875"/>
      <c r="F244" s="875"/>
      <c r="G244" s="875"/>
      <c r="H244" s="875"/>
    </row>
    <row r="245" spans="2:8" ht="15" customHeight="1">
      <c r="B245" s="887"/>
      <c r="C245" s="875"/>
      <c r="D245" s="875"/>
      <c r="E245" s="875"/>
      <c r="F245" s="875"/>
      <c r="G245" s="875"/>
      <c r="H245" s="875"/>
    </row>
    <row r="246" spans="2:8" ht="15" customHeight="1">
      <c r="B246" s="887"/>
      <c r="C246" s="875"/>
      <c r="D246" s="875"/>
      <c r="E246" s="875"/>
      <c r="F246" s="875"/>
      <c r="G246" s="875"/>
      <c r="H246" s="875"/>
    </row>
    <row r="247" spans="2:8" ht="15" customHeight="1">
      <c r="B247" s="887"/>
      <c r="C247" s="875"/>
      <c r="D247" s="875"/>
      <c r="E247" s="875"/>
      <c r="F247" s="875"/>
      <c r="G247" s="875"/>
      <c r="H247" s="875"/>
    </row>
    <row r="248" spans="2:8" ht="15" customHeight="1">
      <c r="B248" s="887"/>
      <c r="C248" s="875"/>
      <c r="D248" s="875"/>
      <c r="E248" s="875"/>
      <c r="F248" s="875"/>
      <c r="G248" s="875"/>
      <c r="H248" s="875"/>
    </row>
    <row r="249" spans="2:8" ht="15" customHeight="1">
      <c r="B249" s="887"/>
      <c r="C249" s="875"/>
      <c r="D249" s="875"/>
      <c r="E249" s="875"/>
      <c r="F249" s="875"/>
      <c r="G249" s="875"/>
      <c r="H249" s="875"/>
    </row>
    <row r="250" spans="2:8" ht="15" customHeight="1">
      <c r="B250" s="887"/>
      <c r="C250" s="875"/>
      <c r="D250" s="875"/>
      <c r="E250" s="875"/>
      <c r="F250" s="875"/>
      <c r="G250" s="875"/>
      <c r="H250" s="875"/>
    </row>
    <row r="251" spans="2:8" ht="15" customHeight="1">
      <c r="B251" s="887"/>
      <c r="C251" s="875"/>
      <c r="D251" s="875"/>
      <c r="E251" s="875"/>
      <c r="F251" s="875"/>
      <c r="G251" s="875"/>
      <c r="H251" s="875"/>
    </row>
    <row r="252" spans="2:8" ht="15" customHeight="1">
      <c r="B252" s="887"/>
      <c r="C252" s="875"/>
      <c r="D252" s="875"/>
      <c r="E252" s="875"/>
      <c r="F252" s="875"/>
      <c r="G252" s="875"/>
      <c r="H252" s="875"/>
    </row>
    <row r="253" spans="2:8" ht="15" customHeight="1">
      <c r="B253" s="887"/>
      <c r="C253" s="875"/>
      <c r="D253" s="875"/>
      <c r="E253" s="875"/>
      <c r="F253" s="875"/>
      <c r="G253" s="875"/>
      <c r="H253" s="875"/>
    </row>
    <row r="254" spans="2:8" ht="15" customHeight="1">
      <c r="B254" s="887"/>
      <c r="C254" s="875"/>
      <c r="D254" s="875"/>
      <c r="E254" s="875"/>
      <c r="F254" s="875"/>
      <c r="G254" s="875"/>
      <c r="H254" s="875"/>
    </row>
    <row r="255" spans="2:8" ht="15" customHeight="1">
      <c r="B255" s="887"/>
      <c r="C255" s="875"/>
      <c r="D255" s="875"/>
      <c r="E255" s="875"/>
      <c r="F255" s="875"/>
      <c r="G255" s="875"/>
      <c r="H255" s="875"/>
    </row>
    <row r="256" spans="2:8" ht="15" customHeight="1">
      <c r="B256" s="887"/>
      <c r="C256" s="875"/>
      <c r="D256" s="875"/>
      <c r="E256" s="875"/>
      <c r="F256" s="875"/>
      <c r="G256" s="875"/>
      <c r="H256" s="875"/>
    </row>
    <row r="257" spans="2:8" ht="15" customHeight="1">
      <c r="B257" s="887"/>
      <c r="C257" s="875"/>
      <c r="D257" s="875"/>
      <c r="E257" s="875"/>
      <c r="F257" s="875"/>
      <c r="G257" s="875"/>
      <c r="H257" s="875"/>
    </row>
    <row r="258" spans="2:8" ht="15" customHeight="1">
      <c r="B258" s="887"/>
      <c r="C258" s="875"/>
      <c r="D258" s="875"/>
      <c r="E258" s="875"/>
      <c r="F258" s="875"/>
      <c r="G258" s="875"/>
      <c r="H258" s="875"/>
    </row>
    <row r="259" spans="2:8" ht="15" customHeight="1">
      <c r="B259" s="887"/>
      <c r="C259" s="875"/>
      <c r="D259" s="875"/>
      <c r="E259" s="875"/>
      <c r="F259" s="875"/>
      <c r="G259" s="875"/>
      <c r="H259" s="875"/>
    </row>
    <row r="260" spans="2:8" ht="15" customHeight="1">
      <c r="B260" s="887"/>
      <c r="C260" s="875"/>
      <c r="D260" s="875"/>
      <c r="E260" s="875"/>
      <c r="F260" s="875"/>
      <c r="G260" s="875"/>
      <c r="H260" s="875"/>
    </row>
    <row r="261" spans="2:8" ht="15" customHeight="1">
      <c r="B261" s="887"/>
      <c r="C261" s="875"/>
      <c r="D261" s="875"/>
      <c r="E261" s="875"/>
      <c r="F261" s="875"/>
      <c r="G261" s="875"/>
      <c r="H261" s="875"/>
    </row>
    <row r="262" spans="2:8" ht="15" customHeight="1">
      <c r="B262" s="887"/>
      <c r="C262" s="875"/>
      <c r="D262" s="875"/>
      <c r="E262" s="875"/>
      <c r="F262" s="875"/>
      <c r="G262" s="875"/>
      <c r="H262" s="875"/>
    </row>
    <row r="263" spans="2:8" ht="15" customHeight="1">
      <c r="B263" s="887"/>
      <c r="C263" s="875"/>
      <c r="D263" s="875"/>
      <c r="E263" s="875"/>
      <c r="F263" s="875"/>
      <c r="G263" s="875"/>
      <c r="H263" s="875"/>
    </row>
    <row r="264" spans="2:8" ht="15" customHeight="1">
      <c r="B264" s="887"/>
      <c r="C264" s="875"/>
      <c r="D264" s="875"/>
      <c r="E264" s="875"/>
      <c r="F264" s="875"/>
      <c r="G264" s="875"/>
      <c r="H264" s="875"/>
    </row>
    <row r="265" spans="2:8" ht="15" customHeight="1">
      <c r="B265" s="887"/>
      <c r="C265" s="875"/>
      <c r="D265" s="875"/>
      <c r="E265" s="875"/>
      <c r="F265" s="875"/>
      <c r="G265" s="875"/>
      <c r="H265" s="875"/>
    </row>
    <row r="266" spans="2:8" ht="15" customHeight="1">
      <c r="B266" s="887"/>
      <c r="C266" s="875"/>
      <c r="D266" s="875"/>
      <c r="E266" s="875"/>
      <c r="F266" s="875"/>
      <c r="G266" s="875"/>
      <c r="H266" s="875"/>
    </row>
    <row r="267" spans="2:8" ht="15" customHeight="1">
      <c r="B267" s="887"/>
      <c r="C267" s="875"/>
      <c r="D267" s="875"/>
      <c r="E267" s="875"/>
      <c r="F267" s="875"/>
      <c r="G267" s="875"/>
      <c r="H267" s="875"/>
    </row>
    <row r="268" spans="2:8" ht="15" customHeight="1">
      <c r="B268" s="887"/>
      <c r="C268" s="875"/>
      <c r="D268" s="875"/>
      <c r="E268" s="875"/>
      <c r="F268" s="875"/>
      <c r="G268" s="875"/>
      <c r="H268" s="875"/>
    </row>
    <row r="269" spans="2:8" ht="15" customHeight="1">
      <c r="B269" s="887"/>
      <c r="C269" s="875"/>
      <c r="D269" s="875"/>
      <c r="E269" s="875"/>
      <c r="F269" s="875"/>
      <c r="G269" s="875"/>
      <c r="H269" s="875"/>
    </row>
    <row r="270" spans="2:8" ht="15" customHeight="1">
      <c r="B270" s="887"/>
      <c r="C270" s="875"/>
      <c r="D270" s="875"/>
      <c r="E270" s="875"/>
      <c r="F270" s="875"/>
      <c r="G270" s="875"/>
      <c r="H270" s="875"/>
    </row>
    <row r="271" spans="2:8" ht="15" customHeight="1">
      <c r="B271" s="887"/>
      <c r="C271" s="875"/>
      <c r="D271" s="875"/>
      <c r="E271" s="875"/>
      <c r="F271" s="875"/>
      <c r="G271" s="875"/>
      <c r="H271" s="875"/>
    </row>
    <row r="272" spans="2:8" ht="15" customHeight="1">
      <c r="B272" s="887"/>
      <c r="C272" s="875"/>
      <c r="D272" s="875"/>
      <c r="E272" s="875"/>
      <c r="F272" s="875"/>
      <c r="G272" s="875"/>
      <c r="H272" s="875"/>
    </row>
    <row r="273" spans="2:8" ht="15" customHeight="1">
      <c r="B273" s="887"/>
      <c r="C273" s="875"/>
      <c r="D273" s="875"/>
      <c r="E273" s="875"/>
      <c r="F273" s="875"/>
      <c r="G273" s="875"/>
      <c r="H273" s="875"/>
    </row>
    <row r="274" spans="2:8" ht="15" customHeight="1">
      <c r="B274" s="887"/>
      <c r="C274" s="875"/>
      <c r="D274" s="875"/>
      <c r="E274" s="875"/>
      <c r="F274" s="875"/>
      <c r="G274" s="875"/>
      <c r="H274" s="875"/>
    </row>
    <row r="275" spans="2:8" ht="15" customHeight="1">
      <c r="B275" s="887"/>
      <c r="C275" s="875"/>
      <c r="D275" s="875"/>
      <c r="E275" s="875"/>
      <c r="F275" s="875"/>
      <c r="G275" s="875"/>
      <c r="H275" s="875"/>
    </row>
    <row r="276" spans="2:8" ht="15" customHeight="1">
      <c r="B276" s="887"/>
      <c r="C276" s="875"/>
      <c r="D276" s="875"/>
      <c r="E276" s="875"/>
      <c r="F276" s="875"/>
      <c r="G276" s="875"/>
      <c r="H276" s="875"/>
    </row>
    <row r="277" spans="2:8" ht="15" customHeight="1">
      <c r="B277" s="887"/>
      <c r="C277" s="875"/>
      <c r="D277" s="875"/>
      <c r="E277" s="875"/>
      <c r="F277" s="875"/>
      <c r="G277" s="875"/>
      <c r="H277" s="875"/>
    </row>
    <row r="278" spans="2:8" ht="15" customHeight="1">
      <c r="B278" s="887"/>
      <c r="C278" s="875"/>
      <c r="D278" s="875"/>
      <c r="E278" s="875"/>
      <c r="F278" s="875"/>
      <c r="G278" s="875"/>
      <c r="H278" s="875"/>
    </row>
    <row r="279" spans="2:8" ht="15" customHeight="1">
      <c r="B279" s="887"/>
      <c r="C279" s="875"/>
      <c r="D279" s="875"/>
      <c r="E279" s="875"/>
      <c r="F279" s="875"/>
      <c r="G279" s="875"/>
      <c r="H279" s="875"/>
    </row>
    <row r="280" spans="2:8" ht="15" customHeight="1">
      <c r="B280" s="887"/>
      <c r="C280" s="875"/>
      <c r="D280" s="875"/>
      <c r="E280" s="875"/>
      <c r="F280" s="875"/>
      <c r="G280" s="875"/>
      <c r="H280" s="875"/>
    </row>
    <row r="281" spans="2:8" ht="15" customHeight="1">
      <c r="B281" s="887"/>
      <c r="C281" s="875"/>
      <c r="D281" s="875"/>
      <c r="E281" s="875"/>
      <c r="F281" s="875"/>
      <c r="G281" s="875"/>
      <c r="H281" s="875"/>
    </row>
    <row r="282" spans="2:8" ht="15" customHeight="1">
      <c r="B282" s="887"/>
      <c r="C282" s="875"/>
      <c r="D282" s="875"/>
      <c r="E282" s="875"/>
      <c r="F282" s="875"/>
      <c r="G282" s="875"/>
      <c r="H282" s="875"/>
    </row>
    <row r="283" spans="2:8" ht="15" customHeight="1">
      <c r="B283" s="887"/>
      <c r="C283" s="875"/>
      <c r="D283" s="875"/>
      <c r="E283" s="875"/>
      <c r="F283" s="875"/>
      <c r="G283" s="875"/>
      <c r="H283" s="875"/>
    </row>
    <row r="284" spans="2:8" ht="15" customHeight="1">
      <c r="B284" s="887"/>
      <c r="C284" s="875"/>
      <c r="D284" s="875"/>
      <c r="E284" s="875"/>
      <c r="F284" s="875"/>
      <c r="G284" s="875"/>
      <c r="H284" s="875"/>
    </row>
    <row r="285" spans="2:8" ht="15" customHeight="1">
      <c r="B285" s="887"/>
      <c r="C285" s="875"/>
      <c r="D285" s="875"/>
      <c r="E285" s="875"/>
      <c r="F285" s="875"/>
      <c r="G285" s="875"/>
      <c r="H285" s="875"/>
    </row>
    <row r="286" spans="2:8" ht="15" customHeight="1">
      <c r="B286" s="887"/>
      <c r="C286" s="875"/>
      <c r="D286" s="875"/>
      <c r="E286" s="875"/>
      <c r="F286" s="875"/>
      <c r="G286" s="875"/>
      <c r="H286" s="875"/>
    </row>
    <row r="287" spans="2:8" ht="15" customHeight="1">
      <c r="B287" s="887"/>
      <c r="C287" s="875"/>
      <c r="D287" s="875"/>
      <c r="E287" s="875"/>
      <c r="F287" s="875"/>
      <c r="G287" s="875"/>
      <c r="H287" s="875"/>
    </row>
    <row r="288" spans="2:8" ht="15" customHeight="1">
      <c r="B288" s="887"/>
      <c r="C288" s="875"/>
      <c r="D288" s="875"/>
      <c r="E288" s="875"/>
      <c r="F288" s="875"/>
      <c r="G288" s="875"/>
      <c r="H288" s="875"/>
    </row>
    <row r="289" spans="2:8" ht="15" customHeight="1">
      <c r="B289" s="887"/>
      <c r="C289" s="875"/>
      <c r="D289" s="875"/>
      <c r="E289" s="875"/>
      <c r="F289" s="875"/>
      <c r="G289" s="875"/>
      <c r="H289" s="875"/>
    </row>
    <row r="290" spans="2:8" ht="15" customHeight="1">
      <c r="B290" s="887"/>
      <c r="C290" s="875"/>
      <c r="D290" s="875"/>
      <c r="E290" s="875"/>
      <c r="F290" s="875"/>
      <c r="G290" s="875"/>
      <c r="H290" s="875"/>
    </row>
    <row r="291" spans="2:8" ht="15" customHeight="1">
      <c r="B291" s="887"/>
      <c r="C291" s="875"/>
      <c r="D291" s="875"/>
      <c r="E291" s="875"/>
      <c r="F291" s="875"/>
      <c r="G291" s="875"/>
      <c r="H291" s="875"/>
    </row>
    <row r="292" spans="2:8" ht="15" customHeight="1">
      <c r="B292" s="887"/>
      <c r="C292" s="875"/>
      <c r="D292" s="875"/>
      <c r="E292" s="875"/>
      <c r="F292" s="875"/>
      <c r="G292" s="875"/>
      <c r="H292" s="875"/>
    </row>
    <row r="293" spans="2:8" ht="15" customHeight="1">
      <c r="B293" s="887"/>
      <c r="C293" s="875"/>
      <c r="D293" s="875"/>
      <c r="E293" s="875"/>
      <c r="F293" s="875"/>
      <c r="G293" s="875"/>
      <c r="H293" s="875"/>
    </row>
    <row r="294" spans="2:8" ht="15" customHeight="1">
      <c r="B294" s="887"/>
      <c r="C294" s="875"/>
      <c r="D294" s="875"/>
      <c r="E294" s="875"/>
      <c r="F294" s="875"/>
      <c r="G294" s="875"/>
      <c r="H294" s="875"/>
    </row>
    <row r="295" spans="2:8" ht="15" customHeight="1">
      <c r="B295" s="887"/>
      <c r="C295" s="875"/>
      <c r="D295" s="875"/>
      <c r="E295" s="875"/>
      <c r="F295" s="875"/>
      <c r="G295" s="875"/>
      <c r="H295" s="875"/>
    </row>
    <row r="296" spans="2:8" ht="15" customHeight="1">
      <c r="B296" s="887"/>
      <c r="C296" s="875"/>
      <c r="D296" s="875"/>
      <c r="E296" s="875"/>
      <c r="F296" s="875"/>
      <c r="G296" s="875"/>
      <c r="H296" s="875"/>
    </row>
    <row r="297" spans="2:8" ht="15" customHeight="1">
      <c r="B297" s="887"/>
      <c r="C297" s="875"/>
      <c r="D297" s="875"/>
      <c r="E297" s="875"/>
      <c r="F297" s="875"/>
      <c r="G297" s="875"/>
      <c r="H297" s="875"/>
    </row>
    <row r="298" spans="2:8" ht="15" customHeight="1">
      <c r="B298" s="887"/>
      <c r="C298" s="875"/>
      <c r="D298" s="875"/>
      <c r="E298" s="875"/>
      <c r="F298" s="875"/>
      <c r="G298" s="875"/>
      <c r="H298" s="875"/>
    </row>
    <row r="299" spans="2:8" ht="15" customHeight="1">
      <c r="B299" s="887"/>
      <c r="C299" s="875"/>
      <c r="D299" s="875"/>
      <c r="E299" s="875"/>
      <c r="F299" s="875"/>
      <c r="G299" s="875"/>
      <c r="H299" s="875"/>
    </row>
    <row r="300" spans="2:8" ht="15" customHeight="1">
      <c r="B300" s="887"/>
      <c r="C300" s="875"/>
      <c r="D300" s="875"/>
      <c r="E300" s="875"/>
      <c r="F300" s="875"/>
      <c r="G300" s="875"/>
      <c r="H300" s="875"/>
    </row>
    <row r="301" spans="2:8" ht="15" customHeight="1">
      <c r="B301" s="887"/>
      <c r="C301" s="875"/>
      <c r="D301" s="875"/>
      <c r="E301" s="875"/>
      <c r="F301" s="875"/>
      <c r="G301" s="875"/>
      <c r="H301" s="875"/>
    </row>
    <row r="302" spans="2:8" ht="15" customHeight="1">
      <c r="B302" s="887"/>
      <c r="C302" s="875"/>
      <c r="D302" s="875"/>
      <c r="E302" s="875"/>
      <c r="F302" s="875"/>
      <c r="G302" s="875"/>
      <c r="H302" s="875"/>
    </row>
    <row r="303" spans="2:8" ht="15" customHeight="1">
      <c r="B303" s="887"/>
      <c r="C303" s="875"/>
      <c r="D303" s="875"/>
      <c r="E303" s="875"/>
      <c r="F303" s="875"/>
      <c r="G303" s="875"/>
      <c r="H303" s="875"/>
    </row>
    <row r="304" spans="2:8" ht="15" customHeight="1">
      <c r="B304" s="887"/>
      <c r="C304" s="875"/>
      <c r="D304" s="875"/>
      <c r="E304" s="875"/>
      <c r="F304" s="875"/>
      <c r="G304" s="875"/>
      <c r="H304" s="875"/>
    </row>
    <row r="305" spans="2:8" ht="15" customHeight="1">
      <c r="B305" s="887"/>
      <c r="C305" s="875"/>
      <c r="D305" s="875"/>
      <c r="E305" s="875"/>
      <c r="F305" s="875"/>
      <c r="G305" s="875"/>
      <c r="H305" s="875"/>
    </row>
    <row r="306" spans="2:8" ht="15" customHeight="1">
      <c r="B306" s="887"/>
      <c r="C306" s="875"/>
      <c r="D306" s="875"/>
      <c r="E306" s="875"/>
      <c r="F306" s="875"/>
      <c r="G306" s="875"/>
      <c r="H306" s="875"/>
    </row>
    <row r="307" spans="2:8" ht="15" customHeight="1">
      <c r="B307" s="887"/>
      <c r="C307" s="875"/>
      <c r="D307" s="875"/>
      <c r="E307" s="875"/>
      <c r="F307" s="875"/>
      <c r="G307" s="875"/>
      <c r="H307" s="875"/>
    </row>
    <row r="308" spans="2:8" ht="15" customHeight="1">
      <c r="B308" s="887"/>
      <c r="C308" s="875"/>
      <c r="D308" s="875"/>
      <c r="E308" s="875"/>
      <c r="F308" s="875"/>
      <c r="G308" s="875"/>
      <c r="H308" s="875"/>
    </row>
    <row r="309" spans="2:8" ht="15" customHeight="1">
      <c r="B309" s="887"/>
      <c r="C309" s="875"/>
      <c r="D309" s="875"/>
      <c r="E309" s="875"/>
      <c r="F309" s="875"/>
      <c r="G309" s="875"/>
      <c r="H309" s="875"/>
    </row>
    <row r="310" spans="2:8" ht="15" customHeight="1">
      <c r="B310" s="887"/>
      <c r="C310" s="875"/>
      <c r="D310" s="875"/>
      <c r="E310" s="875"/>
      <c r="F310" s="875"/>
      <c r="G310" s="875"/>
      <c r="H310" s="875"/>
    </row>
    <row r="311" spans="2:8" ht="15" customHeight="1">
      <c r="B311" s="887"/>
      <c r="C311" s="875"/>
      <c r="D311" s="875"/>
      <c r="E311" s="875"/>
      <c r="F311" s="875"/>
      <c r="G311" s="875"/>
      <c r="H311" s="875"/>
    </row>
    <row r="312" spans="2:8" ht="15" customHeight="1">
      <c r="B312" s="887"/>
      <c r="C312" s="875"/>
      <c r="D312" s="875"/>
      <c r="E312" s="875"/>
      <c r="F312" s="875"/>
      <c r="G312" s="875"/>
      <c r="H312" s="875"/>
    </row>
    <row r="313" spans="2:8" ht="15" customHeight="1">
      <c r="B313" s="887"/>
      <c r="C313" s="875"/>
      <c r="D313" s="875"/>
      <c r="E313" s="875"/>
      <c r="F313" s="875"/>
      <c r="G313" s="875"/>
      <c r="H313" s="875"/>
    </row>
    <row r="314" spans="2:8" ht="15" customHeight="1">
      <c r="B314" s="887"/>
      <c r="C314" s="875"/>
      <c r="D314" s="875"/>
      <c r="E314" s="875"/>
      <c r="F314" s="875"/>
      <c r="G314" s="875"/>
      <c r="H314" s="875"/>
    </row>
    <row r="315" spans="2:8" ht="15" customHeight="1">
      <c r="B315" s="887"/>
      <c r="C315" s="875"/>
      <c r="D315" s="875"/>
      <c r="E315" s="875"/>
      <c r="F315" s="875"/>
      <c r="G315" s="875"/>
      <c r="H315" s="875"/>
    </row>
    <row r="316" spans="2:8" ht="15" customHeight="1">
      <c r="B316" s="887"/>
      <c r="C316" s="875"/>
      <c r="D316" s="875"/>
      <c r="E316" s="875"/>
      <c r="F316" s="875"/>
      <c r="G316" s="875"/>
      <c r="H316" s="875"/>
    </row>
    <row r="317" spans="2:8" ht="15" customHeight="1">
      <c r="B317" s="887"/>
      <c r="C317" s="875"/>
      <c r="D317" s="875"/>
      <c r="E317" s="875"/>
      <c r="F317" s="875"/>
      <c r="G317" s="875"/>
      <c r="H317" s="875"/>
    </row>
    <row r="318" spans="2:8" ht="15" customHeight="1">
      <c r="B318" s="887"/>
      <c r="C318" s="875"/>
      <c r="D318" s="875"/>
      <c r="E318" s="875"/>
      <c r="F318" s="875"/>
      <c r="G318" s="875"/>
      <c r="H318" s="875"/>
    </row>
    <row r="319" spans="2:8" ht="15" customHeight="1">
      <c r="B319" s="887"/>
      <c r="C319" s="875"/>
      <c r="D319" s="875"/>
      <c r="E319" s="875"/>
      <c r="F319" s="875"/>
      <c r="G319" s="875"/>
      <c r="H319" s="875"/>
    </row>
    <row r="320" spans="2:8" ht="15" customHeight="1">
      <c r="B320" s="887"/>
      <c r="C320" s="875"/>
      <c r="D320" s="875"/>
      <c r="E320" s="875"/>
      <c r="F320" s="875"/>
      <c r="G320" s="875"/>
      <c r="H320" s="875"/>
    </row>
    <row r="321" spans="2:8" ht="15" customHeight="1">
      <c r="B321" s="887"/>
      <c r="C321" s="875"/>
      <c r="D321" s="875"/>
      <c r="E321" s="875"/>
      <c r="F321" s="875"/>
      <c r="G321" s="875"/>
      <c r="H321" s="875"/>
    </row>
    <row r="322" spans="2:8" ht="15" customHeight="1">
      <c r="B322" s="887"/>
      <c r="C322" s="875"/>
      <c r="D322" s="875"/>
      <c r="E322" s="875"/>
      <c r="F322" s="875"/>
      <c r="G322" s="875"/>
      <c r="H322" s="875"/>
    </row>
    <row r="323" spans="2:8" ht="15" customHeight="1">
      <c r="B323" s="887"/>
      <c r="C323" s="875"/>
      <c r="D323" s="875"/>
      <c r="E323" s="875"/>
      <c r="F323" s="875"/>
      <c r="G323" s="875"/>
      <c r="H323" s="875"/>
    </row>
    <row r="324" spans="2:8" ht="15" customHeight="1">
      <c r="B324" s="887"/>
      <c r="C324" s="875"/>
      <c r="D324" s="875"/>
      <c r="E324" s="875"/>
      <c r="F324" s="875"/>
      <c r="G324" s="875"/>
      <c r="H324" s="875"/>
    </row>
    <row r="325" spans="2:8" ht="15" customHeight="1">
      <c r="B325" s="887"/>
      <c r="C325" s="875"/>
      <c r="D325" s="875"/>
      <c r="E325" s="875"/>
      <c r="F325" s="875"/>
      <c r="G325" s="875"/>
      <c r="H325" s="875"/>
    </row>
    <row r="326" spans="2:8" ht="15" customHeight="1">
      <c r="B326" s="887"/>
      <c r="C326" s="875"/>
      <c r="D326" s="875"/>
      <c r="E326" s="875"/>
      <c r="F326" s="875"/>
      <c r="G326" s="875"/>
      <c r="H326" s="875"/>
    </row>
    <row r="327" spans="2:8" ht="15" customHeight="1">
      <c r="B327" s="887"/>
      <c r="C327" s="875"/>
      <c r="D327" s="875"/>
      <c r="E327" s="875"/>
      <c r="F327" s="875"/>
      <c r="G327" s="875"/>
      <c r="H327" s="875"/>
    </row>
    <row r="328" spans="2:8" ht="15" customHeight="1">
      <c r="B328" s="887"/>
      <c r="C328" s="875"/>
      <c r="D328" s="875"/>
      <c r="E328" s="875"/>
      <c r="F328" s="875"/>
      <c r="G328" s="875"/>
      <c r="H328" s="875"/>
    </row>
    <row r="329" spans="2:8" ht="15" customHeight="1">
      <c r="B329" s="887"/>
      <c r="C329" s="875"/>
      <c r="D329" s="875"/>
      <c r="E329" s="875"/>
      <c r="F329" s="875"/>
      <c r="G329" s="875"/>
      <c r="H329" s="875"/>
    </row>
    <row r="330" spans="2:8" ht="15" customHeight="1">
      <c r="B330" s="887"/>
      <c r="C330" s="875"/>
      <c r="D330" s="875"/>
      <c r="E330" s="875"/>
      <c r="F330" s="875"/>
      <c r="G330" s="875"/>
      <c r="H330" s="875"/>
    </row>
    <row r="331" spans="2:8" ht="15" customHeight="1">
      <c r="B331" s="887"/>
      <c r="C331" s="875"/>
      <c r="D331" s="875"/>
      <c r="E331" s="875"/>
      <c r="F331" s="875"/>
      <c r="G331" s="875"/>
      <c r="H331" s="875"/>
    </row>
    <row r="332" spans="2:8" ht="15" customHeight="1">
      <c r="B332" s="887"/>
      <c r="C332" s="875"/>
      <c r="D332" s="875"/>
      <c r="E332" s="875"/>
      <c r="F332" s="875"/>
      <c r="G332" s="875"/>
      <c r="H332" s="875"/>
    </row>
    <row r="333" spans="2:8" ht="15" customHeight="1">
      <c r="B333" s="887"/>
      <c r="C333" s="875"/>
      <c r="D333" s="875"/>
      <c r="E333" s="875"/>
      <c r="F333" s="875"/>
      <c r="G333" s="875"/>
      <c r="H333" s="875"/>
    </row>
    <row r="334" spans="2:8" ht="15" customHeight="1">
      <c r="B334" s="887"/>
      <c r="C334" s="875"/>
      <c r="D334" s="875"/>
      <c r="E334" s="875"/>
      <c r="F334" s="875"/>
      <c r="G334" s="875"/>
      <c r="H334" s="875"/>
    </row>
    <row r="335" spans="2:8" ht="15" customHeight="1">
      <c r="B335" s="887"/>
      <c r="C335" s="875"/>
      <c r="D335" s="875"/>
      <c r="E335" s="875"/>
      <c r="F335" s="875"/>
      <c r="G335" s="875"/>
      <c r="H335" s="875"/>
    </row>
    <row r="336" spans="2:8" ht="15" customHeight="1">
      <c r="B336" s="887"/>
      <c r="C336" s="875"/>
      <c r="D336" s="875"/>
      <c r="E336" s="875"/>
      <c r="F336" s="875"/>
      <c r="G336" s="875"/>
      <c r="H336" s="875"/>
    </row>
    <row r="337" spans="2:8" ht="15" customHeight="1">
      <c r="B337" s="887"/>
      <c r="C337" s="875"/>
      <c r="D337" s="875"/>
      <c r="E337" s="875"/>
      <c r="F337" s="875"/>
      <c r="G337" s="875"/>
      <c r="H337" s="875"/>
    </row>
    <row r="338" spans="2:8" ht="15" customHeight="1">
      <c r="B338" s="887"/>
      <c r="C338" s="875"/>
      <c r="D338" s="875"/>
      <c r="E338" s="875"/>
      <c r="F338" s="875"/>
      <c r="G338" s="875"/>
      <c r="H338" s="875"/>
    </row>
    <row r="339" spans="2:8" ht="15" customHeight="1">
      <c r="B339" s="887"/>
      <c r="C339" s="875"/>
      <c r="D339" s="875"/>
      <c r="E339" s="875"/>
      <c r="F339" s="875"/>
      <c r="G339" s="875"/>
      <c r="H339" s="875"/>
    </row>
    <row r="340" spans="2:8" ht="15" customHeight="1">
      <c r="B340" s="887"/>
      <c r="C340" s="875"/>
      <c r="D340" s="875"/>
      <c r="E340" s="875"/>
      <c r="F340" s="875"/>
      <c r="G340" s="875"/>
      <c r="H340" s="875"/>
    </row>
    <row r="341" spans="2:8" ht="15" customHeight="1">
      <c r="B341" s="887"/>
      <c r="C341" s="875"/>
      <c r="D341" s="875"/>
      <c r="E341" s="875"/>
      <c r="F341" s="875"/>
      <c r="G341" s="875"/>
      <c r="H341" s="875"/>
    </row>
    <row r="342" spans="2:8" ht="15" customHeight="1">
      <c r="B342" s="887"/>
      <c r="C342" s="875"/>
      <c r="D342" s="875"/>
      <c r="E342" s="875"/>
      <c r="F342" s="875"/>
      <c r="G342" s="875"/>
      <c r="H342" s="875"/>
    </row>
    <row r="343" spans="2:8" ht="15" customHeight="1">
      <c r="B343" s="887"/>
      <c r="C343" s="875"/>
      <c r="D343" s="875"/>
      <c r="E343" s="875"/>
      <c r="F343" s="875"/>
      <c r="G343" s="875"/>
      <c r="H343" s="875"/>
    </row>
    <row r="344" spans="2:8" ht="15" customHeight="1">
      <c r="B344" s="887"/>
      <c r="C344" s="875"/>
      <c r="D344" s="875"/>
      <c r="E344" s="875"/>
      <c r="F344" s="875"/>
      <c r="G344" s="875"/>
      <c r="H344" s="875"/>
    </row>
    <row r="345" spans="2:8" ht="15" customHeight="1">
      <c r="B345" s="887"/>
      <c r="C345" s="875"/>
      <c r="D345" s="875"/>
      <c r="E345" s="875"/>
      <c r="F345" s="875"/>
      <c r="G345" s="875"/>
      <c r="H345" s="875"/>
    </row>
    <row r="346" spans="2:8" ht="15" customHeight="1">
      <c r="B346" s="887"/>
      <c r="C346" s="875"/>
      <c r="D346" s="875"/>
      <c r="E346" s="875"/>
      <c r="F346" s="875"/>
      <c r="G346" s="875"/>
      <c r="H346" s="875"/>
    </row>
    <row r="347" spans="2:8" ht="15" customHeight="1">
      <c r="B347" s="887"/>
      <c r="C347" s="875"/>
      <c r="D347" s="875"/>
      <c r="E347" s="875"/>
      <c r="F347" s="875"/>
      <c r="G347" s="875"/>
      <c r="H347" s="875"/>
    </row>
    <row r="348" spans="2:8" ht="15" customHeight="1">
      <c r="B348" s="887"/>
      <c r="C348" s="875"/>
      <c r="D348" s="875"/>
      <c r="E348" s="875"/>
      <c r="F348" s="875"/>
      <c r="G348" s="875"/>
      <c r="H348" s="875"/>
    </row>
    <row r="349" spans="2:8" ht="15" customHeight="1">
      <c r="B349" s="887"/>
      <c r="C349" s="875"/>
      <c r="D349" s="875"/>
      <c r="E349" s="875"/>
      <c r="F349" s="875"/>
      <c r="G349" s="875"/>
      <c r="H349" s="875"/>
    </row>
    <row r="350" spans="2:8" ht="15" customHeight="1">
      <c r="B350" s="887"/>
      <c r="C350" s="875"/>
      <c r="D350" s="875"/>
      <c r="E350" s="875"/>
      <c r="F350" s="875"/>
      <c r="G350" s="875"/>
      <c r="H350" s="875"/>
    </row>
    <row r="351" spans="2:8" ht="15" customHeight="1">
      <c r="B351" s="887"/>
      <c r="C351" s="875"/>
      <c r="D351" s="875"/>
      <c r="E351" s="875"/>
      <c r="F351" s="875"/>
      <c r="G351" s="875"/>
      <c r="H351" s="875"/>
    </row>
    <row r="352" spans="2:8" ht="15" customHeight="1">
      <c r="B352" s="887"/>
      <c r="C352" s="875"/>
      <c r="D352" s="875"/>
      <c r="E352" s="875"/>
      <c r="F352" s="875"/>
      <c r="G352" s="875"/>
      <c r="H352" s="875"/>
    </row>
    <row r="353" spans="2:8" ht="15" customHeight="1">
      <c r="B353" s="887"/>
      <c r="C353" s="875"/>
      <c r="D353" s="875"/>
      <c r="E353" s="875"/>
      <c r="F353" s="875"/>
      <c r="G353" s="875"/>
      <c r="H353" s="875"/>
    </row>
    <row r="354" spans="2:8" ht="15" customHeight="1">
      <c r="B354" s="887"/>
      <c r="C354" s="875"/>
      <c r="D354" s="875"/>
      <c r="E354" s="875"/>
      <c r="F354" s="875"/>
      <c r="G354" s="875"/>
      <c r="H354" s="875"/>
    </row>
    <row r="355" spans="2:8" ht="15" customHeight="1">
      <c r="B355" s="887"/>
      <c r="C355" s="875"/>
      <c r="D355" s="875"/>
      <c r="E355" s="875"/>
      <c r="F355" s="875"/>
      <c r="G355" s="875"/>
      <c r="H355" s="875"/>
    </row>
    <row r="356" spans="2:8" ht="15" customHeight="1">
      <c r="B356" s="887"/>
      <c r="C356" s="875"/>
      <c r="D356" s="875"/>
      <c r="E356" s="875"/>
      <c r="F356" s="875"/>
      <c r="G356" s="875"/>
      <c r="H356" s="875"/>
    </row>
    <row r="357" spans="2:8" ht="15" customHeight="1">
      <c r="B357" s="887"/>
      <c r="C357" s="875"/>
      <c r="D357" s="875"/>
      <c r="E357" s="875"/>
      <c r="F357" s="875"/>
      <c r="G357" s="875"/>
      <c r="H357" s="875"/>
    </row>
    <row r="358" spans="2:8" ht="15" customHeight="1">
      <c r="B358" s="887"/>
      <c r="C358" s="875"/>
      <c r="D358" s="875"/>
      <c r="E358" s="875"/>
      <c r="F358" s="875"/>
      <c r="G358" s="875"/>
      <c r="H358" s="875"/>
    </row>
    <row r="359" spans="2:8" ht="15" customHeight="1">
      <c r="B359" s="887"/>
      <c r="C359" s="875"/>
      <c r="D359" s="875"/>
      <c r="E359" s="875"/>
      <c r="F359" s="875"/>
      <c r="G359" s="875"/>
      <c r="H359" s="875"/>
    </row>
    <row r="360" spans="2:8" ht="15" customHeight="1">
      <c r="B360" s="887"/>
      <c r="C360" s="875"/>
      <c r="D360" s="875"/>
      <c r="E360" s="875"/>
      <c r="F360" s="875"/>
      <c r="G360" s="875"/>
      <c r="H360" s="875"/>
    </row>
    <row r="361" spans="2:8" ht="15" customHeight="1">
      <c r="B361" s="887"/>
      <c r="C361" s="875"/>
      <c r="D361" s="875"/>
      <c r="E361" s="875"/>
      <c r="F361" s="875"/>
      <c r="G361" s="875"/>
      <c r="H361" s="875"/>
    </row>
    <row r="362" spans="2:8" ht="15" customHeight="1">
      <c r="B362" s="887"/>
      <c r="C362" s="875"/>
      <c r="D362" s="875"/>
      <c r="E362" s="875"/>
      <c r="F362" s="875"/>
      <c r="G362" s="875"/>
      <c r="H362" s="875"/>
    </row>
    <row r="363" spans="2:8" ht="15" customHeight="1">
      <c r="B363" s="887"/>
      <c r="C363" s="875"/>
      <c r="D363" s="875"/>
      <c r="E363" s="875"/>
      <c r="F363" s="875"/>
      <c r="G363" s="875"/>
      <c r="H363" s="875"/>
    </row>
    <row r="364" spans="2:8" ht="15" customHeight="1">
      <c r="B364" s="887"/>
      <c r="C364" s="875"/>
      <c r="D364" s="875"/>
      <c r="E364" s="875"/>
      <c r="F364" s="875"/>
      <c r="G364" s="875"/>
      <c r="H364" s="875"/>
    </row>
    <row r="365" spans="2:8" ht="15" customHeight="1">
      <c r="B365" s="887"/>
      <c r="C365" s="875"/>
      <c r="D365" s="875"/>
      <c r="E365" s="875"/>
      <c r="F365" s="875"/>
      <c r="G365" s="875"/>
      <c r="H365" s="875"/>
    </row>
    <row r="366" spans="2:8" ht="15" customHeight="1">
      <c r="B366" s="887"/>
      <c r="C366" s="875"/>
      <c r="D366" s="875"/>
      <c r="E366" s="875"/>
      <c r="F366" s="875"/>
      <c r="G366" s="875"/>
      <c r="H366" s="875"/>
    </row>
    <row r="367" spans="2:8" ht="15" customHeight="1">
      <c r="B367" s="887"/>
      <c r="C367" s="875"/>
      <c r="D367" s="875"/>
      <c r="E367" s="875"/>
      <c r="F367" s="875"/>
      <c r="G367" s="875"/>
      <c r="H367" s="875"/>
    </row>
    <row r="368" spans="2:8" ht="15" customHeight="1">
      <c r="B368" s="887"/>
      <c r="C368" s="875"/>
      <c r="D368" s="875"/>
      <c r="E368" s="875"/>
      <c r="F368" s="875"/>
      <c r="G368" s="875"/>
      <c r="H368" s="875"/>
    </row>
    <row r="369" spans="2:8" ht="15" customHeight="1">
      <c r="B369" s="887"/>
      <c r="C369" s="875"/>
      <c r="D369" s="875"/>
      <c r="E369" s="875"/>
      <c r="F369" s="875"/>
      <c r="G369" s="875"/>
      <c r="H369" s="875"/>
    </row>
    <row r="370" spans="2:8" ht="15" customHeight="1">
      <c r="B370" s="887"/>
      <c r="C370" s="875"/>
      <c r="D370" s="875"/>
      <c r="E370" s="875"/>
      <c r="F370" s="875"/>
      <c r="G370" s="875"/>
      <c r="H370" s="875"/>
    </row>
    <row r="371" spans="2:8" ht="15" customHeight="1">
      <c r="B371" s="887"/>
      <c r="C371" s="875"/>
      <c r="D371" s="875"/>
      <c r="E371" s="875"/>
      <c r="F371" s="875"/>
      <c r="G371" s="875"/>
      <c r="H371" s="875"/>
    </row>
    <row r="372" spans="2:8" ht="15" customHeight="1">
      <c r="B372" s="887"/>
      <c r="C372" s="875"/>
      <c r="D372" s="875"/>
      <c r="E372" s="875"/>
      <c r="F372" s="875"/>
      <c r="G372" s="875"/>
      <c r="H372" s="875"/>
    </row>
    <row r="373" spans="2:8" ht="15" customHeight="1">
      <c r="B373" s="887"/>
      <c r="C373" s="875"/>
      <c r="D373" s="875"/>
      <c r="E373" s="875"/>
      <c r="F373" s="875"/>
      <c r="G373" s="875"/>
      <c r="H373" s="875"/>
    </row>
    <row r="374" spans="2:8" ht="15" customHeight="1">
      <c r="B374" s="887"/>
      <c r="C374" s="875"/>
      <c r="D374" s="875"/>
      <c r="E374" s="875"/>
      <c r="F374" s="875"/>
      <c r="G374" s="875"/>
      <c r="H374" s="875"/>
    </row>
    <row r="375" spans="2:8" ht="15" customHeight="1">
      <c r="B375" s="887"/>
      <c r="C375" s="875"/>
      <c r="D375" s="875"/>
      <c r="E375" s="875"/>
      <c r="F375" s="875"/>
      <c r="G375" s="875"/>
      <c r="H375" s="875"/>
    </row>
    <row r="376" spans="2:8" ht="15" customHeight="1">
      <c r="B376" s="887"/>
      <c r="C376" s="875"/>
      <c r="D376" s="875"/>
      <c r="E376" s="875"/>
      <c r="F376" s="875"/>
      <c r="G376" s="875"/>
      <c r="H376" s="875"/>
    </row>
    <row r="377" spans="2:8" ht="15" customHeight="1">
      <c r="B377" s="887"/>
      <c r="C377" s="875"/>
      <c r="D377" s="875"/>
      <c r="E377" s="875"/>
      <c r="F377" s="875"/>
      <c r="G377" s="875"/>
      <c r="H377" s="875"/>
    </row>
    <row r="378" spans="2:8" ht="15" customHeight="1">
      <c r="B378" s="887"/>
      <c r="C378" s="875"/>
      <c r="D378" s="875"/>
      <c r="E378" s="875"/>
      <c r="F378" s="875"/>
      <c r="G378" s="875"/>
      <c r="H378" s="875"/>
    </row>
    <row r="379" spans="2:8" ht="15" customHeight="1">
      <c r="B379" s="887"/>
      <c r="C379" s="875"/>
      <c r="D379" s="875"/>
      <c r="E379" s="875"/>
      <c r="F379" s="875"/>
      <c r="G379" s="875"/>
      <c r="H379" s="875"/>
    </row>
    <row r="380" spans="2:8" ht="15" customHeight="1">
      <c r="B380" s="887"/>
      <c r="C380" s="875"/>
      <c r="D380" s="875"/>
      <c r="E380" s="875"/>
      <c r="F380" s="875"/>
      <c r="G380" s="875"/>
      <c r="H380" s="875"/>
    </row>
    <row r="381" spans="2:8" ht="15" customHeight="1">
      <c r="B381" s="887"/>
      <c r="C381" s="875"/>
      <c r="D381" s="875"/>
      <c r="E381" s="875"/>
      <c r="F381" s="875"/>
      <c r="G381" s="875"/>
      <c r="H381" s="875"/>
    </row>
    <row r="382" spans="2:8" ht="15" customHeight="1">
      <c r="B382" s="887"/>
      <c r="C382" s="875"/>
      <c r="D382" s="875"/>
      <c r="E382" s="875"/>
      <c r="F382" s="875"/>
      <c r="G382" s="875"/>
      <c r="H382" s="875"/>
    </row>
    <row r="383" spans="2:8" ht="15" customHeight="1">
      <c r="B383" s="887"/>
      <c r="C383" s="875"/>
      <c r="D383" s="875"/>
      <c r="E383" s="875"/>
      <c r="F383" s="875"/>
      <c r="G383" s="875"/>
      <c r="H383" s="875"/>
    </row>
    <row r="384" spans="2:8" ht="15" customHeight="1">
      <c r="B384" s="887"/>
      <c r="C384" s="875"/>
      <c r="D384" s="875"/>
      <c r="E384" s="875"/>
      <c r="F384" s="875"/>
      <c r="G384" s="875"/>
      <c r="H384" s="875"/>
    </row>
    <row r="385" spans="2:8" ht="15" customHeight="1">
      <c r="B385" s="887"/>
      <c r="C385" s="875"/>
      <c r="D385" s="875"/>
      <c r="E385" s="875"/>
      <c r="F385" s="875"/>
      <c r="G385" s="875"/>
      <c r="H385" s="875"/>
    </row>
    <row r="386" spans="2:8" ht="15" customHeight="1">
      <c r="B386" s="887"/>
      <c r="C386" s="875"/>
      <c r="D386" s="875"/>
      <c r="E386" s="875"/>
      <c r="F386" s="875"/>
      <c r="G386" s="875"/>
      <c r="H386" s="875"/>
    </row>
    <row r="387" spans="2:8" ht="15" customHeight="1">
      <c r="B387" s="887"/>
      <c r="C387" s="875"/>
      <c r="D387" s="875"/>
      <c r="E387" s="875"/>
      <c r="F387" s="875"/>
      <c r="G387" s="875"/>
      <c r="H387" s="875"/>
    </row>
    <row r="388" spans="2:8" ht="15" customHeight="1">
      <c r="B388" s="887"/>
      <c r="C388" s="875"/>
      <c r="D388" s="875"/>
      <c r="E388" s="875"/>
      <c r="F388" s="875"/>
      <c r="G388" s="875"/>
      <c r="H388" s="875"/>
    </row>
    <row r="389" spans="2:8" ht="15" customHeight="1">
      <c r="B389" s="887"/>
      <c r="C389" s="875"/>
      <c r="D389" s="875"/>
      <c r="E389" s="875"/>
      <c r="F389" s="875"/>
      <c r="G389" s="875"/>
      <c r="H389" s="875"/>
    </row>
    <row r="390" spans="2:8" ht="15" customHeight="1">
      <c r="B390" s="887"/>
      <c r="C390" s="875"/>
      <c r="D390" s="875"/>
      <c r="E390" s="875"/>
      <c r="F390" s="875"/>
      <c r="G390" s="875"/>
      <c r="H390" s="875"/>
    </row>
    <row r="391" spans="2:8" ht="15" customHeight="1">
      <c r="B391" s="887"/>
      <c r="C391" s="875"/>
      <c r="D391" s="875"/>
      <c r="E391" s="875"/>
      <c r="F391" s="875"/>
      <c r="G391" s="875"/>
      <c r="H391" s="875"/>
    </row>
    <row r="392" spans="2:8" ht="15" customHeight="1">
      <c r="B392" s="887"/>
      <c r="C392" s="875"/>
      <c r="D392" s="875"/>
      <c r="E392" s="875"/>
      <c r="F392" s="875"/>
      <c r="G392" s="875"/>
      <c r="H392" s="875"/>
    </row>
    <row r="393" spans="2:8" ht="15" customHeight="1">
      <c r="B393" s="887"/>
      <c r="C393" s="875"/>
      <c r="D393" s="875"/>
      <c r="E393" s="875"/>
      <c r="F393" s="875"/>
      <c r="G393" s="875"/>
      <c r="H393" s="875"/>
    </row>
    <row r="394" spans="2:8" ht="15" customHeight="1">
      <c r="B394" s="887"/>
      <c r="C394" s="875"/>
      <c r="D394" s="875"/>
      <c r="E394" s="875"/>
      <c r="F394" s="875"/>
      <c r="G394" s="875"/>
      <c r="H394" s="875"/>
    </row>
    <row r="395" spans="2:8" ht="15" customHeight="1">
      <c r="B395" s="887"/>
      <c r="C395" s="875"/>
      <c r="D395" s="875"/>
      <c r="E395" s="875"/>
      <c r="F395" s="875"/>
      <c r="G395" s="875"/>
      <c r="H395" s="875"/>
    </row>
    <row r="396" spans="2:8" ht="15" customHeight="1">
      <c r="B396" s="887"/>
      <c r="C396" s="875"/>
      <c r="D396" s="875"/>
      <c r="E396" s="875"/>
      <c r="F396" s="875"/>
      <c r="G396" s="875"/>
      <c r="H396" s="875"/>
    </row>
    <row r="397" spans="2:8" ht="15" customHeight="1">
      <c r="B397" s="887"/>
      <c r="C397" s="875"/>
      <c r="D397" s="875"/>
      <c r="E397" s="875"/>
      <c r="F397" s="875"/>
      <c r="G397" s="875"/>
      <c r="H397" s="875"/>
    </row>
    <row r="398" spans="2:8" ht="15" customHeight="1">
      <c r="B398" s="887"/>
      <c r="C398" s="875"/>
      <c r="D398" s="875"/>
      <c r="E398" s="875"/>
      <c r="F398" s="875"/>
      <c r="G398" s="875"/>
      <c r="H398" s="875"/>
    </row>
    <row r="399" spans="2:8" ht="15" customHeight="1">
      <c r="B399" s="887"/>
      <c r="C399" s="875"/>
      <c r="D399" s="875"/>
      <c r="E399" s="875"/>
      <c r="F399" s="875"/>
      <c r="G399" s="875"/>
      <c r="H399" s="875"/>
    </row>
    <row r="400" spans="2:8" ht="15" customHeight="1">
      <c r="B400" s="887"/>
      <c r="C400" s="875"/>
      <c r="D400" s="875"/>
      <c r="E400" s="875"/>
      <c r="F400" s="875"/>
      <c r="G400" s="875"/>
      <c r="H400" s="875"/>
    </row>
    <row r="401" spans="2:8" ht="15" customHeight="1">
      <c r="B401" s="887"/>
      <c r="C401" s="875"/>
      <c r="D401" s="875"/>
      <c r="E401" s="875"/>
      <c r="F401" s="875"/>
      <c r="G401" s="875"/>
      <c r="H401" s="875"/>
    </row>
    <row r="402" spans="2:8" ht="15" customHeight="1">
      <c r="B402" s="887"/>
      <c r="C402" s="875"/>
      <c r="D402" s="875"/>
      <c r="E402" s="875"/>
      <c r="F402" s="875"/>
      <c r="G402" s="875"/>
      <c r="H402" s="875"/>
    </row>
    <row r="403" spans="2:8" ht="15" customHeight="1">
      <c r="B403" s="887"/>
      <c r="C403" s="875"/>
      <c r="D403" s="875"/>
      <c r="E403" s="875"/>
      <c r="F403" s="875"/>
      <c r="G403" s="875"/>
      <c r="H403" s="875"/>
    </row>
    <row r="404" spans="2:8" ht="15" customHeight="1">
      <c r="B404" s="887"/>
      <c r="C404" s="875"/>
      <c r="D404" s="875"/>
      <c r="E404" s="875"/>
      <c r="F404" s="875"/>
      <c r="G404" s="875"/>
      <c r="H404" s="875"/>
    </row>
    <row r="405" spans="2:8" ht="15" customHeight="1">
      <c r="B405" s="887"/>
      <c r="C405" s="875"/>
      <c r="D405" s="875"/>
      <c r="E405" s="875"/>
      <c r="F405" s="875"/>
      <c r="G405" s="875"/>
      <c r="H405" s="875"/>
    </row>
    <row r="406" spans="2:8" ht="15" customHeight="1">
      <c r="B406" s="887"/>
      <c r="C406" s="875"/>
      <c r="D406" s="875"/>
      <c r="E406" s="875"/>
      <c r="F406" s="875"/>
      <c r="G406" s="875"/>
      <c r="H406" s="875"/>
    </row>
    <row r="407" spans="2:8" ht="15" customHeight="1">
      <c r="B407" s="887"/>
      <c r="C407" s="875"/>
      <c r="D407" s="875"/>
      <c r="E407" s="875"/>
      <c r="F407" s="875"/>
      <c r="G407" s="875"/>
      <c r="H407" s="875"/>
    </row>
    <row r="408" spans="2:8" ht="15" customHeight="1">
      <c r="B408" s="887"/>
      <c r="C408" s="875"/>
      <c r="D408" s="875"/>
      <c r="E408" s="875"/>
      <c r="F408" s="875"/>
      <c r="G408" s="875"/>
      <c r="H408" s="875"/>
    </row>
    <row r="409" spans="2:8" ht="15" customHeight="1">
      <c r="B409" s="887"/>
      <c r="C409" s="875"/>
      <c r="D409" s="875"/>
      <c r="E409" s="875"/>
      <c r="F409" s="875"/>
      <c r="G409" s="875"/>
      <c r="H409" s="875"/>
    </row>
    <row r="410" spans="2:8" ht="15" customHeight="1">
      <c r="B410" s="887"/>
      <c r="C410" s="875"/>
      <c r="D410" s="875"/>
      <c r="E410" s="875"/>
      <c r="F410" s="875"/>
      <c r="G410" s="875"/>
      <c r="H410" s="875"/>
    </row>
    <row r="411" spans="2:8" ht="15" customHeight="1">
      <c r="B411" s="887"/>
      <c r="C411" s="875"/>
      <c r="D411" s="875"/>
      <c r="E411" s="875"/>
      <c r="F411" s="875"/>
      <c r="G411" s="875"/>
      <c r="H411" s="875"/>
    </row>
    <row r="412" spans="2:8" ht="15" customHeight="1">
      <c r="B412" s="887"/>
      <c r="C412" s="875"/>
      <c r="D412" s="875"/>
      <c r="E412" s="875"/>
      <c r="F412" s="875"/>
      <c r="G412" s="875"/>
      <c r="H412" s="875"/>
    </row>
    <row r="413" spans="2:8" ht="15" customHeight="1">
      <c r="B413" s="887"/>
      <c r="C413" s="875"/>
      <c r="D413" s="875"/>
      <c r="E413" s="875"/>
      <c r="F413" s="875"/>
      <c r="G413" s="875"/>
      <c r="H413" s="875"/>
    </row>
    <row r="414" spans="2:8" ht="15" customHeight="1">
      <c r="B414" s="887"/>
      <c r="C414" s="875"/>
      <c r="D414" s="875"/>
      <c r="E414" s="875"/>
      <c r="F414" s="875"/>
      <c r="G414" s="875"/>
      <c r="H414" s="875"/>
    </row>
    <row r="415" spans="2:8" ht="15" customHeight="1">
      <c r="B415" s="887"/>
      <c r="C415" s="875"/>
      <c r="D415" s="875"/>
      <c r="E415" s="875"/>
      <c r="F415" s="875"/>
      <c r="G415" s="875"/>
      <c r="H415" s="875"/>
    </row>
    <row r="416" spans="2:8" ht="15" customHeight="1">
      <c r="B416" s="887"/>
      <c r="C416" s="875"/>
      <c r="D416" s="875"/>
      <c r="E416" s="875"/>
      <c r="F416" s="875"/>
      <c r="G416" s="875"/>
      <c r="H416" s="875"/>
    </row>
    <row r="417" spans="2:8" ht="15" customHeight="1">
      <c r="B417" s="887"/>
      <c r="C417" s="875"/>
      <c r="D417" s="875"/>
      <c r="E417" s="875"/>
      <c r="F417" s="875"/>
      <c r="G417" s="875"/>
      <c r="H417" s="875"/>
    </row>
    <row r="418" spans="2:8" ht="15" customHeight="1">
      <c r="B418" s="887"/>
      <c r="C418" s="875"/>
      <c r="D418" s="875"/>
      <c r="E418" s="875"/>
      <c r="F418" s="875"/>
      <c r="G418" s="875"/>
      <c r="H418" s="875"/>
    </row>
    <row r="419" spans="2:8" ht="15" customHeight="1">
      <c r="B419" s="887"/>
      <c r="C419" s="875"/>
      <c r="D419" s="875"/>
      <c r="E419" s="875"/>
      <c r="F419" s="875"/>
      <c r="G419" s="875"/>
      <c r="H419" s="875"/>
    </row>
    <row r="420" spans="2:8" ht="15" customHeight="1">
      <c r="B420" s="887"/>
      <c r="C420" s="875"/>
      <c r="D420" s="875"/>
      <c r="E420" s="875"/>
      <c r="F420" s="875"/>
      <c r="G420" s="875"/>
      <c r="H420" s="875"/>
    </row>
    <row r="421" spans="2:8" ht="15" customHeight="1">
      <c r="B421" s="887"/>
      <c r="C421" s="875"/>
      <c r="D421" s="875"/>
      <c r="E421" s="875"/>
      <c r="F421" s="875"/>
      <c r="G421" s="875"/>
      <c r="H421" s="875"/>
    </row>
    <row r="422" spans="2:8" ht="15" customHeight="1">
      <c r="B422" s="887"/>
      <c r="C422" s="875"/>
      <c r="D422" s="875"/>
      <c r="E422" s="875"/>
      <c r="F422" s="875"/>
      <c r="G422" s="875"/>
      <c r="H422" s="875"/>
    </row>
    <row r="423" spans="2:8" ht="15" customHeight="1">
      <c r="B423" s="887"/>
      <c r="C423" s="875"/>
      <c r="D423" s="875"/>
      <c r="E423" s="875"/>
      <c r="F423" s="875"/>
      <c r="G423" s="875"/>
      <c r="H423" s="875"/>
    </row>
    <row r="424" spans="2:8" ht="15" customHeight="1">
      <c r="B424" s="887"/>
      <c r="C424" s="875"/>
      <c r="D424" s="875"/>
      <c r="E424" s="875"/>
      <c r="F424" s="875"/>
      <c r="G424" s="875"/>
      <c r="H424" s="875"/>
    </row>
    <row r="425" spans="2:8" ht="15" customHeight="1">
      <c r="B425" s="887"/>
      <c r="C425" s="875"/>
      <c r="D425" s="875"/>
      <c r="E425" s="875"/>
      <c r="F425" s="875"/>
      <c r="G425" s="875"/>
      <c r="H425" s="875"/>
    </row>
    <row r="426" spans="2:8" ht="15" customHeight="1">
      <c r="B426" s="887"/>
      <c r="C426" s="875"/>
      <c r="D426" s="875"/>
      <c r="E426" s="875"/>
      <c r="F426" s="875"/>
      <c r="G426" s="875"/>
      <c r="H426" s="875"/>
    </row>
    <row r="427" spans="2:8" ht="15" customHeight="1">
      <c r="B427" s="887"/>
      <c r="C427" s="875"/>
      <c r="D427" s="875"/>
      <c r="E427" s="875"/>
      <c r="F427" s="875"/>
      <c r="G427" s="875"/>
      <c r="H427" s="875"/>
    </row>
    <row r="428" spans="2:8" ht="15" customHeight="1">
      <c r="B428" s="887"/>
      <c r="C428" s="875"/>
      <c r="D428" s="875"/>
      <c r="E428" s="875"/>
      <c r="F428" s="875"/>
      <c r="G428" s="875"/>
      <c r="H428" s="875"/>
    </row>
    <row r="429" spans="2:8" ht="15" customHeight="1">
      <c r="B429" s="887"/>
      <c r="C429" s="875"/>
      <c r="D429" s="875"/>
      <c r="E429" s="875"/>
      <c r="F429" s="875"/>
      <c r="G429" s="875"/>
      <c r="H429" s="875"/>
    </row>
    <row r="430" spans="2:8" ht="15" customHeight="1">
      <c r="B430" s="887"/>
      <c r="C430" s="875"/>
      <c r="D430" s="875"/>
      <c r="E430" s="875"/>
      <c r="F430" s="875"/>
      <c r="G430" s="875"/>
      <c r="H430" s="875"/>
    </row>
    <row r="431" spans="2:8" ht="15" customHeight="1">
      <c r="B431" s="887"/>
      <c r="C431" s="875"/>
      <c r="D431" s="875"/>
      <c r="E431" s="875"/>
      <c r="F431" s="875"/>
      <c r="G431" s="875"/>
      <c r="H431" s="875"/>
    </row>
    <row r="432" spans="2:8" ht="15" customHeight="1">
      <c r="B432" s="887"/>
      <c r="C432" s="875"/>
      <c r="D432" s="875"/>
      <c r="E432" s="875"/>
      <c r="F432" s="875"/>
      <c r="G432" s="875"/>
      <c r="H432" s="875"/>
    </row>
    <row r="433" spans="2:8" ht="15" customHeight="1">
      <c r="B433" s="887"/>
      <c r="C433" s="875"/>
      <c r="D433" s="875"/>
      <c r="E433" s="875"/>
      <c r="F433" s="875"/>
      <c r="G433" s="875"/>
      <c r="H433" s="875"/>
    </row>
    <row r="434" spans="2:8" ht="15" customHeight="1">
      <c r="B434" s="887"/>
      <c r="C434" s="875"/>
      <c r="D434" s="875"/>
      <c r="E434" s="875"/>
      <c r="F434" s="875"/>
      <c r="G434" s="875"/>
      <c r="H434" s="875"/>
    </row>
    <row r="435" spans="2:8" ht="15" customHeight="1">
      <c r="B435" s="887"/>
      <c r="C435" s="875"/>
      <c r="D435" s="875"/>
      <c r="E435" s="875"/>
      <c r="F435" s="875"/>
      <c r="G435" s="875"/>
      <c r="H435" s="875"/>
    </row>
    <row r="436" spans="2:8" ht="15" customHeight="1">
      <c r="B436" s="887"/>
      <c r="C436" s="875"/>
      <c r="D436" s="875"/>
      <c r="E436" s="875"/>
      <c r="F436" s="875"/>
      <c r="G436" s="875"/>
      <c r="H436" s="875"/>
    </row>
    <row r="437" spans="2:8" ht="15" customHeight="1">
      <c r="B437" s="887"/>
      <c r="C437" s="875"/>
      <c r="D437" s="875"/>
      <c r="E437" s="875"/>
      <c r="F437" s="875"/>
      <c r="G437" s="875"/>
      <c r="H437" s="875"/>
    </row>
    <row r="438" spans="2:8" ht="15" customHeight="1">
      <c r="B438" s="887"/>
      <c r="C438" s="875"/>
      <c r="D438" s="875"/>
      <c r="E438" s="875"/>
      <c r="F438" s="875"/>
      <c r="G438" s="875"/>
      <c r="H438" s="875"/>
    </row>
    <row r="439" spans="2:8" ht="15" customHeight="1">
      <c r="B439" s="887"/>
      <c r="C439" s="875"/>
      <c r="D439" s="875"/>
      <c r="E439" s="875"/>
      <c r="F439" s="875"/>
      <c r="G439" s="875"/>
      <c r="H439" s="875"/>
    </row>
    <row r="440" spans="2:8" ht="15" customHeight="1">
      <c r="B440" s="887"/>
      <c r="C440" s="875"/>
      <c r="D440" s="875"/>
      <c r="E440" s="875"/>
      <c r="F440" s="875"/>
      <c r="G440" s="875"/>
      <c r="H440" s="875"/>
    </row>
    <row r="441" spans="2:8" ht="15" customHeight="1">
      <c r="B441" s="887"/>
      <c r="C441" s="875"/>
      <c r="D441" s="875"/>
      <c r="E441" s="875"/>
      <c r="F441" s="875"/>
      <c r="G441" s="875"/>
      <c r="H441" s="875"/>
    </row>
    <row r="442" spans="2:8" ht="15" customHeight="1">
      <c r="B442" s="887"/>
      <c r="C442" s="875"/>
      <c r="D442" s="875"/>
      <c r="E442" s="875"/>
      <c r="F442" s="875"/>
      <c r="G442" s="875"/>
      <c r="H442" s="875"/>
    </row>
    <row r="443" spans="2:8" ht="15" customHeight="1">
      <c r="B443" s="887"/>
      <c r="C443" s="875"/>
      <c r="D443" s="875"/>
      <c r="E443" s="875"/>
      <c r="F443" s="875"/>
      <c r="G443" s="875"/>
      <c r="H443" s="875"/>
    </row>
    <row r="444" spans="2:8" ht="15" customHeight="1">
      <c r="B444" s="887"/>
      <c r="C444" s="875"/>
      <c r="D444" s="875"/>
      <c r="E444" s="875"/>
      <c r="F444" s="875"/>
      <c r="G444" s="875"/>
      <c r="H444" s="875"/>
    </row>
    <row r="445" spans="2:8" ht="15" customHeight="1">
      <c r="B445" s="887"/>
      <c r="C445" s="875"/>
      <c r="D445" s="875"/>
      <c r="E445" s="875"/>
      <c r="F445" s="875"/>
      <c r="G445" s="875"/>
      <c r="H445" s="875"/>
    </row>
    <row r="446" spans="2:8" ht="15" customHeight="1">
      <c r="B446" s="887"/>
      <c r="C446" s="875"/>
      <c r="D446" s="875"/>
      <c r="E446" s="875"/>
      <c r="F446" s="875"/>
      <c r="G446" s="875"/>
      <c r="H446" s="875"/>
    </row>
    <row r="447" spans="2:8" ht="15" customHeight="1">
      <c r="B447" s="887"/>
      <c r="C447" s="875"/>
      <c r="D447" s="875"/>
      <c r="E447" s="875"/>
      <c r="F447" s="875"/>
      <c r="G447" s="875"/>
      <c r="H447" s="875"/>
    </row>
    <row r="448" spans="2:8" ht="15" customHeight="1">
      <c r="B448" s="887"/>
      <c r="C448" s="875"/>
      <c r="D448" s="875"/>
      <c r="E448" s="875"/>
      <c r="F448" s="875"/>
      <c r="G448" s="875"/>
      <c r="H448" s="875"/>
    </row>
    <row r="449" spans="2:8" ht="15" customHeight="1">
      <c r="B449" s="887"/>
      <c r="C449" s="875"/>
      <c r="D449" s="875"/>
      <c r="E449" s="875"/>
      <c r="F449" s="875"/>
      <c r="G449" s="875"/>
      <c r="H449" s="875"/>
    </row>
    <row r="450" spans="2:8" ht="15" customHeight="1">
      <c r="B450" s="887"/>
      <c r="C450" s="875"/>
      <c r="D450" s="875"/>
      <c r="E450" s="875"/>
      <c r="F450" s="875"/>
      <c r="G450" s="875"/>
      <c r="H450" s="875"/>
    </row>
    <row r="451" spans="2:8" ht="15" customHeight="1">
      <c r="B451" s="887"/>
      <c r="C451" s="875"/>
      <c r="D451" s="875"/>
      <c r="E451" s="875"/>
      <c r="F451" s="875"/>
      <c r="G451" s="875"/>
      <c r="H451" s="875"/>
    </row>
    <row r="452" spans="2:8" ht="15" customHeight="1">
      <c r="B452" s="887"/>
      <c r="C452" s="875"/>
      <c r="D452" s="875"/>
      <c r="E452" s="875"/>
      <c r="F452" s="875"/>
      <c r="G452" s="875"/>
      <c r="H452" s="875"/>
    </row>
    <row r="453" spans="2:8" ht="15" customHeight="1">
      <c r="B453" s="887"/>
      <c r="C453" s="875"/>
      <c r="D453" s="875"/>
      <c r="E453" s="875"/>
      <c r="F453" s="875"/>
      <c r="G453" s="875"/>
      <c r="H453" s="875"/>
    </row>
    <row r="454" spans="2:8" ht="15" customHeight="1">
      <c r="B454" s="887"/>
      <c r="C454" s="875"/>
      <c r="D454" s="875"/>
      <c r="E454" s="875"/>
      <c r="F454" s="875"/>
      <c r="G454" s="875"/>
      <c r="H454" s="875"/>
    </row>
    <row r="455" spans="2:8" ht="15" customHeight="1">
      <c r="B455" s="887"/>
      <c r="C455" s="875"/>
      <c r="D455" s="875"/>
      <c r="E455" s="875"/>
      <c r="F455" s="875"/>
      <c r="G455" s="875"/>
      <c r="H455" s="875"/>
    </row>
    <row r="456" spans="2:8" ht="15" customHeight="1">
      <c r="B456" s="887"/>
      <c r="C456" s="875"/>
      <c r="D456" s="875"/>
      <c r="E456" s="875"/>
      <c r="F456" s="875"/>
      <c r="G456" s="875"/>
      <c r="H456" s="875"/>
    </row>
    <row r="457" spans="2:8" ht="15" customHeight="1">
      <c r="B457" s="887"/>
      <c r="C457" s="875"/>
      <c r="D457" s="875"/>
      <c r="E457" s="875"/>
      <c r="F457" s="875"/>
      <c r="G457" s="875"/>
      <c r="H457" s="875"/>
    </row>
    <row r="458" spans="2:8" ht="15" customHeight="1">
      <c r="B458" s="887"/>
      <c r="C458" s="875"/>
      <c r="D458" s="875"/>
      <c r="E458" s="875"/>
      <c r="F458" s="875"/>
      <c r="G458" s="875"/>
      <c r="H458" s="875"/>
    </row>
    <row r="459" spans="2:8" ht="15" customHeight="1">
      <c r="B459" s="887"/>
      <c r="C459" s="875"/>
      <c r="D459" s="875"/>
      <c r="E459" s="875"/>
      <c r="F459" s="875"/>
      <c r="G459" s="875"/>
      <c r="H459" s="875"/>
    </row>
    <row r="460" spans="2:8" ht="15" customHeight="1">
      <c r="B460" s="887"/>
      <c r="C460" s="875"/>
      <c r="D460" s="875"/>
      <c r="E460" s="875"/>
      <c r="F460" s="875"/>
      <c r="G460" s="875"/>
      <c r="H460" s="875"/>
    </row>
    <row r="461" spans="2:8" ht="15" customHeight="1">
      <c r="B461" s="887"/>
      <c r="C461" s="875"/>
      <c r="D461" s="875"/>
      <c r="E461" s="875"/>
      <c r="F461" s="875"/>
      <c r="G461" s="875"/>
      <c r="H461" s="875"/>
    </row>
    <row r="462" spans="2:8" ht="15" customHeight="1">
      <c r="B462" s="887"/>
      <c r="C462" s="875"/>
      <c r="D462" s="875"/>
      <c r="E462" s="875"/>
      <c r="F462" s="875"/>
      <c r="G462" s="875"/>
      <c r="H462" s="875"/>
    </row>
    <row r="463" spans="2:8" ht="15" customHeight="1">
      <c r="B463" s="887"/>
      <c r="C463" s="875"/>
      <c r="D463" s="875"/>
      <c r="E463" s="875"/>
      <c r="F463" s="875"/>
      <c r="G463" s="875"/>
      <c r="H463" s="875"/>
    </row>
    <row r="464" spans="2:8" ht="15" customHeight="1">
      <c r="B464" s="887"/>
      <c r="C464" s="875"/>
      <c r="D464" s="875"/>
      <c r="E464" s="875"/>
      <c r="F464" s="875"/>
      <c r="G464" s="875"/>
      <c r="H464" s="875"/>
    </row>
    <row r="465" spans="2:8" ht="15" customHeight="1">
      <c r="B465" s="887"/>
      <c r="C465" s="875"/>
      <c r="D465" s="875"/>
      <c r="E465" s="875"/>
      <c r="F465" s="875"/>
      <c r="G465" s="875"/>
      <c r="H465" s="875"/>
    </row>
    <row r="466" spans="2:8" ht="15" customHeight="1">
      <c r="B466" s="887"/>
      <c r="C466" s="875"/>
      <c r="D466" s="875"/>
      <c r="E466" s="875"/>
      <c r="F466" s="875"/>
      <c r="G466" s="875"/>
      <c r="H466" s="875"/>
    </row>
    <row r="467" spans="2:8" ht="15" customHeight="1">
      <c r="B467" s="887"/>
      <c r="C467" s="875"/>
      <c r="D467" s="875"/>
      <c r="E467" s="875"/>
      <c r="F467" s="875"/>
      <c r="G467" s="875"/>
      <c r="H467" s="875"/>
    </row>
    <row r="468" spans="2:8" ht="15" customHeight="1">
      <c r="B468" s="887"/>
      <c r="C468" s="875"/>
      <c r="D468" s="875"/>
      <c r="E468" s="875"/>
      <c r="F468" s="875"/>
      <c r="G468" s="875"/>
      <c r="H468" s="875"/>
    </row>
    <row r="469" spans="2:8" ht="15" customHeight="1">
      <c r="B469" s="887"/>
      <c r="C469" s="875"/>
      <c r="D469" s="875"/>
      <c r="E469" s="875"/>
      <c r="F469" s="875"/>
      <c r="G469" s="875"/>
      <c r="H469" s="875"/>
    </row>
    <row r="470" spans="2:8" ht="15" customHeight="1">
      <c r="B470" s="887"/>
      <c r="C470" s="875"/>
      <c r="D470" s="875"/>
      <c r="E470" s="875"/>
      <c r="F470" s="875"/>
      <c r="G470" s="875"/>
      <c r="H470" s="875"/>
    </row>
    <row r="471" spans="2:8" ht="15" customHeight="1">
      <c r="B471" s="887"/>
      <c r="C471" s="875"/>
      <c r="D471" s="875"/>
      <c r="E471" s="875"/>
      <c r="F471" s="875"/>
      <c r="G471" s="875"/>
      <c r="H471" s="875"/>
    </row>
    <row r="472" spans="2:8" ht="15" customHeight="1">
      <c r="B472" s="887"/>
      <c r="C472" s="875"/>
      <c r="D472" s="875"/>
      <c r="E472" s="875"/>
      <c r="F472" s="875"/>
      <c r="G472" s="875"/>
      <c r="H472" s="875"/>
    </row>
    <row r="473" spans="2:8" ht="15" customHeight="1">
      <c r="B473" s="887"/>
      <c r="C473" s="875"/>
      <c r="D473" s="875"/>
      <c r="E473" s="875"/>
      <c r="F473" s="875"/>
      <c r="G473" s="875"/>
      <c r="H473" s="875"/>
    </row>
    <row r="474" spans="2:8" ht="15" customHeight="1">
      <c r="B474" s="887"/>
      <c r="C474" s="875"/>
      <c r="D474" s="875"/>
      <c r="E474" s="875"/>
      <c r="F474" s="875"/>
      <c r="G474" s="875"/>
      <c r="H474" s="875"/>
    </row>
    <row r="475" spans="2:8" ht="15" customHeight="1">
      <c r="B475" s="887"/>
      <c r="C475" s="875"/>
      <c r="D475" s="875"/>
      <c r="E475" s="875"/>
      <c r="F475" s="875"/>
      <c r="G475" s="875"/>
      <c r="H475" s="875"/>
    </row>
    <row r="476" spans="2:8" ht="15" customHeight="1">
      <c r="B476" s="887"/>
      <c r="C476" s="875"/>
      <c r="D476" s="875"/>
      <c r="E476" s="875"/>
      <c r="F476" s="875"/>
      <c r="G476" s="875"/>
      <c r="H476" s="875"/>
    </row>
    <row r="477" spans="2:8" ht="15" customHeight="1">
      <c r="B477" s="887"/>
      <c r="C477" s="875"/>
      <c r="D477" s="875"/>
      <c r="E477" s="875"/>
      <c r="F477" s="875"/>
      <c r="G477" s="875"/>
      <c r="H477" s="875"/>
    </row>
    <row r="478" spans="2:8" ht="15" customHeight="1">
      <c r="B478" s="887"/>
      <c r="C478" s="875"/>
      <c r="D478" s="875"/>
      <c r="E478" s="875"/>
      <c r="F478" s="875"/>
      <c r="G478" s="875"/>
      <c r="H478" s="875"/>
    </row>
    <row r="479" spans="2:8" ht="15" customHeight="1">
      <c r="B479" s="887"/>
      <c r="C479" s="875"/>
      <c r="D479" s="875"/>
      <c r="E479" s="875"/>
      <c r="F479" s="875"/>
      <c r="G479" s="875"/>
      <c r="H479" s="875"/>
    </row>
    <row r="480" spans="2:8" ht="15" customHeight="1">
      <c r="B480" s="887"/>
      <c r="C480" s="875"/>
      <c r="D480" s="875"/>
      <c r="E480" s="875"/>
      <c r="F480" s="875"/>
      <c r="G480" s="875"/>
      <c r="H480" s="875"/>
    </row>
    <row r="481" spans="2:8" ht="15" customHeight="1">
      <c r="B481" s="887"/>
      <c r="C481" s="875"/>
      <c r="D481" s="875"/>
      <c r="E481" s="875"/>
      <c r="F481" s="875"/>
      <c r="G481" s="875"/>
      <c r="H481" s="875"/>
    </row>
    <row r="482" spans="2:8" ht="15" customHeight="1">
      <c r="B482" s="887"/>
      <c r="C482" s="875"/>
      <c r="D482" s="875"/>
      <c r="E482" s="875"/>
      <c r="F482" s="875"/>
      <c r="G482" s="875"/>
      <c r="H482" s="875"/>
    </row>
    <row r="483" spans="2:8" ht="15" customHeight="1">
      <c r="B483" s="887"/>
      <c r="C483" s="875"/>
      <c r="D483" s="875"/>
      <c r="E483" s="875"/>
      <c r="F483" s="875"/>
      <c r="G483" s="875"/>
      <c r="H483" s="875"/>
    </row>
    <row r="484" spans="2:8" ht="15" customHeight="1">
      <c r="B484" s="887"/>
      <c r="C484" s="875"/>
      <c r="D484" s="875"/>
      <c r="E484" s="875"/>
      <c r="F484" s="875"/>
      <c r="G484" s="875"/>
      <c r="H484" s="875"/>
    </row>
    <row r="485" spans="2:8" ht="15" customHeight="1">
      <c r="B485" s="887"/>
      <c r="C485" s="875"/>
      <c r="D485" s="875"/>
      <c r="E485" s="875"/>
      <c r="F485" s="875"/>
      <c r="G485" s="875"/>
      <c r="H485" s="875"/>
    </row>
    <row r="486" spans="2:8" ht="15" customHeight="1">
      <c r="B486" s="887"/>
      <c r="C486" s="875"/>
      <c r="D486" s="875"/>
      <c r="E486" s="875"/>
      <c r="F486" s="875"/>
      <c r="G486" s="875"/>
      <c r="H486" s="875"/>
    </row>
    <row r="487" spans="2:8" ht="15" customHeight="1">
      <c r="B487" s="887"/>
      <c r="C487" s="875"/>
      <c r="D487" s="875"/>
      <c r="E487" s="875"/>
      <c r="F487" s="875"/>
      <c r="G487" s="875"/>
      <c r="H487" s="875"/>
    </row>
    <row r="488" spans="2:8" ht="15" customHeight="1">
      <c r="B488" s="887"/>
      <c r="C488" s="875"/>
      <c r="D488" s="875"/>
      <c r="E488" s="875"/>
      <c r="F488" s="875"/>
      <c r="G488" s="875"/>
      <c r="H488" s="875"/>
    </row>
    <row r="489" spans="2:8" ht="15" customHeight="1">
      <c r="B489" s="887"/>
      <c r="C489" s="875"/>
      <c r="D489" s="875"/>
      <c r="E489" s="875"/>
      <c r="F489" s="875"/>
      <c r="G489" s="875"/>
      <c r="H489" s="875"/>
    </row>
    <row r="490" spans="2:8" ht="15" customHeight="1">
      <c r="B490" s="887"/>
      <c r="C490" s="875"/>
      <c r="D490" s="875"/>
      <c r="E490" s="875"/>
      <c r="F490" s="875"/>
      <c r="G490" s="875"/>
      <c r="H490" s="875"/>
    </row>
    <row r="491" spans="2:8" ht="15" customHeight="1">
      <c r="B491" s="887"/>
      <c r="C491" s="875"/>
      <c r="D491" s="875"/>
      <c r="E491" s="875"/>
      <c r="F491" s="875"/>
      <c r="G491" s="875"/>
      <c r="H491" s="875"/>
    </row>
    <row r="492" spans="2:8" ht="15" customHeight="1">
      <c r="B492" s="887"/>
      <c r="C492" s="875"/>
      <c r="D492" s="875"/>
      <c r="E492" s="875"/>
      <c r="F492" s="875"/>
      <c r="G492" s="875"/>
      <c r="H492" s="875"/>
    </row>
    <row r="493" spans="2:8" ht="15" customHeight="1">
      <c r="B493" s="887"/>
      <c r="C493" s="875"/>
      <c r="D493" s="875"/>
      <c r="E493" s="875"/>
      <c r="F493" s="875"/>
      <c r="G493" s="875"/>
      <c r="H493" s="875"/>
    </row>
    <row r="494" spans="2:8" ht="15" customHeight="1">
      <c r="B494" s="887"/>
      <c r="C494" s="875"/>
      <c r="D494" s="875"/>
      <c r="E494" s="875"/>
      <c r="F494" s="875"/>
      <c r="G494" s="875"/>
      <c r="H494" s="875"/>
    </row>
    <row r="495" spans="2:8" ht="15" customHeight="1">
      <c r="B495" s="887"/>
      <c r="C495" s="875"/>
      <c r="D495" s="875"/>
      <c r="E495" s="875"/>
      <c r="F495" s="875"/>
      <c r="G495" s="875"/>
      <c r="H495" s="875"/>
    </row>
    <row r="496" spans="2:8" ht="15" customHeight="1">
      <c r="B496" s="887"/>
      <c r="C496" s="875"/>
      <c r="D496" s="875"/>
      <c r="E496" s="875"/>
      <c r="F496" s="875"/>
      <c r="G496" s="875"/>
      <c r="H496" s="875"/>
    </row>
    <row r="497" spans="2:8" ht="15" customHeight="1">
      <c r="B497" s="887"/>
      <c r="C497" s="875"/>
      <c r="D497" s="875"/>
      <c r="E497" s="875"/>
      <c r="F497" s="875"/>
      <c r="G497" s="875"/>
      <c r="H497" s="875"/>
    </row>
    <row r="498" spans="2:8" ht="15" customHeight="1">
      <c r="B498" s="887"/>
      <c r="C498" s="875"/>
      <c r="D498" s="875"/>
      <c r="E498" s="875"/>
      <c r="F498" s="875"/>
      <c r="G498" s="875"/>
      <c r="H498" s="875"/>
    </row>
  </sheetData>
  <mergeCells count="9">
    <mergeCell ref="B82:H82"/>
    <mergeCell ref="B36:H36"/>
    <mergeCell ref="B39:G39"/>
    <mergeCell ref="B35:H35"/>
    <mergeCell ref="B1:G1"/>
    <mergeCell ref="B2:G2"/>
    <mergeCell ref="B3:G3"/>
    <mergeCell ref="B10:G10"/>
    <mergeCell ref="B34:H34"/>
  </mergeCells>
  <printOptions horizontalCentered="1"/>
  <pageMargins left="0.5" right="0.5" top="0.71" bottom="0.5" header="0.33" footer="0.5"/>
  <pageSetup scale="70" fitToHeight="0" orientation="landscape" r:id="rId1"/>
  <headerFooter alignWithMargins="0"/>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6"/>
  <sheetViews>
    <sheetView view="pageBreakPreview" zoomScale="80" zoomScaleNormal="90" zoomScaleSheetLayoutView="80" workbookViewId="0"/>
  </sheetViews>
  <sheetFormatPr defaultColWidth="8.88671875" defaultRowHeight="15" customHeight="1"/>
  <cols>
    <col min="1" max="1" width="6.6640625" style="855" customWidth="1"/>
    <col min="2" max="2" width="35" style="888" customWidth="1"/>
    <col min="3" max="3" width="14.77734375" style="855" customWidth="1"/>
    <col min="4" max="4" width="14.109375" style="855" customWidth="1"/>
    <col min="5" max="5" width="13" style="855" customWidth="1"/>
    <col min="6" max="6" width="13.109375" style="855" customWidth="1"/>
    <col min="7" max="7" width="15.88671875" style="855" customWidth="1"/>
    <col min="8" max="8" width="39.33203125" style="855" customWidth="1"/>
    <col min="9" max="9" width="8.88671875" style="855"/>
    <col min="10" max="10" width="27.88671875" style="855" customWidth="1"/>
    <col min="11" max="16384" width="8.88671875" style="855"/>
  </cols>
  <sheetData>
    <row r="1" spans="2:10" ht="15" customHeight="1">
      <c r="B1" s="1019" t="str">
        <f>+'Attachment H-30A'!D5</f>
        <v>Transource Maryland, LLC</v>
      </c>
      <c r="C1" s="1019"/>
      <c r="D1" s="1019"/>
      <c r="E1" s="1019"/>
      <c r="F1" s="1019"/>
      <c r="G1" s="1019"/>
      <c r="H1" s="931" t="str">
        <f>+'Attachment H-30A'!J3</f>
        <v>For  the 12 months ended 12/31/20</v>
      </c>
      <c r="I1" s="854"/>
      <c r="J1" s="854"/>
    </row>
    <row r="2" spans="2:10" ht="15" customHeight="1">
      <c r="B2" s="1019" t="s">
        <v>788</v>
      </c>
      <c r="C2" s="1019"/>
      <c r="D2" s="1019"/>
      <c r="E2" s="1019"/>
      <c r="F2" s="1019"/>
      <c r="G2" s="1019"/>
      <c r="H2" s="931" t="s">
        <v>602</v>
      </c>
      <c r="I2" s="854"/>
      <c r="J2" s="854"/>
    </row>
    <row r="3" spans="2:10" ht="15" customHeight="1">
      <c r="B3" s="1019"/>
      <c r="C3" s="1019"/>
      <c r="D3" s="1019"/>
      <c r="E3" s="1019"/>
      <c r="F3" s="1019"/>
      <c r="G3" s="1019"/>
      <c r="H3" s="1019"/>
      <c r="I3" s="854"/>
      <c r="J3" s="854"/>
    </row>
    <row r="4" spans="2:10" s="857" customFormat="1" ht="15" customHeight="1">
      <c r="B4" s="912"/>
      <c r="C4" s="912"/>
      <c r="D4" s="912"/>
      <c r="E4" s="912"/>
      <c r="F4" s="912"/>
      <c r="G4" s="912"/>
      <c r="H4" s="912"/>
      <c r="I4" s="856"/>
      <c r="J4" s="854"/>
    </row>
    <row r="5" spans="2:10" s="859" customFormat="1" ht="15" customHeight="1">
      <c r="H5" s="861"/>
      <c r="J5" s="918"/>
    </row>
    <row r="6" spans="2:10" s="859" customFormat="1" ht="15" customHeight="1">
      <c r="B6" s="858" t="s">
        <v>827</v>
      </c>
      <c r="J6" s="918"/>
    </row>
    <row r="7" spans="2:10" s="859" customFormat="1" ht="15" customHeight="1">
      <c r="B7" s="858" t="s">
        <v>789</v>
      </c>
      <c r="J7" s="918"/>
    </row>
    <row r="8" spans="2:10" s="859" customFormat="1" ht="15" customHeight="1">
      <c r="B8" s="858"/>
      <c r="J8" s="918"/>
    </row>
    <row r="9" spans="2:10" s="918" customFormat="1" ht="15" customHeight="1">
      <c r="B9" s="865" t="s">
        <v>785</v>
      </c>
      <c r="C9" s="866"/>
      <c r="D9" s="867"/>
      <c r="E9" s="891"/>
      <c r="F9" s="869"/>
      <c r="G9" s="870"/>
      <c r="H9" s="869"/>
    </row>
    <row r="10" spans="2:10" s="918" customFormat="1" ht="15" customHeight="1">
      <c r="B10" s="1017" t="s">
        <v>804</v>
      </c>
      <c r="C10" s="1018"/>
      <c r="D10" s="1018"/>
      <c r="E10" s="1018"/>
      <c r="F10" s="1018"/>
      <c r="G10" s="1018"/>
      <c r="H10" s="869"/>
    </row>
    <row r="11" spans="2:10" s="918" customFormat="1" ht="15" customHeight="1">
      <c r="B11" s="871" t="s">
        <v>828</v>
      </c>
      <c r="C11" s="869"/>
      <c r="D11" s="863"/>
      <c r="E11" s="863"/>
      <c r="F11" s="891"/>
      <c r="G11" s="891"/>
      <c r="H11" s="869"/>
    </row>
    <row r="12" spans="2:10" s="918" customFormat="1" ht="15" customHeight="1">
      <c r="B12" s="871" t="s">
        <v>786</v>
      </c>
      <c r="C12" s="869"/>
      <c r="D12" s="863"/>
      <c r="E12" s="863"/>
      <c r="F12" s="891"/>
      <c r="G12" s="891"/>
      <c r="H12" s="869"/>
    </row>
    <row r="13" spans="2:10" s="918" customFormat="1" ht="15" customHeight="1">
      <c r="B13" s="871" t="s">
        <v>815</v>
      </c>
      <c r="C13" s="869"/>
      <c r="D13" s="863"/>
      <c r="E13" s="863"/>
      <c r="F13" s="891"/>
      <c r="G13" s="891"/>
      <c r="H13" s="869"/>
    </row>
    <row r="14" spans="2:10" s="859" customFormat="1" ht="15" customHeight="1">
      <c r="B14" s="858"/>
      <c r="J14" s="918"/>
    </row>
    <row r="15" spans="2:10" s="859" customFormat="1" ht="15" customHeight="1">
      <c r="B15" s="860" t="s">
        <v>62</v>
      </c>
      <c r="C15" s="860" t="s">
        <v>63</v>
      </c>
      <c r="D15" s="860" t="s">
        <v>64</v>
      </c>
      <c r="E15" s="860" t="s">
        <v>65</v>
      </c>
      <c r="F15" s="860" t="s">
        <v>67</v>
      </c>
      <c r="G15" s="860" t="s">
        <v>68</v>
      </c>
      <c r="H15" s="860" t="s">
        <v>69</v>
      </c>
      <c r="J15" s="918"/>
    </row>
    <row r="16" spans="2:10" s="859" customFormat="1" ht="15" customHeight="1">
      <c r="B16" s="858"/>
      <c r="D16" s="860"/>
      <c r="E16" s="860"/>
      <c r="F16" s="860"/>
      <c r="G16" s="860"/>
      <c r="J16" s="918"/>
    </row>
    <row r="17" spans="1:10" s="859" customFormat="1" ht="15" customHeight="1">
      <c r="B17" s="858" t="s">
        <v>781</v>
      </c>
      <c r="C17" s="860" t="s">
        <v>13</v>
      </c>
      <c r="D17" s="860" t="s">
        <v>803</v>
      </c>
      <c r="E17" s="860" t="s">
        <v>16</v>
      </c>
      <c r="F17" s="860" t="s">
        <v>777</v>
      </c>
      <c r="G17" s="860" t="s">
        <v>778</v>
      </c>
      <c r="J17" s="918"/>
    </row>
    <row r="18" spans="1:10" s="859" customFormat="1" ht="15" customHeight="1">
      <c r="A18" s="892" t="s">
        <v>594</v>
      </c>
      <c r="B18" s="858"/>
      <c r="C18" s="860"/>
      <c r="D18" s="860" t="s">
        <v>802</v>
      </c>
      <c r="E18" s="860" t="s">
        <v>779</v>
      </c>
      <c r="F18" s="860" t="s">
        <v>779</v>
      </c>
      <c r="G18" s="860" t="s">
        <v>779</v>
      </c>
      <c r="H18" s="860" t="s">
        <v>784</v>
      </c>
      <c r="J18" s="918"/>
    </row>
    <row r="19" spans="1:10" s="918" customFormat="1" ht="15" customHeight="1">
      <c r="A19" s="860">
        <v>1</v>
      </c>
      <c r="B19" s="975" t="s">
        <v>911</v>
      </c>
      <c r="C19" s="920">
        <v>12576</v>
      </c>
      <c r="D19" s="921">
        <v>0</v>
      </c>
      <c r="E19" s="921">
        <v>12576</v>
      </c>
      <c r="F19" s="921">
        <v>0</v>
      </c>
      <c r="G19" s="921">
        <v>0</v>
      </c>
      <c r="H19" s="974" t="s">
        <v>912</v>
      </c>
      <c r="I19" s="869"/>
    </row>
    <row r="20" spans="1:10" s="918" customFormat="1" ht="17.25" customHeight="1">
      <c r="A20" s="860">
        <f>+A19+1</f>
        <v>2</v>
      </c>
      <c r="B20" s="975" t="s">
        <v>913</v>
      </c>
      <c r="C20" s="920">
        <v>262</v>
      </c>
      <c r="D20" s="920">
        <v>262</v>
      </c>
      <c r="E20" s="921">
        <v>0</v>
      </c>
      <c r="F20" s="921">
        <v>0</v>
      </c>
      <c r="G20" s="921">
        <v>0</v>
      </c>
      <c r="H20" s="974" t="s">
        <v>914</v>
      </c>
      <c r="I20" s="869"/>
    </row>
    <row r="21" spans="1:10" s="918" customFormat="1" ht="17.25" customHeight="1">
      <c r="A21" s="860">
        <f t="shared" ref="A21:A32" si="0">+A20+1</f>
        <v>3</v>
      </c>
      <c r="B21" s="975" t="s">
        <v>915</v>
      </c>
      <c r="C21" s="920">
        <v>-1121</v>
      </c>
      <c r="D21" s="921">
        <v>-1121</v>
      </c>
      <c r="E21" s="921">
        <v>0</v>
      </c>
      <c r="F21" s="921">
        <v>0</v>
      </c>
      <c r="G21" s="921">
        <v>0</v>
      </c>
      <c r="H21" s="974" t="s">
        <v>916</v>
      </c>
      <c r="I21" s="869"/>
    </row>
    <row r="22" spans="1:10" s="918" customFormat="1" ht="17.25" customHeight="1">
      <c r="A22" s="860">
        <f t="shared" si="0"/>
        <v>4</v>
      </c>
      <c r="B22" s="975"/>
      <c r="C22" s="920">
        <v>0</v>
      </c>
      <c r="D22" s="921"/>
      <c r="E22" s="921"/>
      <c r="F22" s="921"/>
      <c r="G22" s="921"/>
      <c r="H22" s="974"/>
      <c r="I22" s="869"/>
    </row>
    <row r="23" spans="1:10" s="918" customFormat="1" ht="15" customHeight="1">
      <c r="A23" s="860">
        <f t="shared" si="0"/>
        <v>5</v>
      </c>
      <c r="B23" s="919"/>
      <c r="C23" s="920">
        <v>0</v>
      </c>
      <c r="D23" s="921"/>
      <c r="E23" s="920"/>
      <c r="F23" s="920"/>
      <c r="G23" s="921"/>
      <c r="H23" s="877"/>
      <c r="I23" s="869"/>
    </row>
    <row r="24" spans="1:10" s="918" customFormat="1" ht="15" customHeight="1">
      <c r="A24" s="860">
        <f t="shared" si="0"/>
        <v>6</v>
      </c>
      <c r="B24" s="919"/>
      <c r="C24" s="920">
        <v>0</v>
      </c>
      <c r="D24" s="921"/>
      <c r="E24" s="920"/>
      <c r="F24" s="920"/>
      <c r="G24" s="921"/>
      <c r="H24" s="877"/>
      <c r="I24" s="869"/>
    </row>
    <row r="25" spans="1:10" s="918" customFormat="1" ht="15" customHeight="1">
      <c r="A25" s="860">
        <f t="shared" si="0"/>
        <v>7</v>
      </c>
      <c r="B25" s="919"/>
      <c r="C25" s="920">
        <v>0</v>
      </c>
      <c r="D25" s="920"/>
      <c r="E25" s="920"/>
      <c r="F25" s="921"/>
      <c r="G25" s="921"/>
      <c r="H25" s="877"/>
      <c r="I25" s="869"/>
    </row>
    <row r="26" spans="1:10" s="918" customFormat="1" ht="15" customHeight="1">
      <c r="A26" s="860">
        <f t="shared" si="0"/>
        <v>8</v>
      </c>
      <c r="B26" s="919"/>
      <c r="C26" s="920">
        <v>0</v>
      </c>
      <c r="D26" s="920"/>
      <c r="E26" s="920"/>
      <c r="F26" s="921"/>
      <c r="G26" s="921"/>
      <c r="H26" s="877"/>
      <c r="I26" s="869"/>
    </row>
    <row r="27" spans="1:10" s="918" customFormat="1" ht="15" customHeight="1">
      <c r="A27" s="860">
        <f t="shared" si="0"/>
        <v>9</v>
      </c>
      <c r="B27" s="919"/>
      <c r="C27" s="920">
        <v>0</v>
      </c>
      <c r="D27" s="920"/>
      <c r="E27" s="920"/>
      <c r="F27" s="921"/>
      <c r="G27" s="921"/>
      <c r="H27" s="877"/>
      <c r="I27" s="869"/>
    </row>
    <row r="28" spans="1:10" s="918" customFormat="1" ht="15" customHeight="1">
      <c r="A28" s="860">
        <f t="shared" si="0"/>
        <v>10</v>
      </c>
      <c r="B28" s="919"/>
      <c r="C28" s="920">
        <v>0</v>
      </c>
      <c r="D28" s="920"/>
      <c r="E28" s="920"/>
      <c r="F28" s="920"/>
      <c r="G28" s="920"/>
      <c r="H28" s="877"/>
      <c r="I28" s="869"/>
    </row>
    <row r="29" spans="1:10" s="918" customFormat="1" ht="15" customHeight="1">
      <c r="A29" s="860">
        <f t="shared" si="0"/>
        <v>11</v>
      </c>
      <c r="B29" s="889" t="s">
        <v>819</v>
      </c>
      <c r="C29" s="890">
        <f>SUBTOTAL(9,C19:C28)</f>
        <v>11717</v>
      </c>
      <c r="D29" s="880">
        <f>SUM(D19:D28)</f>
        <v>-859</v>
      </c>
      <c r="E29" s="880">
        <f>SUM(E19:E28)</f>
        <v>12576</v>
      </c>
      <c r="F29" s="880">
        <f>SUM(F19:F28)</f>
        <v>0</v>
      </c>
      <c r="G29" s="880">
        <f>SUM(G19:G28)</f>
        <v>0</v>
      </c>
      <c r="H29" s="881"/>
      <c r="I29" s="869"/>
    </row>
    <row r="30" spans="1:10" s="918" customFormat="1" ht="15" customHeight="1">
      <c r="A30" s="860">
        <f t="shared" si="0"/>
        <v>12</v>
      </c>
      <c r="B30" s="879" t="s">
        <v>782</v>
      </c>
      <c r="C30" s="942"/>
      <c r="D30" s="943"/>
      <c r="E30" s="947"/>
      <c r="F30" s="943"/>
      <c r="G30" s="945">
        <f>+'Attachment H-30A'!$I$197</f>
        <v>1</v>
      </c>
      <c r="H30" s="870"/>
      <c r="I30" s="869"/>
    </row>
    <row r="31" spans="1:10" s="918" customFormat="1" ht="15" customHeight="1">
      <c r="A31" s="860">
        <f t="shared" si="0"/>
        <v>13</v>
      </c>
      <c r="B31" s="941" t="s">
        <v>783</v>
      </c>
      <c r="C31" s="938"/>
      <c r="D31" s="926"/>
      <c r="E31" s="948"/>
      <c r="F31" s="935">
        <f>+'Attachment H-30A'!$G$83</f>
        <v>1</v>
      </c>
      <c r="G31" s="947"/>
      <c r="H31" s="870"/>
      <c r="I31" s="869"/>
    </row>
    <row r="32" spans="1:10" s="918" customFormat="1" ht="15" customHeight="1" thickBot="1">
      <c r="A32" s="860">
        <f t="shared" si="0"/>
        <v>14</v>
      </c>
      <c r="B32" s="946" t="s">
        <v>841</v>
      </c>
      <c r="C32" s="939">
        <f>+SUM(E32:G32)</f>
        <v>12576</v>
      </c>
      <c r="D32" s="949"/>
      <c r="E32" s="934">
        <f>+E29</f>
        <v>12576</v>
      </c>
      <c r="F32" s="940">
        <f>+F29*F31</f>
        <v>0</v>
      </c>
      <c r="G32" s="940">
        <f>+G29*G30</f>
        <v>0</v>
      </c>
      <c r="H32" s="870"/>
      <c r="I32" s="869"/>
    </row>
    <row r="33" spans="1:10" s="918" customFormat="1" ht="15" customHeight="1" thickTop="1">
      <c r="B33" s="863"/>
      <c r="C33" s="864"/>
      <c r="D33" s="864"/>
      <c r="E33" s="864"/>
      <c r="F33" s="864"/>
      <c r="G33" s="864"/>
      <c r="H33" s="884"/>
      <c r="I33" s="869"/>
    </row>
    <row r="34" spans="1:10" s="918" customFormat="1" ht="15" customHeight="1">
      <c r="B34" s="872"/>
      <c r="C34" s="872"/>
      <c r="D34" s="872"/>
      <c r="E34" s="872"/>
      <c r="F34" s="872"/>
      <c r="G34" s="872"/>
      <c r="H34" s="884"/>
    </row>
    <row r="35" spans="1:10" s="859" customFormat="1" ht="15" customHeight="1">
      <c r="B35" s="1015" t="str">
        <f>+B1</f>
        <v>Transource Maryland, LLC</v>
      </c>
      <c r="C35" s="1016"/>
      <c r="D35" s="1016"/>
      <c r="E35" s="1016"/>
      <c r="F35" s="1016"/>
      <c r="G35" s="1016"/>
      <c r="H35" s="1016"/>
      <c r="I35" s="863"/>
      <c r="J35" s="918"/>
    </row>
    <row r="36" spans="1:10" s="859" customFormat="1" ht="15" customHeight="1">
      <c r="B36" s="1015" t="str">
        <f>+B2</f>
        <v>Attachment 4b - Accumulated Deferred Income Taxes (ADIT) Worksheet (End of Year)</v>
      </c>
      <c r="C36" s="1016"/>
      <c r="D36" s="1016"/>
      <c r="E36" s="1016"/>
      <c r="F36" s="1016"/>
      <c r="G36" s="1016"/>
      <c r="H36" s="1016"/>
      <c r="I36" s="863"/>
      <c r="J36" s="918"/>
    </row>
    <row r="37" spans="1:10" s="859" customFormat="1" ht="15" customHeight="1">
      <c r="B37" s="1015"/>
      <c r="C37" s="1016"/>
      <c r="D37" s="1016"/>
      <c r="E37" s="1016"/>
      <c r="F37" s="1016"/>
      <c r="G37" s="1016"/>
      <c r="H37" s="1016"/>
      <c r="I37" s="863"/>
      <c r="J37" s="918"/>
    </row>
    <row r="38" spans="1:10" s="859" customFormat="1" ht="15" customHeight="1">
      <c r="B38" s="874"/>
      <c r="C38" s="874"/>
      <c r="D38" s="874"/>
      <c r="E38" s="874"/>
      <c r="F38" s="874"/>
      <c r="G38" s="874"/>
      <c r="H38" s="931" t="s">
        <v>147</v>
      </c>
      <c r="I38" s="863"/>
      <c r="J38" s="918"/>
    </row>
    <row r="39" spans="1:10" s="918" customFormat="1" ht="15" customHeight="1">
      <c r="B39" s="865" t="s">
        <v>842</v>
      </c>
      <c r="C39" s="863"/>
      <c r="D39" s="891"/>
      <c r="E39" s="867"/>
      <c r="F39" s="869"/>
      <c r="G39" s="884"/>
      <c r="H39" s="869"/>
    </row>
    <row r="40" spans="1:10" s="918" customFormat="1" ht="15" customHeight="1">
      <c r="B40" s="1017" t="s">
        <v>804</v>
      </c>
      <c r="C40" s="1018"/>
      <c r="D40" s="1018"/>
      <c r="E40" s="1018"/>
      <c r="F40" s="1018"/>
      <c r="G40" s="1018"/>
      <c r="H40" s="869"/>
    </row>
    <row r="41" spans="1:10" s="918" customFormat="1" ht="15" customHeight="1">
      <c r="B41" s="871" t="s">
        <v>828</v>
      </c>
      <c r="C41" s="869"/>
      <c r="D41" s="863"/>
      <c r="E41" s="863"/>
      <c r="F41" s="891"/>
      <c r="G41" s="891"/>
      <c r="H41" s="869"/>
    </row>
    <row r="42" spans="1:10" s="918" customFormat="1" ht="15" customHeight="1">
      <c r="B42" s="871" t="s">
        <v>786</v>
      </c>
      <c r="C42" s="869"/>
      <c r="D42" s="863"/>
      <c r="E42" s="863"/>
      <c r="F42" s="891"/>
      <c r="G42" s="891"/>
      <c r="H42" s="869"/>
    </row>
    <row r="43" spans="1:10" s="918" customFormat="1" ht="15" customHeight="1">
      <c r="B43" s="871" t="s">
        <v>815</v>
      </c>
      <c r="C43" s="869"/>
      <c r="D43" s="863"/>
      <c r="E43" s="863"/>
      <c r="F43" s="891"/>
      <c r="G43" s="891"/>
      <c r="H43" s="869"/>
    </row>
    <row r="44" spans="1:10" s="918" customFormat="1" ht="15" customHeight="1">
      <c r="B44" s="872"/>
      <c r="C44" s="872"/>
      <c r="D44" s="872"/>
      <c r="E44" s="872"/>
      <c r="F44" s="872"/>
      <c r="G44" s="872"/>
      <c r="H44" s="884"/>
    </row>
    <row r="45" spans="1:10" s="859" customFormat="1" ht="15" customHeight="1">
      <c r="B45" s="860" t="s">
        <v>62</v>
      </c>
      <c r="C45" s="860" t="s">
        <v>63</v>
      </c>
      <c r="D45" s="860" t="s">
        <v>64</v>
      </c>
      <c r="E45" s="860" t="s">
        <v>65</v>
      </c>
      <c r="F45" s="860" t="s">
        <v>67</v>
      </c>
      <c r="G45" s="860" t="s">
        <v>68</v>
      </c>
      <c r="H45" s="860" t="s">
        <v>69</v>
      </c>
      <c r="I45" s="863"/>
      <c r="J45" s="918"/>
    </row>
    <row r="46" spans="1:10" s="859" customFormat="1" ht="15" customHeight="1">
      <c r="B46" s="863" t="s">
        <v>843</v>
      </c>
      <c r="C46" s="860" t="s">
        <v>13</v>
      </c>
      <c r="D46" s="860" t="s">
        <v>803</v>
      </c>
      <c r="E46" s="860" t="s">
        <v>16</v>
      </c>
      <c r="F46" s="860" t="s">
        <v>777</v>
      </c>
      <c r="G46" s="860" t="s">
        <v>778</v>
      </c>
      <c r="I46" s="863"/>
      <c r="J46" s="918"/>
    </row>
    <row r="47" spans="1:10" s="859" customFormat="1" ht="15" customHeight="1">
      <c r="A47" s="892" t="s">
        <v>594</v>
      </c>
      <c r="B47" s="871"/>
      <c r="C47" s="860"/>
      <c r="D47" s="860" t="s">
        <v>802</v>
      </c>
      <c r="E47" s="860" t="s">
        <v>779</v>
      </c>
      <c r="F47" s="860" t="s">
        <v>779</v>
      </c>
      <c r="G47" s="860" t="s">
        <v>779</v>
      </c>
      <c r="H47" s="860" t="s">
        <v>784</v>
      </c>
      <c r="I47" s="863"/>
      <c r="J47" s="918"/>
    </row>
    <row r="48" spans="1:10" s="918" customFormat="1" ht="15" customHeight="1">
      <c r="A48" s="860">
        <f>+A32+1</f>
        <v>15</v>
      </c>
      <c r="B48" s="919"/>
      <c r="C48" s="920">
        <v>0</v>
      </c>
      <c r="D48" s="921"/>
      <c r="E48" s="920"/>
      <c r="F48" s="920"/>
      <c r="G48" s="921"/>
      <c r="H48" s="877"/>
      <c r="I48" s="869"/>
    </row>
    <row r="49" spans="1:10" s="918" customFormat="1" ht="15" customHeight="1">
      <c r="A49" s="860">
        <f>+A48+1</f>
        <v>16</v>
      </c>
      <c r="B49" s="878"/>
      <c r="C49" s="920">
        <v>0</v>
      </c>
      <c r="D49" s="876"/>
      <c r="E49" s="876"/>
      <c r="F49" s="876"/>
      <c r="G49" s="876"/>
      <c r="H49" s="877"/>
      <c r="I49" s="869"/>
    </row>
    <row r="50" spans="1:10" s="918" customFormat="1" ht="15" customHeight="1">
      <c r="A50" s="860">
        <f t="shared" ref="A50:A56" si="1">+A49+1</f>
        <v>17</v>
      </c>
      <c r="B50" s="879" t="s">
        <v>844</v>
      </c>
      <c r="C50" s="880">
        <f>SUBTOTAL(9,C48:C49)</f>
        <v>0</v>
      </c>
      <c r="D50" s="880">
        <f>SUM(D48:D49)</f>
        <v>0</v>
      </c>
      <c r="E50" s="880">
        <f>SUM(E48:E49)</f>
        <v>0</v>
      </c>
      <c r="F50" s="880">
        <f>SUM(F48:F49)</f>
        <v>0</v>
      </c>
      <c r="G50" s="880">
        <f>SUM(G48:G49)</f>
        <v>0</v>
      </c>
      <c r="H50" s="881"/>
      <c r="I50" s="869"/>
    </row>
    <row r="51" spans="1:10" s="918" customFormat="1" ht="15" customHeight="1">
      <c r="A51" s="860">
        <f t="shared" si="1"/>
        <v>18</v>
      </c>
      <c r="B51" s="879" t="s">
        <v>782</v>
      </c>
      <c r="C51" s="942"/>
      <c r="D51" s="943"/>
      <c r="E51" s="942"/>
      <c r="F51" s="944"/>
      <c r="G51" s="945">
        <f>+'Attachment H-30A'!$I$197</f>
        <v>1</v>
      </c>
      <c r="H51" s="870"/>
      <c r="I51" s="869"/>
    </row>
    <row r="52" spans="1:10" s="918" customFormat="1" ht="15" customHeight="1">
      <c r="A52" s="860">
        <f t="shared" si="1"/>
        <v>19</v>
      </c>
      <c r="B52" s="941" t="s">
        <v>783</v>
      </c>
      <c r="C52" s="938"/>
      <c r="D52" s="926"/>
      <c r="E52" s="937"/>
      <c r="F52" s="936">
        <f>+'Attachment H-30A'!$G$83</f>
        <v>1</v>
      </c>
      <c r="G52" s="937"/>
      <c r="H52" s="870"/>
      <c r="I52" s="869"/>
    </row>
    <row r="53" spans="1:10" s="918" customFormat="1" ht="15" customHeight="1" thickBot="1">
      <c r="A53" s="860">
        <f t="shared" si="1"/>
        <v>20</v>
      </c>
      <c r="B53" s="946" t="s">
        <v>841</v>
      </c>
      <c r="C53" s="939">
        <f>+SUM(E53:G53)</f>
        <v>0</v>
      </c>
      <c r="D53" s="940"/>
      <c r="E53" s="934">
        <f>+E50</f>
        <v>0</v>
      </c>
      <c r="F53" s="940">
        <f>+F50*F52</f>
        <v>0</v>
      </c>
      <c r="G53" s="940">
        <f>+G50*G51</f>
        <v>0</v>
      </c>
      <c r="H53" s="870"/>
      <c r="I53" s="869"/>
    </row>
    <row r="54" spans="1:10" s="918" customFormat="1" ht="15" customHeight="1" thickTop="1">
      <c r="A54" s="860">
        <f t="shared" si="1"/>
        <v>21</v>
      </c>
      <c r="B54" s="879" t="s">
        <v>782</v>
      </c>
      <c r="C54" s="942"/>
      <c r="D54" s="943"/>
      <c r="E54" s="947"/>
      <c r="F54" s="943"/>
      <c r="G54" s="945">
        <f>+'Attachment H-30A'!$I$197</f>
        <v>1</v>
      </c>
      <c r="H54" s="870"/>
      <c r="I54" s="869"/>
    </row>
    <row r="55" spans="1:10" s="918" customFormat="1" ht="15" customHeight="1">
      <c r="A55" s="860">
        <f t="shared" si="1"/>
        <v>22</v>
      </c>
      <c r="B55" s="941" t="s">
        <v>783</v>
      </c>
      <c r="C55" s="938"/>
      <c r="D55" s="926"/>
      <c r="E55" s="948"/>
      <c r="F55" s="935">
        <f>+'Attachment H-30A'!$G$83</f>
        <v>1</v>
      </c>
      <c r="G55" s="947"/>
      <c r="H55" s="870"/>
      <c r="I55" s="869"/>
    </row>
    <row r="56" spans="1:10" s="918" customFormat="1" ht="15" customHeight="1" thickBot="1">
      <c r="A56" s="860">
        <f t="shared" si="1"/>
        <v>23</v>
      </c>
      <c r="B56" s="946" t="s">
        <v>841</v>
      </c>
      <c r="C56" s="939">
        <f>+SUM(E56:G56)</f>
        <v>0</v>
      </c>
      <c r="D56" s="949"/>
      <c r="E56" s="934">
        <f>+E53</f>
        <v>0</v>
      </c>
      <c r="F56" s="940">
        <f>+F53*F55</f>
        <v>0</v>
      </c>
      <c r="G56" s="940">
        <f>+G53*G54</f>
        <v>0</v>
      </c>
      <c r="H56" s="870"/>
      <c r="I56" s="869"/>
    </row>
    <row r="57" spans="1:10" s="918" customFormat="1" ht="15" customHeight="1" thickTop="1">
      <c r="A57" s="860"/>
      <c r="B57" s="869"/>
      <c r="C57" s="933"/>
      <c r="D57" s="864"/>
      <c r="E57" s="864"/>
      <c r="F57" s="864"/>
      <c r="G57" s="864"/>
      <c r="H57" s="870"/>
      <c r="I57" s="869"/>
    </row>
    <row r="58" spans="1:10" s="859" customFormat="1" ht="15" customHeight="1">
      <c r="B58" s="860" t="s">
        <v>62</v>
      </c>
      <c r="C58" s="860" t="s">
        <v>63</v>
      </c>
      <c r="D58" s="860" t="s">
        <v>64</v>
      </c>
      <c r="E58" s="860" t="s">
        <v>65</v>
      </c>
      <c r="F58" s="860" t="s">
        <v>67</v>
      </c>
      <c r="G58" s="860" t="s">
        <v>68</v>
      </c>
      <c r="H58" s="860" t="s">
        <v>69</v>
      </c>
      <c r="I58" s="863"/>
      <c r="J58" s="918"/>
    </row>
    <row r="59" spans="1:10" s="859" customFormat="1" ht="15" customHeight="1">
      <c r="B59" s="863" t="s">
        <v>780</v>
      </c>
      <c r="C59" s="860" t="s">
        <v>13</v>
      </c>
      <c r="D59" s="860" t="s">
        <v>803</v>
      </c>
      <c r="E59" s="860" t="s">
        <v>16</v>
      </c>
      <c r="F59" s="860" t="s">
        <v>777</v>
      </c>
      <c r="G59" s="860" t="s">
        <v>778</v>
      </c>
      <c r="I59" s="863"/>
      <c r="J59" s="918"/>
    </row>
    <row r="60" spans="1:10" s="859" customFormat="1" ht="15" customHeight="1">
      <c r="A60" s="892" t="s">
        <v>594</v>
      </c>
      <c r="B60" s="871"/>
      <c r="C60" s="860"/>
      <c r="D60" s="860" t="s">
        <v>802</v>
      </c>
      <c r="E60" s="860" t="s">
        <v>779</v>
      </c>
      <c r="F60" s="860" t="s">
        <v>779</v>
      </c>
      <c r="G60" s="860" t="s">
        <v>779</v>
      </c>
      <c r="H60" s="860" t="s">
        <v>784</v>
      </c>
      <c r="I60" s="863"/>
      <c r="J60" s="918"/>
    </row>
    <row r="61" spans="1:10" s="918" customFormat="1" ht="15" customHeight="1">
      <c r="A61" s="860">
        <f>+A56+1</f>
        <v>24</v>
      </c>
      <c r="B61" s="919" t="s">
        <v>917</v>
      </c>
      <c r="C61" s="920">
        <v>-7961</v>
      </c>
      <c r="D61" s="921">
        <v>0</v>
      </c>
      <c r="E61" s="920">
        <v>0</v>
      </c>
      <c r="F61" s="921">
        <v>-7961</v>
      </c>
      <c r="G61" s="921">
        <v>0</v>
      </c>
      <c r="H61" s="974" t="s">
        <v>918</v>
      </c>
      <c r="I61" s="869"/>
    </row>
    <row r="62" spans="1:10" s="918" customFormat="1" ht="15" customHeight="1">
      <c r="A62" s="860">
        <f>+A61+1</f>
        <v>25</v>
      </c>
      <c r="B62" s="919" t="s">
        <v>933</v>
      </c>
      <c r="C62" s="920">
        <v>-1174</v>
      </c>
      <c r="D62" s="921">
        <v>0</v>
      </c>
      <c r="E62" s="920">
        <v>0</v>
      </c>
      <c r="F62" s="921">
        <v>-1174</v>
      </c>
      <c r="G62" s="921">
        <v>0</v>
      </c>
      <c r="H62" s="877" t="s">
        <v>920</v>
      </c>
      <c r="I62" s="869"/>
    </row>
    <row r="63" spans="1:10" s="918" customFormat="1" ht="15" customHeight="1">
      <c r="A63" s="860">
        <f t="shared" ref="A63:A74" si="2">+A62+1</f>
        <v>26</v>
      </c>
      <c r="B63" s="919" t="s">
        <v>919</v>
      </c>
      <c r="C63" s="920">
        <v>8050</v>
      </c>
      <c r="D63" s="921">
        <v>0</v>
      </c>
      <c r="E63" s="921">
        <v>0</v>
      </c>
      <c r="F63" s="921">
        <v>8050</v>
      </c>
      <c r="G63" s="921">
        <v>0</v>
      </c>
      <c r="H63" s="877" t="s">
        <v>920</v>
      </c>
      <c r="I63" s="869"/>
    </row>
    <row r="64" spans="1:10" s="918" customFormat="1" ht="15" customHeight="1">
      <c r="A64" s="860">
        <f t="shared" si="2"/>
        <v>27</v>
      </c>
      <c r="B64" s="919" t="s">
        <v>921</v>
      </c>
      <c r="C64" s="920">
        <v>56</v>
      </c>
      <c r="D64" s="921">
        <v>0</v>
      </c>
      <c r="E64" s="921">
        <v>0</v>
      </c>
      <c r="F64" s="921">
        <v>56</v>
      </c>
      <c r="G64" s="921">
        <v>0</v>
      </c>
      <c r="H64" s="877" t="s">
        <v>922</v>
      </c>
      <c r="I64" s="869"/>
    </row>
    <row r="65" spans="1:10" s="918" customFormat="1" ht="15" customHeight="1">
      <c r="A65" s="860">
        <f t="shared" si="2"/>
        <v>28</v>
      </c>
      <c r="B65" s="919" t="s">
        <v>923</v>
      </c>
      <c r="C65" s="920">
        <v>986</v>
      </c>
      <c r="D65" s="921">
        <v>0</v>
      </c>
      <c r="E65" s="921">
        <v>0</v>
      </c>
      <c r="F65" s="921">
        <v>986</v>
      </c>
      <c r="G65" s="921">
        <v>0</v>
      </c>
      <c r="H65" s="877" t="s">
        <v>924</v>
      </c>
      <c r="I65" s="869"/>
    </row>
    <row r="66" spans="1:10" s="918" customFormat="1" ht="15" customHeight="1">
      <c r="A66" s="860">
        <f t="shared" si="2"/>
        <v>29</v>
      </c>
      <c r="B66" s="919" t="s">
        <v>925</v>
      </c>
      <c r="C66" s="920">
        <v>-1698</v>
      </c>
      <c r="D66" s="921">
        <v>-1698</v>
      </c>
      <c r="E66" s="921">
        <v>0</v>
      </c>
      <c r="F66" s="921">
        <v>0</v>
      </c>
      <c r="G66" s="921">
        <v>0</v>
      </c>
      <c r="H66" s="877" t="s">
        <v>926</v>
      </c>
      <c r="I66" s="869"/>
    </row>
    <row r="67" spans="1:10" s="918" customFormat="1" ht="15" customHeight="1">
      <c r="A67" s="860">
        <f t="shared" si="2"/>
        <v>30</v>
      </c>
      <c r="B67" s="919" t="s">
        <v>927</v>
      </c>
      <c r="C67" s="920">
        <v>19067</v>
      </c>
      <c r="D67" s="921">
        <v>19067</v>
      </c>
      <c r="E67" s="921">
        <v>0</v>
      </c>
      <c r="F67" s="921">
        <v>0</v>
      </c>
      <c r="G67" s="921">
        <v>0</v>
      </c>
      <c r="H67" s="877" t="s">
        <v>928</v>
      </c>
      <c r="I67" s="869"/>
    </row>
    <row r="68" spans="1:10" s="918" customFormat="1" ht="15" customHeight="1">
      <c r="A68" s="860">
        <f t="shared" si="2"/>
        <v>31</v>
      </c>
      <c r="B68" s="919" t="s">
        <v>913</v>
      </c>
      <c r="C68" s="920">
        <v>-986</v>
      </c>
      <c r="D68" s="921">
        <v>-986</v>
      </c>
      <c r="E68" s="921">
        <v>0</v>
      </c>
      <c r="F68" s="921">
        <v>0</v>
      </c>
      <c r="G68" s="921">
        <v>0</v>
      </c>
      <c r="H68" s="877" t="s">
        <v>924</v>
      </c>
      <c r="I68" s="869"/>
    </row>
    <row r="69" spans="1:10" s="918" customFormat="1" ht="15" customHeight="1">
      <c r="A69" s="860">
        <f t="shared" si="2"/>
        <v>32</v>
      </c>
      <c r="B69" s="879" t="s">
        <v>820</v>
      </c>
      <c r="C69" s="880">
        <f>SUBTOTAL(9,C61:C68)</f>
        <v>16340</v>
      </c>
      <c r="D69" s="880">
        <f>SUM(D61:D68)</f>
        <v>16383</v>
      </c>
      <c r="E69" s="880">
        <f>SUM(E61:E68)</f>
        <v>0</v>
      </c>
      <c r="F69" s="880">
        <f>SUM(F61:F68)</f>
        <v>-43</v>
      </c>
      <c r="G69" s="880">
        <f>SUM(G61:G68)</f>
        <v>0</v>
      </c>
      <c r="H69" s="881"/>
      <c r="I69" s="869"/>
    </row>
    <row r="70" spans="1:10" s="918" customFormat="1" ht="15" customHeight="1">
      <c r="A70" s="860">
        <f t="shared" si="2"/>
        <v>33</v>
      </c>
      <c r="B70" s="879" t="s">
        <v>782</v>
      </c>
      <c r="C70" s="942"/>
      <c r="D70" s="943"/>
      <c r="E70" s="947"/>
      <c r="F70" s="943"/>
      <c r="G70" s="945">
        <f>+'Attachment H-30A'!$I$197</f>
        <v>1</v>
      </c>
      <c r="H70" s="870"/>
      <c r="I70" s="869"/>
    </row>
    <row r="71" spans="1:10" s="918" customFormat="1" ht="15" customHeight="1">
      <c r="A71" s="860">
        <f t="shared" si="2"/>
        <v>34</v>
      </c>
      <c r="B71" s="941" t="s">
        <v>783</v>
      </c>
      <c r="C71" s="938"/>
      <c r="D71" s="926"/>
      <c r="E71" s="948"/>
      <c r="F71" s="935">
        <f>+'Attachment H-30A'!$G$83</f>
        <v>1</v>
      </c>
      <c r="G71" s="947"/>
      <c r="H71" s="870"/>
      <c r="I71" s="869"/>
    </row>
    <row r="72" spans="1:10" s="918" customFormat="1" ht="15" customHeight="1">
      <c r="A72" s="860">
        <f t="shared" si="2"/>
        <v>35</v>
      </c>
      <c r="B72" s="879" t="s">
        <v>860</v>
      </c>
      <c r="C72" s="890">
        <f>+SUM(E72:G72)</f>
        <v>-43</v>
      </c>
      <c r="D72" s="952"/>
      <c r="E72" s="951">
        <f>+E69</f>
        <v>0</v>
      </c>
      <c r="F72" s="880">
        <f>+F69*F71</f>
        <v>-43</v>
      </c>
      <c r="G72" s="880">
        <f>+G69*G70</f>
        <v>0</v>
      </c>
      <c r="H72" s="870"/>
      <c r="I72" s="869"/>
    </row>
    <row r="73" spans="1:10" s="918" customFormat="1" ht="15" customHeight="1">
      <c r="A73" s="860">
        <f t="shared" si="2"/>
        <v>36</v>
      </c>
      <c r="B73" s="879" t="s">
        <v>864</v>
      </c>
      <c r="C73" s="880">
        <f t="shared" ref="C73" si="3">+SUM(E73:G73)</f>
        <v>-679.53561643835565</v>
      </c>
      <c r="D73" s="880"/>
      <c r="E73" s="880"/>
      <c r="F73" s="880">
        <f>-'4c-ADIT Proration'!I35</f>
        <v>-679.53561643835565</v>
      </c>
      <c r="G73" s="880"/>
      <c r="H73" s="870"/>
      <c r="I73" s="869"/>
    </row>
    <row r="74" spans="1:10" s="918" customFormat="1" ht="15" customHeight="1" thickBot="1">
      <c r="A74" s="860">
        <f t="shared" si="2"/>
        <v>37</v>
      </c>
      <c r="B74" s="946" t="s">
        <v>841</v>
      </c>
      <c r="C74" s="940">
        <f>+SUM(E74:G74)</f>
        <v>636.53561643835565</v>
      </c>
      <c r="D74" s="940">
        <f t="shared" ref="D74:G74" si="4">+D72-D73</f>
        <v>0</v>
      </c>
      <c r="E74" s="940">
        <f t="shared" si="4"/>
        <v>0</v>
      </c>
      <c r="F74" s="940">
        <f t="shared" si="4"/>
        <v>636.53561643835565</v>
      </c>
      <c r="G74" s="940">
        <f t="shared" si="4"/>
        <v>0</v>
      </c>
      <c r="H74" s="870"/>
      <c r="I74" s="869"/>
    </row>
    <row r="75" spans="1:10" s="918" customFormat="1" ht="15" customHeight="1" thickTop="1">
      <c r="A75" s="860"/>
      <c r="B75" s="883"/>
      <c r="C75" s="869"/>
      <c r="D75" s="863"/>
      <c r="E75" s="866"/>
      <c r="F75" s="891"/>
      <c r="G75" s="867"/>
      <c r="H75" s="884"/>
      <c r="I75" s="869"/>
    </row>
    <row r="76" spans="1:10" s="859" customFormat="1" ht="15" customHeight="1">
      <c r="B76" s="860" t="s">
        <v>62</v>
      </c>
      <c r="C76" s="860" t="s">
        <v>63</v>
      </c>
      <c r="D76" s="860" t="s">
        <v>64</v>
      </c>
      <c r="E76" s="860" t="s">
        <v>65</v>
      </c>
      <c r="F76" s="860" t="s">
        <v>67</v>
      </c>
      <c r="G76" s="860" t="s">
        <v>68</v>
      </c>
      <c r="H76" s="860" t="s">
        <v>69</v>
      </c>
      <c r="I76" s="863"/>
      <c r="J76" s="918"/>
    </row>
    <row r="77" spans="1:10" s="859" customFormat="1" ht="15" customHeight="1">
      <c r="B77" s="863" t="s">
        <v>787</v>
      </c>
      <c r="C77" s="860" t="s">
        <v>13</v>
      </c>
      <c r="D77" s="860" t="s">
        <v>803</v>
      </c>
      <c r="E77" s="860" t="s">
        <v>16</v>
      </c>
      <c r="F77" s="860" t="s">
        <v>777</v>
      </c>
      <c r="G77" s="860" t="s">
        <v>778</v>
      </c>
      <c r="H77" s="860"/>
      <c r="I77" s="863"/>
      <c r="J77" s="918"/>
    </row>
    <row r="78" spans="1:10" s="859" customFormat="1" ht="15" customHeight="1">
      <c r="A78" s="892" t="s">
        <v>594</v>
      </c>
      <c r="B78" s="863"/>
      <c r="C78" s="860"/>
      <c r="D78" s="860" t="s">
        <v>802</v>
      </c>
      <c r="E78" s="860" t="s">
        <v>779</v>
      </c>
      <c r="F78" s="860" t="s">
        <v>779</v>
      </c>
      <c r="G78" s="860" t="s">
        <v>779</v>
      </c>
      <c r="H78" s="860" t="s">
        <v>784</v>
      </c>
      <c r="I78" s="863"/>
      <c r="J78" s="918"/>
    </row>
    <row r="79" spans="1:10" s="918" customFormat="1" ht="15" customHeight="1">
      <c r="A79" s="860">
        <f>+A74+1</f>
        <v>38</v>
      </c>
      <c r="B79" s="919" t="s">
        <v>929</v>
      </c>
      <c r="C79" s="920">
        <v>79311</v>
      </c>
      <c r="D79" s="920">
        <v>0</v>
      </c>
      <c r="E79" s="921">
        <v>79311</v>
      </c>
      <c r="F79" s="921">
        <v>0</v>
      </c>
      <c r="G79" s="921">
        <v>0</v>
      </c>
      <c r="H79" s="974" t="s">
        <v>930</v>
      </c>
      <c r="I79" s="869"/>
    </row>
    <row r="80" spans="1:10" s="918" customFormat="1" ht="15" customHeight="1">
      <c r="A80" s="860">
        <f>+A79+1</f>
        <v>39</v>
      </c>
      <c r="B80" s="975" t="s">
        <v>911</v>
      </c>
      <c r="C80" s="920">
        <v>58427</v>
      </c>
      <c r="D80" s="920">
        <v>0</v>
      </c>
      <c r="E80" s="921">
        <v>58427</v>
      </c>
      <c r="F80" s="921">
        <v>0</v>
      </c>
      <c r="G80" s="921">
        <v>0</v>
      </c>
      <c r="H80" s="974" t="s">
        <v>912</v>
      </c>
      <c r="I80" s="869"/>
    </row>
    <row r="81" spans="1:9" s="918" customFormat="1" ht="15" customHeight="1">
      <c r="A81" s="860">
        <f t="shared" ref="A81:A88" si="5">+A80+1</f>
        <v>40</v>
      </c>
      <c r="B81" s="975" t="s">
        <v>931</v>
      </c>
      <c r="C81" s="920">
        <v>-4218</v>
      </c>
      <c r="D81" s="921">
        <v>0</v>
      </c>
      <c r="E81" s="921">
        <v>-4218</v>
      </c>
      <c r="F81" s="921">
        <v>0</v>
      </c>
      <c r="G81" s="921">
        <v>0</v>
      </c>
      <c r="H81" s="974" t="s">
        <v>932</v>
      </c>
      <c r="I81" s="869"/>
    </row>
    <row r="82" spans="1:9" s="918" customFormat="1" ht="15" customHeight="1">
      <c r="A82" s="860">
        <f t="shared" si="5"/>
        <v>41</v>
      </c>
      <c r="B82" s="919" t="s">
        <v>915</v>
      </c>
      <c r="C82" s="920">
        <v>4218</v>
      </c>
      <c r="D82" s="921">
        <v>4218</v>
      </c>
      <c r="E82" s="921">
        <v>0</v>
      </c>
      <c r="F82" s="921">
        <v>0</v>
      </c>
      <c r="G82" s="921">
        <v>0</v>
      </c>
      <c r="H82" s="877" t="s">
        <v>932</v>
      </c>
      <c r="I82" s="869"/>
    </row>
    <row r="83" spans="1:9" s="918" customFormat="1" ht="15" customHeight="1">
      <c r="A83" s="860">
        <f t="shared" si="5"/>
        <v>42</v>
      </c>
      <c r="B83" s="919"/>
      <c r="C83" s="920">
        <v>0</v>
      </c>
      <c r="D83" s="921"/>
      <c r="E83" s="921"/>
      <c r="F83" s="921"/>
      <c r="G83" s="921"/>
      <c r="H83" s="877"/>
      <c r="I83" s="869"/>
    </row>
    <row r="84" spans="1:9" s="918" customFormat="1" ht="15" customHeight="1">
      <c r="A84" s="860">
        <f t="shared" si="5"/>
        <v>43</v>
      </c>
      <c r="B84" s="878"/>
      <c r="C84" s="920">
        <v>0</v>
      </c>
      <c r="D84" s="876"/>
      <c r="E84" s="876"/>
      <c r="F84" s="876"/>
      <c r="G84" s="876"/>
      <c r="H84" s="877"/>
      <c r="I84" s="869"/>
    </row>
    <row r="85" spans="1:9" s="918" customFormat="1" ht="15" customHeight="1">
      <c r="A85" s="860">
        <f t="shared" si="5"/>
        <v>44</v>
      </c>
      <c r="B85" s="882" t="s">
        <v>821</v>
      </c>
      <c r="C85" s="880">
        <f>SUBTOTAL(9,C79:C84)</f>
        <v>137738</v>
      </c>
      <c r="D85" s="880">
        <f>SUM(D79:D84)</f>
        <v>4218</v>
      </c>
      <c r="E85" s="880">
        <f>SUM(E79:E84)</f>
        <v>133520</v>
      </c>
      <c r="F85" s="880">
        <f>SUM(F79:F84)</f>
        <v>0</v>
      </c>
      <c r="G85" s="880">
        <f>SUM(G79:G84)</f>
        <v>0</v>
      </c>
      <c r="H85" s="924"/>
      <c r="I85" s="869"/>
    </row>
    <row r="86" spans="1:9" s="918" customFormat="1" ht="15" customHeight="1">
      <c r="A86" s="860">
        <f t="shared" si="5"/>
        <v>45</v>
      </c>
      <c r="B86" s="879" t="s">
        <v>782</v>
      </c>
      <c r="C86" s="942"/>
      <c r="D86" s="943"/>
      <c r="E86" s="947"/>
      <c r="F86" s="943"/>
      <c r="G86" s="945">
        <f>+'Attachment H-30A'!$I$197</f>
        <v>1</v>
      </c>
      <c r="H86" s="870"/>
      <c r="I86" s="869"/>
    </row>
    <row r="87" spans="1:9" s="918" customFormat="1" ht="15" customHeight="1">
      <c r="A87" s="860">
        <f t="shared" si="5"/>
        <v>46</v>
      </c>
      <c r="B87" s="941" t="s">
        <v>783</v>
      </c>
      <c r="C87" s="938"/>
      <c r="D87" s="926"/>
      <c r="E87" s="948"/>
      <c r="F87" s="935">
        <f>+'Attachment H-30A'!$G$83</f>
        <v>1</v>
      </c>
      <c r="G87" s="947"/>
      <c r="H87" s="870"/>
      <c r="I87" s="869"/>
    </row>
    <row r="88" spans="1:9" s="918" customFormat="1" ht="15" customHeight="1" thickBot="1">
      <c r="A88" s="860">
        <f t="shared" si="5"/>
        <v>47</v>
      </c>
      <c r="B88" s="946" t="s">
        <v>841</v>
      </c>
      <c r="C88" s="939">
        <f>+SUM(E88:G88)</f>
        <v>133520</v>
      </c>
      <c r="D88" s="949"/>
      <c r="E88" s="934">
        <f>+E85</f>
        <v>133520</v>
      </c>
      <c r="F88" s="940">
        <f>+F85*F87</f>
        <v>0</v>
      </c>
      <c r="G88" s="940">
        <f>+G85*G86</f>
        <v>0</v>
      </c>
      <c r="H88" s="870"/>
      <c r="I88" s="869"/>
    </row>
    <row r="89" spans="1:9" ht="15" customHeight="1" thickTop="1">
      <c r="B89" s="913"/>
      <c r="C89" s="913"/>
      <c r="D89" s="913"/>
      <c r="E89" s="913"/>
      <c r="F89" s="913"/>
      <c r="G89" s="913"/>
      <c r="H89" s="913"/>
      <c r="I89" s="862"/>
    </row>
    <row r="90" spans="1:9" ht="15" customHeight="1">
      <c r="B90" s="1014"/>
      <c r="C90" s="1014"/>
      <c r="D90" s="1014"/>
      <c r="E90" s="1014"/>
      <c r="F90" s="1014"/>
      <c r="G90" s="1014"/>
      <c r="H90" s="1014"/>
      <c r="I90" s="885"/>
    </row>
    <row r="91" spans="1:9" ht="15" customHeight="1">
      <c r="B91" s="873"/>
      <c r="C91" s="873"/>
      <c r="D91" s="873"/>
      <c r="E91" s="873"/>
      <c r="F91" s="873"/>
      <c r="G91" s="873"/>
      <c r="H91" s="873"/>
      <c r="I91" s="862"/>
    </row>
    <row r="92" spans="1:9" ht="15" customHeight="1">
      <c r="B92" s="873"/>
      <c r="C92" s="873"/>
      <c r="D92" s="873"/>
      <c r="E92" s="873"/>
      <c r="F92" s="873"/>
      <c r="G92" s="873"/>
      <c r="H92" s="873"/>
      <c r="I92" s="862"/>
    </row>
    <row r="93" spans="1:9" ht="15" customHeight="1">
      <c r="B93" s="873"/>
      <c r="C93" s="873"/>
      <c r="D93" s="873"/>
      <c r="E93" s="873"/>
      <c r="F93" s="873"/>
      <c r="G93" s="873"/>
      <c r="H93" s="873"/>
      <c r="I93" s="862"/>
    </row>
    <row r="94" spans="1:9" ht="15" customHeight="1">
      <c r="B94" s="873"/>
      <c r="C94" s="873"/>
      <c r="D94" s="914"/>
      <c r="E94" s="914"/>
      <c r="F94" s="914"/>
      <c r="G94" s="914"/>
      <c r="H94" s="914"/>
      <c r="I94" s="886"/>
    </row>
    <row r="95" spans="1:9" ht="15" customHeight="1">
      <c r="B95" s="873"/>
      <c r="C95" s="873"/>
      <c r="D95" s="914"/>
      <c r="E95" s="914"/>
      <c r="F95" s="914"/>
      <c r="G95" s="914"/>
      <c r="H95" s="914"/>
      <c r="I95" s="886"/>
    </row>
    <row r="96" spans="1:9" ht="15" customHeight="1">
      <c r="B96" s="915"/>
      <c r="C96" s="873"/>
      <c r="D96" s="916"/>
      <c r="E96" s="916"/>
      <c r="F96" s="873"/>
      <c r="G96" s="873"/>
      <c r="H96" s="873"/>
      <c r="I96" s="862"/>
    </row>
    <row r="97" spans="2:9" ht="15" customHeight="1">
      <c r="B97" s="915"/>
      <c r="C97" s="873"/>
      <c r="D97" s="917"/>
      <c r="E97" s="917"/>
      <c r="F97" s="873"/>
      <c r="G97" s="873"/>
      <c r="H97" s="873"/>
      <c r="I97" s="862"/>
    </row>
    <row r="98" spans="2:9" ht="15" customHeight="1">
      <c r="B98" s="915"/>
      <c r="C98" s="873"/>
      <c r="D98" s="917"/>
      <c r="E98" s="917"/>
      <c r="F98" s="873"/>
      <c r="G98" s="873"/>
      <c r="H98" s="873"/>
      <c r="I98" s="862"/>
    </row>
    <row r="99" spans="2:9" ht="15" customHeight="1">
      <c r="B99" s="915"/>
      <c r="C99" s="873"/>
      <c r="D99" s="917"/>
      <c r="E99" s="917"/>
      <c r="F99" s="873"/>
      <c r="G99" s="873"/>
      <c r="H99" s="873"/>
      <c r="I99" s="862"/>
    </row>
    <row r="100" spans="2:9" ht="15" customHeight="1">
      <c r="B100" s="915"/>
      <c r="C100" s="873"/>
      <c r="D100" s="917"/>
      <c r="E100" s="917"/>
      <c r="F100" s="873"/>
      <c r="G100" s="873"/>
      <c r="H100" s="873"/>
      <c r="I100" s="862"/>
    </row>
    <row r="101" spans="2:9" ht="15" customHeight="1">
      <c r="B101" s="915"/>
      <c r="C101" s="873"/>
      <c r="D101" s="917"/>
      <c r="E101" s="917"/>
      <c r="F101" s="873"/>
      <c r="G101" s="873"/>
      <c r="H101" s="873"/>
      <c r="I101" s="862"/>
    </row>
    <row r="102" spans="2:9" ht="15" customHeight="1">
      <c r="B102" s="915"/>
      <c r="C102" s="873"/>
      <c r="D102" s="917"/>
      <c r="E102" s="917"/>
      <c r="F102" s="873"/>
      <c r="G102" s="873"/>
      <c r="H102" s="873"/>
      <c r="I102" s="862"/>
    </row>
    <row r="103" spans="2:9" ht="15" customHeight="1">
      <c r="B103" s="915"/>
      <c r="C103" s="873"/>
      <c r="D103" s="917"/>
      <c r="E103" s="917"/>
      <c r="F103" s="873"/>
      <c r="G103" s="873"/>
      <c r="H103" s="873"/>
      <c r="I103" s="862"/>
    </row>
    <row r="104" spans="2:9" ht="15" customHeight="1">
      <c r="B104" s="915"/>
      <c r="C104" s="873"/>
      <c r="D104" s="917"/>
      <c r="E104" s="917"/>
      <c r="F104" s="873"/>
      <c r="G104" s="873"/>
      <c r="H104" s="873"/>
      <c r="I104" s="862"/>
    </row>
    <row r="105" spans="2:9" ht="15" customHeight="1">
      <c r="B105" s="915"/>
      <c r="C105" s="873"/>
      <c r="D105" s="917"/>
      <c r="E105" s="917"/>
      <c r="F105" s="873"/>
      <c r="G105" s="873"/>
      <c r="H105" s="873"/>
      <c r="I105" s="862"/>
    </row>
    <row r="106" spans="2:9" ht="15" customHeight="1">
      <c r="B106" s="915"/>
      <c r="C106" s="873"/>
      <c r="D106" s="917"/>
      <c r="E106" s="917"/>
      <c r="F106" s="873"/>
      <c r="G106" s="873"/>
      <c r="H106" s="873"/>
      <c r="I106" s="862"/>
    </row>
    <row r="107" spans="2:9" ht="15" customHeight="1">
      <c r="B107" s="873"/>
      <c r="C107" s="873"/>
      <c r="D107" s="917"/>
      <c r="E107" s="917"/>
      <c r="F107" s="873"/>
      <c r="G107" s="873"/>
      <c r="H107" s="873"/>
      <c r="I107" s="862"/>
    </row>
    <row r="108" spans="2:9" ht="15" customHeight="1">
      <c r="B108" s="915"/>
      <c r="C108" s="873"/>
      <c r="D108" s="917"/>
      <c r="E108" s="917"/>
      <c r="F108" s="873"/>
      <c r="G108" s="873"/>
      <c r="H108" s="873"/>
      <c r="I108" s="862"/>
    </row>
    <row r="109" spans="2:9" ht="15" customHeight="1">
      <c r="B109" s="873"/>
      <c r="C109" s="873"/>
      <c r="D109" s="917"/>
      <c r="E109" s="917"/>
      <c r="F109" s="873"/>
      <c r="G109" s="873"/>
      <c r="H109" s="873"/>
      <c r="I109" s="862"/>
    </row>
    <row r="110" spans="2:9" ht="15" customHeight="1">
      <c r="B110" s="915"/>
      <c r="C110" s="873"/>
      <c r="D110" s="873"/>
      <c r="E110" s="873"/>
      <c r="F110" s="873"/>
      <c r="G110" s="873"/>
      <c r="H110" s="873"/>
      <c r="I110" s="862"/>
    </row>
    <row r="111" spans="2:9" ht="15" customHeight="1">
      <c r="B111" s="915"/>
      <c r="C111" s="873"/>
      <c r="D111" s="873"/>
      <c r="E111" s="873"/>
      <c r="F111" s="873"/>
      <c r="G111" s="873"/>
      <c r="H111" s="873"/>
    </row>
    <row r="112" spans="2:9" ht="15" customHeight="1">
      <c r="B112" s="915"/>
      <c r="C112" s="873"/>
      <c r="D112" s="873"/>
      <c r="E112" s="873"/>
      <c r="F112" s="873"/>
      <c r="G112" s="873"/>
      <c r="H112" s="873"/>
    </row>
    <row r="113" spans="2:8" ht="15" customHeight="1">
      <c r="B113" s="915"/>
      <c r="C113" s="873"/>
      <c r="D113" s="873"/>
      <c r="E113" s="873"/>
      <c r="F113" s="873"/>
      <c r="G113" s="873"/>
      <c r="H113" s="873"/>
    </row>
    <row r="114" spans="2:8" ht="15" customHeight="1">
      <c r="B114" s="915"/>
      <c r="C114" s="873"/>
      <c r="D114" s="873"/>
      <c r="E114" s="873"/>
      <c r="F114" s="873"/>
      <c r="G114" s="873"/>
      <c r="H114" s="873"/>
    </row>
    <row r="115" spans="2:8" ht="15" customHeight="1">
      <c r="B115" s="915"/>
      <c r="C115" s="873"/>
      <c r="D115" s="873"/>
      <c r="E115" s="873"/>
      <c r="F115" s="873"/>
      <c r="G115" s="873"/>
      <c r="H115" s="873"/>
    </row>
    <row r="116" spans="2:8" ht="15" customHeight="1">
      <c r="B116" s="915"/>
      <c r="C116" s="873"/>
      <c r="D116" s="873"/>
      <c r="E116" s="873"/>
      <c r="F116" s="873"/>
      <c r="G116" s="873"/>
      <c r="H116" s="873"/>
    </row>
    <row r="117" spans="2:8" ht="15" customHeight="1">
      <c r="B117" s="915"/>
      <c r="C117" s="873"/>
      <c r="D117" s="873"/>
      <c r="E117" s="873"/>
      <c r="F117" s="873"/>
      <c r="G117" s="873"/>
      <c r="H117" s="873"/>
    </row>
    <row r="118" spans="2:8" ht="15" customHeight="1">
      <c r="B118" s="915"/>
      <c r="C118" s="873"/>
      <c r="D118" s="873"/>
      <c r="E118" s="873"/>
      <c r="F118" s="873"/>
      <c r="G118" s="873"/>
      <c r="H118" s="873"/>
    </row>
    <row r="119" spans="2:8" ht="15" customHeight="1">
      <c r="B119" s="915"/>
      <c r="C119" s="873"/>
      <c r="D119" s="873"/>
      <c r="E119" s="873"/>
      <c r="F119" s="873"/>
      <c r="G119" s="873"/>
      <c r="H119" s="873"/>
    </row>
    <row r="120" spans="2:8" ht="15" customHeight="1">
      <c r="B120" s="915"/>
      <c r="C120" s="873"/>
      <c r="D120" s="873"/>
      <c r="E120" s="873"/>
      <c r="F120" s="873"/>
      <c r="G120" s="873"/>
      <c r="H120" s="873"/>
    </row>
    <row r="121" spans="2:8" ht="15" customHeight="1">
      <c r="B121" s="915"/>
      <c r="C121" s="873"/>
      <c r="D121" s="873"/>
      <c r="E121" s="873"/>
      <c r="F121" s="873"/>
      <c r="G121" s="873"/>
      <c r="H121" s="873"/>
    </row>
    <row r="122" spans="2:8" ht="15" customHeight="1">
      <c r="B122" s="915"/>
      <c r="C122" s="873"/>
      <c r="D122" s="873"/>
      <c r="E122" s="873"/>
      <c r="F122" s="873"/>
      <c r="G122" s="873"/>
      <c r="H122" s="873"/>
    </row>
    <row r="123" spans="2:8" ht="15" customHeight="1">
      <c r="B123" s="915"/>
      <c r="C123" s="873"/>
      <c r="D123" s="873"/>
      <c r="E123" s="873"/>
      <c r="F123" s="873"/>
      <c r="G123" s="873"/>
      <c r="H123" s="873"/>
    </row>
    <row r="124" spans="2:8" ht="15" customHeight="1">
      <c r="B124" s="915"/>
      <c r="C124" s="873"/>
      <c r="D124" s="873"/>
      <c r="E124" s="873"/>
      <c r="F124" s="873"/>
      <c r="G124" s="873"/>
      <c r="H124" s="873"/>
    </row>
    <row r="125" spans="2:8" ht="15" customHeight="1">
      <c r="B125" s="915"/>
      <c r="C125" s="873"/>
      <c r="D125" s="873"/>
      <c r="E125" s="873"/>
      <c r="F125" s="873"/>
      <c r="G125" s="873"/>
      <c r="H125" s="873"/>
    </row>
    <row r="126" spans="2:8" ht="15" customHeight="1">
      <c r="B126" s="915"/>
      <c r="C126" s="873"/>
      <c r="D126" s="873"/>
      <c r="E126" s="873"/>
      <c r="F126" s="873"/>
      <c r="G126" s="873"/>
      <c r="H126" s="873"/>
    </row>
    <row r="127" spans="2:8" ht="15" customHeight="1">
      <c r="B127" s="915"/>
      <c r="C127" s="873"/>
      <c r="D127" s="873"/>
      <c r="E127" s="873"/>
      <c r="F127" s="873"/>
      <c r="G127" s="873"/>
      <c r="H127" s="873"/>
    </row>
    <row r="128" spans="2:8" ht="15" customHeight="1">
      <c r="B128" s="915"/>
      <c r="C128" s="873"/>
      <c r="D128" s="873"/>
      <c r="E128" s="873"/>
      <c r="F128" s="873"/>
      <c r="G128" s="873"/>
      <c r="H128" s="873"/>
    </row>
    <row r="129" spans="2:8" ht="15" customHeight="1">
      <c r="B129" s="915"/>
      <c r="C129" s="873"/>
      <c r="D129" s="873"/>
      <c r="E129" s="873"/>
      <c r="F129" s="873"/>
      <c r="G129" s="873"/>
      <c r="H129" s="873"/>
    </row>
    <row r="130" spans="2:8" ht="15" customHeight="1">
      <c r="B130" s="915"/>
      <c r="C130" s="873"/>
      <c r="D130" s="873"/>
      <c r="E130" s="873"/>
      <c r="F130" s="873"/>
      <c r="G130" s="873"/>
      <c r="H130" s="873"/>
    </row>
    <row r="131" spans="2:8" ht="15" customHeight="1">
      <c r="B131" s="915"/>
      <c r="C131" s="873"/>
      <c r="D131" s="873"/>
      <c r="E131" s="873"/>
      <c r="F131" s="873"/>
      <c r="G131" s="873"/>
      <c r="H131" s="873"/>
    </row>
    <row r="132" spans="2:8" ht="15" customHeight="1">
      <c r="B132" s="915"/>
      <c r="C132" s="873"/>
      <c r="D132" s="873"/>
      <c r="E132" s="873"/>
      <c r="F132" s="873"/>
      <c r="G132" s="873"/>
      <c r="H132" s="873"/>
    </row>
    <row r="133" spans="2:8" ht="15" customHeight="1">
      <c r="B133" s="915"/>
      <c r="C133" s="873"/>
      <c r="D133" s="873"/>
      <c r="E133" s="873"/>
      <c r="F133" s="873"/>
      <c r="G133" s="873"/>
      <c r="H133" s="873"/>
    </row>
    <row r="134" spans="2:8" ht="15" customHeight="1">
      <c r="B134" s="915"/>
      <c r="C134" s="873"/>
      <c r="D134" s="873"/>
      <c r="E134" s="873"/>
      <c r="F134" s="873"/>
      <c r="G134" s="873"/>
      <c r="H134" s="873"/>
    </row>
    <row r="135" spans="2:8" ht="15" customHeight="1">
      <c r="B135" s="915"/>
      <c r="C135" s="873"/>
      <c r="D135" s="873"/>
      <c r="E135" s="873"/>
      <c r="F135" s="873"/>
      <c r="G135" s="873"/>
      <c r="H135" s="873"/>
    </row>
    <row r="136" spans="2:8" ht="15" customHeight="1">
      <c r="B136" s="915"/>
      <c r="C136" s="873"/>
      <c r="D136" s="873"/>
      <c r="E136" s="873"/>
      <c r="F136" s="873"/>
      <c r="G136" s="873"/>
      <c r="H136" s="873"/>
    </row>
    <row r="137" spans="2:8" ht="15" customHeight="1">
      <c r="B137" s="915"/>
      <c r="C137" s="873"/>
      <c r="D137" s="873"/>
      <c r="E137" s="873"/>
      <c r="F137" s="873"/>
      <c r="G137" s="873"/>
      <c r="H137" s="873"/>
    </row>
    <row r="138" spans="2:8" ht="15" customHeight="1">
      <c r="B138" s="915"/>
      <c r="C138" s="873"/>
      <c r="D138" s="873"/>
      <c r="E138" s="873"/>
      <c r="F138" s="873"/>
      <c r="G138" s="873"/>
      <c r="H138" s="873"/>
    </row>
    <row r="139" spans="2:8" ht="15" customHeight="1">
      <c r="B139" s="915"/>
      <c r="C139" s="873"/>
      <c r="D139" s="873"/>
      <c r="E139" s="873"/>
      <c r="F139" s="873"/>
      <c r="G139" s="873"/>
      <c r="H139" s="873"/>
    </row>
    <row r="140" spans="2:8" ht="15" customHeight="1">
      <c r="B140" s="915"/>
      <c r="C140" s="873"/>
      <c r="D140" s="873"/>
      <c r="E140" s="873"/>
      <c r="F140" s="873"/>
      <c r="G140" s="873"/>
      <c r="H140" s="873"/>
    </row>
    <row r="141" spans="2:8" ht="15" customHeight="1">
      <c r="B141" s="915"/>
      <c r="C141" s="873"/>
      <c r="D141" s="873"/>
      <c r="E141" s="873"/>
      <c r="F141" s="873"/>
      <c r="G141" s="873"/>
      <c r="H141" s="873"/>
    </row>
    <row r="142" spans="2:8" ht="15" customHeight="1">
      <c r="B142" s="915"/>
      <c r="C142" s="873"/>
      <c r="D142" s="873"/>
      <c r="E142" s="873"/>
      <c r="F142" s="873"/>
      <c r="G142" s="873"/>
      <c r="H142" s="873"/>
    </row>
    <row r="143" spans="2:8" ht="15" customHeight="1">
      <c r="B143" s="915"/>
      <c r="C143" s="873"/>
      <c r="D143" s="873"/>
      <c r="E143" s="873"/>
      <c r="F143" s="873"/>
      <c r="G143" s="873"/>
      <c r="H143" s="873"/>
    </row>
    <row r="144" spans="2:8" ht="15" customHeight="1">
      <c r="B144" s="915"/>
      <c r="C144" s="873"/>
      <c r="D144" s="873"/>
      <c r="E144" s="873"/>
      <c r="F144" s="873"/>
      <c r="G144" s="873"/>
      <c r="H144" s="873"/>
    </row>
    <row r="145" spans="2:8" ht="15" customHeight="1">
      <c r="B145" s="915"/>
      <c r="C145" s="873"/>
      <c r="D145" s="873"/>
      <c r="E145" s="873"/>
      <c r="F145" s="873"/>
      <c r="G145" s="873"/>
      <c r="H145" s="873"/>
    </row>
    <row r="146" spans="2:8" ht="15" customHeight="1">
      <c r="B146" s="915"/>
      <c r="C146" s="873"/>
      <c r="D146" s="873"/>
      <c r="E146" s="873"/>
      <c r="F146" s="873"/>
      <c r="G146" s="873"/>
      <c r="H146" s="873"/>
    </row>
    <row r="147" spans="2:8" ht="15" customHeight="1">
      <c r="B147" s="915"/>
      <c r="C147" s="873"/>
      <c r="D147" s="873"/>
      <c r="E147" s="873"/>
      <c r="F147" s="873"/>
      <c r="G147" s="873"/>
      <c r="H147" s="873"/>
    </row>
    <row r="148" spans="2:8" ht="15" customHeight="1">
      <c r="B148" s="915"/>
      <c r="C148" s="873"/>
      <c r="D148" s="873"/>
      <c r="E148" s="873"/>
      <c r="F148" s="873"/>
      <c r="G148" s="873"/>
      <c r="H148" s="873"/>
    </row>
    <row r="149" spans="2:8" ht="15" customHeight="1">
      <c r="B149" s="915"/>
      <c r="C149" s="873"/>
      <c r="D149" s="873"/>
      <c r="E149" s="873"/>
      <c r="F149" s="873"/>
      <c r="G149" s="873"/>
      <c r="H149" s="873"/>
    </row>
    <row r="150" spans="2:8" ht="15" customHeight="1">
      <c r="B150" s="915"/>
      <c r="C150" s="873"/>
      <c r="D150" s="873"/>
      <c r="E150" s="873"/>
      <c r="F150" s="873"/>
      <c r="G150" s="873"/>
      <c r="H150" s="873"/>
    </row>
    <row r="151" spans="2:8" ht="15" customHeight="1">
      <c r="B151" s="915"/>
      <c r="C151" s="873"/>
      <c r="D151" s="873"/>
      <c r="E151" s="873"/>
      <c r="F151" s="873"/>
      <c r="G151" s="873"/>
      <c r="H151" s="873"/>
    </row>
    <row r="152" spans="2:8" ht="15" customHeight="1">
      <c r="B152" s="915"/>
      <c r="C152" s="873"/>
      <c r="D152" s="873"/>
      <c r="E152" s="873"/>
      <c r="F152" s="873"/>
      <c r="G152" s="873"/>
      <c r="H152" s="873"/>
    </row>
    <row r="153" spans="2:8" ht="15" customHeight="1">
      <c r="B153" s="915"/>
      <c r="C153" s="873"/>
      <c r="D153" s="873"/>
      <c r="E153" s="873"/>
      <c r="F153" s="873"/>
      <c r="G153" s="873"/>
      <c r="H153" s="873"/>
    </row>
    <row r="154" spans="2:8" ht="15" customHeight="1">
      <c r="B154" s="915"/>
      <c r="C154" s="873"/>
      <c r="D154" s="873"/>
      <c r="E154" s="873"/>
      <c r="F154" s="873"/>
      <c r="G154" s="873"/>
      <c r="H154" s="873"/>
    </row>
    <row r="155" spans="2:8" ht="15" customHeight="1">
      <c r="B155" s="915"/>
      <c r="C155" s="873"/>
      <c r="D155" s="873"/>
      <c r="E155" s="873"/>
      <c r="F155" s="873"/>
      <c r="G155" s="873"/>
      <c r="H155" s="873"/>
    </row>
    <row r="156" spans="2:8" ht="15" customHeight="1">
      <c r="B156" s="915"/>
      <c r="C156" s="873"/>
      <c r="D156" s="873"/>
      <c r="E156" s="873"/>
      <c r="F156" s="873"/>
      <c r="G156" s="873"/>
      <c r="H156" s="873"/>
    </row>
    <row r="157" spans="2:8" ht="15" customHeight="1">
      <c r="B157" s="915"/>
      <c r="C157" s="873"/>
      <c r="D157" s="873"/>
      <c r="E157" s="873"/>
      <c r="F157" s="873"/>
      <c r="G157" s="873"/>
      <c r="H157" s="873"/>
    </row>
    <row r="158" spans="2:8" ht="15" customHeight="1">
      <c r="B158" s="915"/>
      <c r="C158" s="873"/>
      <c r="D158" s="873"/>
      <c r="E158" s="873"/>
      <c r="F158" s="873"/>
      <c r="G158" s="873"/>
      <c r="H158" s="873"/>
    </row>
    <row r="159" spans="2:8" ht="15" customHeight="1">
      <c r="B159" s="915"/>
      <c r="C159" s="873"/>
      <c r="D159" s="873"/>
      <c r="E159" s="873"/>
      <c r="F159" s="873"/>
      <c r="G159" s="873"/>
      <c r="H159" s="873"/>
    </row>
    <row r="160" spans="2:8" ht="15" customHeight="1">
      <c r="B160" s="915"/>
      <c r="C160" s="873"/>
      <c r="D160" s="873"/>
      <c r="E160" s="873"/>
      <c r="F160" s="873"/>
      <c r="G160" s="873"/>
      <c r="H160" s="873"/>
    </row>
    <row r="161" spans="2:8" ht="15" customHeight="1">
      <c r="B161" s="915"/>
      <c r="C161" s="873"/>
      <c r="D161" s="873"/>
      <c r="E161" s="873"/>
      <c r="F161" s="873"/>
      <c r="G161" s="873"/>
      <c r="H161" s="873"/>
    </row>
    <row r="162" spans="2:8" ht="15" customHeight="1">
      <c r="B162" s="915"/>
      <c r="C162" s="873"/>
      <c r="D162" s="873"/>
      <c r="E162" s="873"/>
      <c r="F162" s="873"/>
      <c r="G162" s="873"/>
      <c r="H162" s="873"/>
    </row>
    <row r="163" spans="2:8" ht="15" customHeight="1">
      <c r="B163" s="915"/>
      <c r="C163" s="873"/>
      <c r="D163" s="873"/>
      <c r="E163" s="873"/>
      <c r="F163" s="873"/>
      <c r="G163" s="873"/>
      <c r="H163" s="873"/>
    </row>
    <row r="164" spans="2:8" ht="15" customHeight="1">
      <c r="B164" s="915"/>
      <c r="C164" s="873"/>
      <c r="D164" s="873"/>
      <c r="E164" s="873"/>
      <c r="F164" s="873"/>
      <c r="G164" s="873"/>
      <c r="H164" s="873"/>
    </row>
    <row r="165" spans="2:8" ht="15" customHeight="1">
      <c r="B165" s="915"/>
      <c r="C165" s="873"/>
      <c r="D165" s="873"/>
      <c r="E165" s="873"/>
      <c r="F165" s="873"/>
      <c r="G165" s="873"/>
      <c r="H165" s="873"/>
    </row>
    <row r="166" spans="2:8" ht="15" customHeight="1">
      <c r="B166" s="915"/>
      <c r="C166" s="873"/>
      <c r="D166" s="873"/>
      <c r="E166" s="873"/>
      <c r="F166" s="873"/>
      <c r="G166" s="873"/>
      <c r="H166" s="873"/>
    </row>
    <row r="167" spans="2:8" ht="15" customHeight="1">
      <c r="B167" s="915"/>
      <c r="C167" s="873"/>
      <c r="D167" s="873"/>
      <c r="E167" s="873"/>
      <c r="F167" s="873"/>
      <c r="G167" s="873"/>
      <c r="H167" s="873"/>
    </row>
    <row r="168" spans="2:8" ht="15" customHeight="1">
      <c r="B168" s="915"/>
      <c r="C168" s="873"/>
      <c r="D168" s="873"/>
      <c r="E168" s="873"/>
      <c r="F168" s="873"/>
      <c r="G168" s="873"/>
      <c r="H168" s="873"/>
    </row>
    <row r="169" spans="2:8" ht="15" customHeight="1">
      <c r="B169" s="915"/>
      <c r="C169" s="873"/>
      <c r="D169" s="873"/>
      <c r="E169" s="873"/>
      <c r="F169" s="873"/>
      <c r="G169" s="873"/>
      <c r="H169" s="873"/>
    </row>
    <row r="170" spans="2:8" ht="15" customHeight="1">
      <c r="B170" s="915"/>
      <c r="C170" s="873"/>
      <c r="D170" s="873"/>
      <c r="E170" s="873"/>
      <c r="F170" s="873"/>
      <c r="G170" s="873"/>
      <c r="H170" s="873"/>
    </row>
    <row r="171" spans="2:8" ht="15" customHeight="1">
      <c r="B171" s="915"/>
      <c r="C171" s="873"/>
      <c r="D171" s="873"/>
      <c r="E171" s="873"/>
      <c r="F171" s="873"/>
      <c r="G171" s="873"/>
      <c r="H171" s="873"/>
    </row>
    <row r="172" spans="2:8" ht="15" customHeight="1">
      <c r="B172" s="915"/>
      <c r="C172" s="873"/>
      <c r="D172" s="873"/>
      <c r="E172" s="873"/>
      <c r="F172" s="873"/>
      <c r="G172" s="873"/>
      <c r="H172" s="873"/>
    </row>
    <row r="173" spans="2:8" ht="15" customHeight="1">
      <c r="B173" s="915"/>
      <c r="C173" s="873"/>
      <c r="D173" s="873"/>
      <c r="E173" s="873"/>
      <c r="F173" s="873"/>
      <c r="G173" s="873"/>
      <c r="H173" s="873"/>
    </row>
    <row r="174" spans="2:8" ht="15" customHeight="1">
      <c r="B174" s="915"/>
      <c r="C174" s="873"/>
      <c r="D174" s="873"/>
      <c r="E174" s="873"/>
      <c r="F174" s="873"/>
      <c r="G174" s="873"/>
      <c r="H174" s="873"/>
    </row>
    <row r="175" spans="2:8" ht="15" customHeight="1">
      <c r="B175" s="915"/>
      <c r="C175" s="873"/>
      <c r="D175" s="873"/>
      <c r="E175" s="873"/>
      <c r="F175" s="873"/>
      <c r="G175" s="873"/>
      <c r="H175" s="873"/>
    </row>
    <row r="176" spans="2:8" ht="15" customHeight="1">
      <c r="B176" s="915"/>
      <c r="C176" s="873"/>
      <c r="D176" s="873"/>
      <c r="E176" s="873"/>
      <c r="F176" s="873"/>
      <c r="G176" s="873"/>
      <c r="H176" s="873"/>
    </row>
    <row r="177" spans="2:8" ht="15" customHeight="1">
      <c r="B177" s="915"/>
      <c r="C177" s="873"/>
      <c r="D177" s="873"/>
      <c r="E177" s="873"/>
      <c r="F177" s="873"/>
      <c r="G177" s="873"/>
      <c r="H177" s="873"/>
    </row>
    <row r="178" spans="2:8" ht="15" customHeight="1">
      <c r="B178" s="915"/>
      <c r="C178" s="873"/>
      <c r="D178" s="873"/>
      <c r="E178" s="873"/>
      <c r="F178" s="873"/>
      <c r="G178" s="873"/>
      <c r="H178" s="873"/>
    </row>
    <row r="179" spans="2:8" ht="15" customHeight="1">
      <c r="B179" s="915"/>
      <c r="C179" s="873"/>
      <c r="D179" s="873"/>
      <c r="E179" s="873"/>
      <c r="F179" s="873"/>
      <c r="G179" s="873"/>
      <c r="H179" s="873"/>
    </row>
    <row r="180" spans="2:8" ht="15" customHeight="1">
      <c r="B180" s="915"/>
      <c r="C180" s="873"/>
      <c r="D180" s="873"/>
      <c r="E180" s="873"/>
      <c r="F180" s="873"/>
      <c r="G180" s="873"/>
      <c r="H180" s="873"/>
    </row>
    <row r="181" spans="2:8" ht="15" customHeight="1">
      <c r="B181" s="915"/>
      <c r="C181" s="873"/>
      <c r="D181" s="873"/>
      <c r="E181" s="873"/>
      <c r="F181" s="873"/>
      <c r="G181" s="873"/>
      <c r="H181" s="873"/>
    </row>
    <row r="182" spans="2:8" ht="15" customHeight="1">
      <c r="B182" s="915"/>
      <c r="C182" s="873"/>
      <c r="D182" s="873"/>
      <c r="E182" s="873"/>
      <c r="F182" s="873"/>
      <c r="G182" s="873"/>
      <c r="H182" s="873"/>
    </row>
    <row r="183" spans="2:8" ht="15" customHeight="1">
      <c r="B183" s="915"/>
      <c r="C183" s="873"/>
      <c r="D183" s="873"/>
      <c r="E183" s="873"/>
      <c r="F183" s="873"/>
      <c r="G183" s="873"/>
      <c r="H183" s="873"/>
    </row>
    <row r="184" spans="2:8" ht="15" customHeight="1">
      <c r="B184" s="915"/>
      <c r="C184" s="873"/>
      <c r="D184" s="873"/>
      <c r="E184" s="873"/>
      <c r="F184" s="873"/>
      <c r="G184" s="873"/>
      <c r="H184" s="873"/>
    </row>
    <row r="185" spans="2:8" ht="15" customHeight="1">
      <c r="B185" s="915"/>
      <c r="C185" s="873"/>
      <c r="D185" s="873"/>
      <c r="E185" s="873"/>
      <c r="F185" s="873"/>
      <c r="G185" s="873"/>
      <c r="H185" s="873"/>
    </row>
    <row r="186" spans="2:8" ht="15" customHeight="1">
      <c r="B186" s="915"/>
      <c r="C186" s="873"/>
      <c r="D186" s="873"/>
      <c r="E186" s="873"/>
      <c r="F186" s="873"/>
      <c r="G186" s="873"/>
      <c r="H186" s="873"/>
    </row>
    <row r="187" spans="2:8" ht="15" customHeight="1">
      <c r="B187" s="915"/>
      <c r="C187" s="873"/>
      <c r="D187" s="873"/>
      <c r="E187" s="873"/>
      <c r="F187" s="873"/>
      <c r="G187" s="873"/>
      <c r="H187" s="873"/>
    </row>
    <row r="188" spans="2:8" ht="15" customHeight="1">
      <c r="B188" s="915"/>
      <c r="C188" s="873"/>
      <c r="D188" s="873"/>
      <c r="E188" s="873"/>
      <c r="F188" s="873"/>
      <c r="G188" s="873"/>
      <c r="H188" s="873"/>
    </row>
    <row r="189" spans="2:8" ht="15" customHeight="1">
      <c r="B189" s="915"/>
      <c r="C189" s="873"/>
      <c r="D189" s="873"/>
      <c r="E189" s="873"/>
      <c r="F189" s="873"/>
      <c r="G189" s="873"/>
      <c r="H189" s="873"/>
    </row>
    <row r="190" spans="2:8" ht="15" customHeight="1">
      <c r="B190" s="915"/>
      <c r="C190" s="873"/>
      <c r="D190" s="873"/>
      <c r="E190" s="873"/>
      <c r="F190" s="873"/>
      <c r="G190" s="873"/>
      <c r="H190" s="873"/>
    </row>
    <row r="191" spans="2:8" ht="15" customHeight="1">
      <c r="B191" s="915"/>
      <c r="C191" s="873"/>
      <c r="D191" s="873"/>
      <c r="E191" s="873"/>
      <c r="F191" s="873"/>
      <c r="G191" s="873"/>
      <c r="H191" s="873"/>
    </row>
    <row r="192" spans="2:8" ht="15" customHeight="1">
      <c r="B192" s="915"/>
      <c r="C192" s="873"/>
      <c r="D192" s="873"/>
      <c r="E192" s="873"/>
      <c r="F192" s="873"/>
      <c r="G192" s="873"/>
      <c r="H192" s="873"/>
    </row>
    <row r="193" spans="2:8" ht="15" customHeight="1">
      <c r="B193" s="915"/>
      <c r="C193" s="873"/>
      <c r="D193" s="873"/>
      <c r="E193" s="873"/>
      <c r="F193" s="873"/>
      <c r="G193" s="873"/>
      <c r="H193" s="873"/>
    </row>
    <row r="194" spans="2:8" ht="15" customHeight="1">
      <c r="B194" s="915"/>
      <c r="C194" s="873"/>
      <c r="D194" s="873"/>
      <c r="E194" s="873"/>
      <c r="F194" s="873"/>
      <c r="G194" s="873"/>
      <c r="H194" s="873"/>
    </row>
    <row r="195" spans="2:8" ht="15" customHeight="1">
      <c r="B195" s="915"/>
      <c r="C195" s="873"/>
      <c r="D195" s="873"/>
      <c r="E195" s="873"/>
      <c r="F195" s="873"/>
      <c r="G195" s="873"/>
      <c r="H195" s="873"/>
    </row>
    <row r="196" spans="2:8" ht="15" customHeight="1">
      <c r="B196" s="915"/>
      <c r="C196" s="873"/>
      <c r="D196" s="873"/>
      <c r="E196" s="873"/>
      <c r="F196" s="873"/>
      <c r="G196" s="873"/>
      <c r="H196" s="873"/>
    </row>
    <row r="197" spans="2:8" ht="15" customHeight="1">
      <c r="B197" s="915"/>
      <c r="C197" s="873"/>
      <c r="D197" s="873"/>
      <c r="E197" s="873"/>
      <c r="F197" s="873"/>
      <c r="G197" s="873"/>
      <c r="H197" s="873"/>
    </row>
    <row r="198" spans="2:8" ht="15" customHeight="1">
      <c r="B198" s="915"/>
      <c r="C198" s="873"/>
      <c r="D198" s="873"/>
      <c r="E198" s="873"/>
      <c r="F198" s="873"/>
      <c r="G198" s="873"/>
      <c r="H198" s="873"/>
    </row>
    <row r="199" spans="2:8" ht="15" customHeight="1">
      <c r="B199" s="915"/>
      <c r="C199" s="873"/>
      <c r="D199" s="873"/>
      <c r="E199" s="873"/>
      <c r="F199" s="873"/>
      <c r="G199" s="873"/>
      <c r="H199" s="873"/>
    </row>
    <row r="200" spans="2:8" ht="15" customHeight="1">
      <c r="B200" s="915"/>
      <c r="C200" s="873"/>
      <c r="D200" s="873"/>
      <c r="E200" s="873"/>
      <c r="F200" s="873"/>
      <c r="G200" s="873"/>
      <c r="H200" s="873"/>
    </row>
    <row r="201" spans="2:8" ht="15" customHeight="1">
      <c r="B201" s="915"/>
      <c r="C201" s="873"/>
      <c r="D201" s="873"/>
      <c r="E201" s="873"/>
      <c r="F201" s="873"/>
      <c r="G201" s="873"/>
      <c r="H201" s="873"/>
    </row>
    <row r="202" spans="2:8" ht="15" customHeight="1">
      <c r="B202" s="915"/>
      <c r="C202" s="873"/>
      <c r="D202" s="873"/>
      <c r="E202" s="873"/>
      <c r="F202" s="873"/>
      <c r="G202" s="873"/>
      <c r="H202" s="873"/>
    </row>
    <row r="203" spans="2:8" ht="15" customHeight="1">
      <c r="B203" s="915"/>
      <c r="C203" s="873"/>
      <c r="D203" s="873"/>
      <c r="E203" s="873"/>
      <c r="F203" s="873"/>
      <c r="G203" s="873"/>
      <c r="H203" s="873"/>
    </row>
    <row r="204" spans="2:8" ht="15" customHeight="1">
      <c r="B204" s="915"/>
      <c r="C204" s="873"/>
      <c r="D204" s="873"/>
      <c r="E204" s="873"/>
      <c r="F204" s="873"/>
      <c r="G204" s="873"/>
      <c r="H204" s="873"/>
    </row>
    <row r="205" spans="2:8" ht="15" customHeight="1">
      <c r="B205" s="915"/>
      <c r="C205" s="873"/>
      <c r="D205" s="873"/>
      <c r="E205" s="873"/>
      <c r="F205" s="873"/>
      <c r="G205" s="873"/>
      <c r="H205" s="873"/>
    </row>
    <row r="206" spans="2:8" ht="15" customHeight="1">
      <c r="B206" s="915"/>
      <c r="C206" s="873"/>
      <c r="D206" s="873"/>
      <c r="E206" s="873"/>
      <c r="F206" s="873"/>
      <c r="G206" s="873"/>
      <c r="H206" s="873"/>
    </row>
    <row r="207" spans="2:8" ht="15" customHeight="1">
      <c r="B207" s="915"/>
      <c r="C207" s="873"/>
      <c r="D207" s="873"/>
      <c r="E207" s="873"/>
      <c r="F207" s="873"/>
      <c r="G207" s="873"/>
      <c r="H207" s="873"/>
    </row>
    <row r="208" spans="2:8" ht="15" customHeight="1">
      <c r="B208" s="915"/>
      <c r="C208" s="873"/>
      <c r="D208" s="873"/>
      <c r="E208" s="873"/>
      <c r="F208" s="873"/>
      <c r="G208" s="873"/>
      <c r="H208" s="873"/>
    </row>
    <row r="209" spans="2:8" ht="15" customHeight="1">
      <c r="B209" s="915"/>
      <c r="C209" s="873"/>
      <c r="D209" s="873"/>
      <c r="E209" s="873"/>
      <c r="F209" s="873"/>
      <c r="G209" s="873"/>
      <c r="H209" s="873"/>
    </row>
    <row r="210" spans="2:8" ht="15" customHeight="1">
      <c r="B210" s="915"/>
      <c r="C210" s="873"/>
      <c r="D210" s="873"/>
      <c r="E210" s="873"/>
      <c r="F210" s="873"/>
      <c r="G210" s="873"/>
      <c r="H210" s="873"/>
    </row>
    <row r="211" spans="2:8" ht="15" customHeight="1">
      <c r="B211" s="915"/>
      <c r="C211" s="873"/>
      <c r="D211" s="873"/>
      <c r="E211" s="873"/>
      <c r="F211" s="873"/>
      <c r="G211" s="873"/>
      <c r="H211" s="873"/>
    </row>
    <row r="212" spans="2:8" ht="15" customHeight="1">
      <c r="B212" s="915"/>
      <c r="C212" s="873"/>
      <c r="D212" s="873"/>
      <c r="E212" s="873"/>
      <c r="F212" s="873"/>
      <c r="G212" s="873"/>
      <c r="H212" s="873"/>
    </row>
    <row r="213" spans="2:8" ht="15" customHeight="1">
      <c r="B213" s="915"/>
      <c r="C213" s="873"/>
      <c r="D213" s="873"/>
      <c r="E213" s="873"/>
      <c r="F213" s="873"/>
      <c r="G213" s="873"/>
      <c r="H213" s="873"/>
    </row>
    <row r="214" spans="2:8" ht="15" customHeight="1">
      <c r="B214" s="915"/>
      <c r="C214" s="873"/>
      <c r="D214" s="873"/>
      <c r="E214" s="873"/>
      <c r="F214" s="873"/>
      <c r="G214" s="873"/>
      <c r="H214" s="873"/>
    </row>
    <row r="215" spans="2:8" ht="15" customHeight="1">
      <c r="B215" s="915"/>
      <c r="C215" s="873"/>
      <c r="D215" s="873"/>
      <c r="E215" s="873"/>
      <c r="F215" s="873"/>
      <c r="G215" s="873"/>
      <c r="H215" s="873"/>
    </row>
    <row r="216" spans="2:8" ht="15" customHeight="1">
      <c r="B216" s="887"/>
      <c r="C216" s="875"/>
      <c r="D216" s="875"/>
      <c r="E216" s="875"/>
      <c r="F216" s="875"/>
      <c r="G216" s="875"/>
      <c r="H216" s="875"/>
    </row>
    <row r="217" spans="2:8" ht="15" customHeight="1">
      <c r="B217" s="887"/>
      <c r="C217" s="875"/>
      <c r="D217" s="875"/>
      <c r="E217" s="875"/>
      <c r="F217" s="875"/>
      <c r="G217" s="875"/>
      <c r="H217" s="875"/>
    </row>
    <row r="218" spans="2:8" ht="15" customHeight="1">
      <c r="B218" s="887"/>
      <c r="C218" s="875"/>
      <c r="D218" s="875"/>
      <c r="E218" s="875"/>
      <c r="F218" s="875"/>
      <c r="G218" s="875"/>
      <c r="H218" s="875"/>
    </row>
    <row r="219" spans="2:8" ht="15" customHeight="1">
      <c r="B219" s="887"/>
      <c r="C219" s="875"/>
      <c r="D219" s="875"/>
      <c r="E219" s="875"/>
      <c r="F219" s="875"/>
      <c r="G219" s="875"/>
      <c r="H219" s="875"/>
    </row>
    <row r="220" spans="2:8" ht="15" customHeight="1">
      <c r="B220" s="887"/>
      <c r="C220" s="875"/>
      <c r="D220" s="875"/>
      <c r="E220" s="875"/>
      <c r="F220" s="875"/>
      <c r="G220" s="875"/>
      <c r="H220" s="875"/>
    </row>
    <row r="221" spans="2:8" ht="15" customHeight="1">
      <c r="B221" s="887"/>
      <c r="C221" s="875"/>
      <c r="D221" s="875"/>
      <c r="E221" s="875"/>
      <c r="F221" s="875"/>
      <c r="G221" s="875"/>
      <c r="H221" s="875"/>
    </row>
    <row r="222" spans="2:8" ht="15" customHeight="1">
      <c r="B222" s="887"/>
      <c r="C222" s="875"/>
      <c r="D222" s="875"/>
      <c r="E222" s="875"/>
      <c r="F222" s="875"/>
      <c r="G222" s="875"/>
      <c r="H222" s="875"/>
    </row>
    <row r="223" spans="2:8" ht="15" customHeight="1">
      <c r="B223" s="887"/>
      <c r="C223" s="875"/>
      <c r="D223" s="875"/>
      <c r="E223" s="875"/>
      <c r="F223" s="875"/>
      <c r="G223" s="875"/>
      <c r="H223" s="875"/>
    </row>
    <row r="224" spans="2:8" ht="15" customHeight="1">
      <c r="B224" s="887"/>
      <c r="C224" s="875"/>
      <c r="D224" s="875"/>
      <c r="E224" s="875"/>
      <c r="F224" s="875"/>
      <c r="G224" s="875"/>
      <c r="H224" s="875"/>
    </row>
    <row r="225" spans="2:8" ht="15" customHeight="1">
      <c r="B225" s="887"/>
      <c r="C225" s="875"/>
      <c r="D225" s="875"/>
      <c r="E225" s="875"/>
      <c r="F225" s="875"/>
      <c r="G225" s="875"/>
      <c r="H225" s="875"/>
    </row>
    <row r="226" spans="2:8" ht="15" customHeight="1">
      <c r="B226" s="887"/>
      <c r="C226" s="875"/>
      <c r="D226" s="875"/>
      <c r="E226" s="875"/>
      <c r="F226" s="875"/>
      <c r="G226" s="875"/>
      <c r="H226" s="875"/>
    </row>
    <row r="227" spans="2:8" ht="15" customHeight="1">
      <c r="B227" s="887"/>
      <c r="C227" s="875"/>
      <c r="D227" s="875"/>
      <c r="E227" s="875"/>
      <c r="F227" s="875"/>
      <c r="G227" s="875"/>
      <c r="H227" s="875"/>
    </row>
    <row r="228" spans="2:8" ht="15" customHeight="1">
      <c r="B228" s="887"/>
      <c r="C228" s="875"/>
      <c r="D228" s="875"/>
      <c r="E228" s="875"/>
      <c r="F228" s="875"/>
      <c r="G228" s="875"/>
      <c r="H228" s="875"/>
    </row>
    <row r="229" spans="2:8" ht="15" customHeight="1">
      <c r="B229" s="887"/>
      <c r="C229" s="875"/>
      <c r="D229" s="875"/>
      <c r="E229" s="875"/>
      <c r="F229" s="875"/>
      <c r="G229" s="875"/>
      <c r="H229" s="875"/>
    </row>
    <row r="230" spans="2:8" ht="15" customHeight="1">
      <c r="B230" s="887"/>
      <c r="C230" s="875"/>
      <c r="D230" s="875"/>
      <c r="E230" s="875"/>
      <c r="F230" s="875"/>
      <c r="G230" s="875"/>
      <c r="H230" s="875"/>
    </row>
    <row r="231" spans="2:8" ht="15" customHeight="1">
      <c r="B231" s="887"/>
      <c r="C231" s="875"/>
      <c r="D231" s="875"/>
      <c r="E231" s="875"/>
      <c r="F231" s="875"/>
      <c r="G231" s="875"/>
      <c r="H231" s="875"/>
    </row>
    <row r="232" spans="2:8" ht="15" customHeight="1">
      <c r="B232" s="887"/>
      <c r="C232" s="875"/>
      <c r="D232" s="875"/>
      <c r="E232" s="875"/>
      <c r="F232" s="875"/>
      <c r="G232" s="875"/>
      <c r="H232" s="875"/>
    </row>
    <row r="233" spans="2:8" ht="15" customHeight="1">
      <c r="B233" s="887"/>
      <c r="C233" s="875"/>
      <c r="D233" s="875"/>
      <c r="E233" s="875"/>
      <c r="F233" s="875"/>
      <c r="G233" s="875"/>
      <c r="H233" s="875"/>
    </row>
    <row r="234" spans="2:8" ht="15" customHeight="1">
      <c r="B234" s="887"/>
      <c r="C234" s="875"/>
      <c r="D234" s="875"/>
      <c r="E234" s="875"/>
      <c r="F234" s="875"/>
      <c r="G234" s="875"/>
      <c r="H234" s="875"/>
    </row>
    <row r="235" spans="2:8" ht="15" customHeight="1">
      <c r="B235" s="887"/>
      <c r="C235" s="875"/>
      <c r="D235" s="875"/>
      <c r="E235" s="875"/>
      <c r="F235" s="875"/>
      <c r="G235" s="875"/>
      <c r="H235" s="875"/>
    </row>
    <row r="236" spans="2:8" ht="15" customHeight="1">
      <c r="B236" s="887"/>
      <c r="C236" s="875"/>
      <c r="D236" s="875"/>
      <c r="E236" s="875"/>
      <c r="F236" s="875"/>
      <c r="G236" s="875"/>
      <c r="H236" s="875"/>
    </row>
    <row r="237" spans="2:8" ht="15" customHeight="1">
      <c r="B237" s="887"/>
      <c r="C237" s="875"/>
      <c r="D237" s="875"/>
      <c r="E237" s="875"/>
      <c r="F237" s="875"/>
      <c r="G237" s="875"/>
      <c r="H237" s="875"/>
    </row>
    <row r="238" spans="2:8" ht="15" customHeight="1">
      <c r="B238" s="887"/>
      <c r="C238" s="875"/>
      <c r="D238" s="875"/>
      <c r="E238" s="875"/>
      <c r="F238" s="875"/>
      <c r="G238" s="875"/>
      <c r="H238" s="875"/>
    </row>
    <row r="239" spans="2:8" ht="15" customHeight="1">
      <c r="B239" s="887"/>
      <c r="C239" s="875"/>
      <c r="D239" s="875"/>
      <c r="E239" s="875"/>
      <c r="F239" s="875"/>
      <c r="G239" s="875"/>
      <c r="H239" s="875"/>
    </row>
    <row r="240" spans="2:8" ht="15" customHeight="1">
      <c r="B240" s="887"/>
      <c r="C240" s="875"/>
      <c r="D240" s="875"/>
      <c r="E240" s="875"/>
      <c r="F240" s="875"/>
      <c r="G240" s="875"/>
      <c r="H240" s="875"/>
    </row>
    <row r="241" spans="2:8" ht="15" customHeight="1">
      <c r="B241" s="887"/>
      <c r="C241" s="875"/>
      <c r="D241" s="875"/>
      <c r="E241" s="875"/>
      <c r="F241" s="875"/>
      <c r="G241" s="875"/>
      <c r="H241" s="875"/>
    </row>
    <row r="242" spans="2:8" ht="15" customHeight="1">
      <c r="B242" s="887"/>
      <c r="C242" s="875"/>
      <c r="D242" s="875"/>
      <c r="E242" s="875"/>
      <c r="F242" s="875"/>
      <c r="G242" s="875"/>
      <c r="H242" s="875"/>
    </row>
    <row r="243" spans="2:8" ht="15" customHeight="1">
      <c r="B243" s="887"/>
      <c r="C243" s="875"/>
      <c r="D243" s="875"/>
      <c r="E243" s="875"/>
      <c r="F243" s="875"/>
      <c r="G243" s="875"/>
      <c r="H243" s="875"/>
    </row>
    <row r="244" spans="2:8" ht="15" customHeight="1">
      <c r="B244" s="887"/>
      <c r="C244" s="875"/>
      <c r="D244" s="875"/>
      <c r="E244" s="875"/>
      <c r="F244" s="875"/>
      <c r="G244" s="875"/>
      <c r="H244" s="875"/>
    </row>
    <row r="245" spans="2:8" ht="15" customHeight="1">
      <c r="B245" s="887"/>
      <c r="C245" s="875"/>
      <c r="D245" s="875"/>
      <c r="E245" s="875"/>
      <c r="F245" s="875"/>
      <c r="G245" s="875"/>
      <c r="H245" s="875"/>
    </row>
    <row r="246" spans="2:8" ht="15" customHeight="1">
      <c r="B246" s="887"/>
      <c r="C246" s="875"/>
      <c r="D246" s="875"/>
      <c r="E246" s="875"/>
      <c r="F246" s="875"/>
      <c r="G246" s="875"/>
      <c r="H246" s="875"/>
    </row>
    <row r="247" spans="2:8" ht="15" customHeight="1">
      <c r="B247" s="887"/>
      <c r="C247" s="875"/>
      <c r="D247" s="875"/>
      <c r="E247" s="875"/>
      <c r="F247" s="875"/>
      <c r="G247" s="875"/>
      <c r="H247" s="875"/>
    </row>
    <row r="248" spans="2:8" ht="15" customHeight="1">
      <c r="B248" s="887"/>
      <c r="C248" s="875"/>
      <c r="D248" s="875"/>
      <c r="E248" s="875"/>
      <c r="F248" s="875"/>
      <c r="G248" s="875"/>
      <c r="H248" s="875"/>
    </row>
    <row r="249" spans="2:8" ht="15" customHeight="1">
      <c r="B249" s="887"/>
      <c r="C249" s="875"/>
      <c r="D249" s="875"/>
      <c r="E249" s="875"/>
      <c r="F249" s="875"/>
      <c r="G249" s="875"/>
      <c r="H249" s="875"/>
    </row>
    <row r="250" spans="2:8" ht="15" customHeight="1">
      <c r="B250" s="887"/>
      <c r="C250" s="875"/>
      <c r="D250" s="875"/>
      <c r="E250" s="875"/>
      <c r="F250" s="875"/>
      <c r="G250" s="875"/>
      <c r="H250" s="875"/>
    </row>
    <row r="251" spans="2:8" ht="15" customHeight="1">
      <c r="B251" s="887"/>
      <c r="C251" s="875"/>
      <c r="D251" s="875"/>
      <c r="E251" s="875"/>
      <c r="F251" s="875"/>
      <c r="G251" s="875"/>
      <c r="H251" s="875"/>
    </row>
    <row r="252" spans="2:8" ht="15" customHeight="1">
      <c r="B252" s="887"/>
      <c r="C252" s="875"/>
      <c r="D252" s="875"/>
      <c r="E252" s="875"/>
      <c r="F252" s="875"/>
      <c r="G252" s="875"/>
      <c r="H252" s="875"/>
    </row>
    <row r="253" spans="2:8" ht="15" customHeight="1">
      <c r="B253" s="887"/>
      <c r="C253" s="875"/>
      <c r="D253" s="875"/>
      <c r="E253" s="875"/>
      <c r="F253" s="875"/>
      <c r="G253" s="875"/>
      <c r="H253" s="875"/>
    </row>
    <row r="254" spans="2:8" ht="15" customHeight="1">
      <c r="B254" s="887"/>
      <c r="C254" s="875"/>
      <c r="D254" s="875"/>
      <c r="E254" s="875"/>
      <c r="F254" s="875"/>
      <c r="G254" s="875"/>
      <c r="H254" s="875"/>
    </row>
    <row r="255" spans="2:8" ht="15" customHeight="1">
      <c r="B255" s="887"/>
      <c r="C255" s="875"/>
      <c r="D255" s="875"/>
      <c r="E255" s="875"/>
      <c r="F255" s="875"/>
      <c r="G255" s="875"/>
      <c r="H255" s="875"/>
    </row>
    <row r="256" spans="2:8" ht="15" customHeight="1">
      <c r="B256" s="887"/>
      <c r="C256" s="875"/>
      <c r="D256" s="875"/>
      <c r="E256" s="875"/>
      <c r="F256" s="875"/>
      <c r="G256" s="875"/>
      <c r="H256" s="875"/>
    </row>
    <row r="257" spans="2:8" ht="15" customHeight="1">
      <c r="B257" s="887"/>
      <c r="C257" s="875"/>
      <c r="D257" s="875"/>
      <c r="E257" s="875"/>
      <c r="F257" s="875"/>
      <c r="G257" s="875"/>
      <c r="H257" s="875"/>
    </row>
    <row r="258" spans="2:8" ht="15" customHeight="1">
      <c r="B258" s="887"/>
      <c r="C258" s="875"/>
      <c r="D258" s="875"/>
      <c r="E258" s="875"/>
      <c r="F258" s="875"/>
      <c r="G258" s="875"/>
      <c r="H258" s="875"/>
    </row>
    <row r="259" spans="2:8" ht="15" customHeight="1">
      <c r="B259" s="887"/>
      <c r="C259" s="875"/>
      <c r="D259" s="875"/>
      <c r="E259" s="875"/>
      <c r="F259" s="875"/>
      <c r="G259" s="875"/>
      <c r="H259" s="875"/>
    </row>
    <row r="260" spans="2:8" ht="15" customHeight="1">
      <c r="B260" s="887"/>
      <c r="C260" s="875"/>
      <c r="D260" s="875"/>
      <c r="E260" s="875"/>
      <c r="F260" s="875"/>
      <c r="G260" s="875"/>
      <c r="H260" s="875"/>
    </row>
    <row r="261" spans="2:8" ht="15" customHeight="1">
      <c r="B261" s="887"/>
      <c r="C261" s="875"/>
      <c r="D261" s="875"/>
      <c r="E261" s="875"/>
      <c r="F261" s="875"/>
      <c r="G261" s="875"/>
      <c r="H261" s="875"/>
    </row>
    <row r="262" spans="2:8" ht="15" customHeight="1">
      <c r="B262" s="887"/>
      <c r="C262" s="875"/>
      <c r="D262" s="875"/>
      <c r="E262" s="875"/>
      <c r="F262" s="875"/>
      <c r="G262" s="875"/>
      <c r="H262" s="875"/>
    </row>
    <row r="263" spans="2:8" ht="15" customHeight="1">
      <c r="B263" s="887"/>
      <c r="C263" s="875"/>
      <c r="D263" s="875"/>
      <c r="E263" s="875"/>
      <c r="F263" s="875"/>
      <c r="G263" s="875"/>
      <c r="H263" s="875"/>
    </row>
    <row r="264" spans="2:8" ht="15" customHeight="1">
      <c r="B264" s="887"/>
      <c r="C264" s="875"/>
      <c r="D264" s="875"/>
      <c r="E264" s="875"/>
      <c r="F264" s="875"/>
      <c r="G264" s="875"/>
      <c r="H264" s="875"/>
    </row>
    <row r="265" spans="2:8" ht="15" customHeight="1">
      <c r="B265" s="887"/>
      <c r="C265" s="875"/>
      <c r="D265" s="875"/>
      <c r="E265" s="875"/>
      <c r="F265" s="875"/>
      <c r="G265" s="875"/>
      <c r="H265" s="875"/>
    </row>
    <row r="266" spans="2:8" ht="15" customHeight="1">
      <c r="B266" s="887"/>
      <c r="C266" s="875"/>
      <c r="D266" s="875"/>
      <c r="E266" s="875"/>
      <c r="F266" s="875"/>
      <c r="G266" s="875"/>
      <c r="H266" s="875"/>
    </row>
    <row r="267" spans="2:8" ht="15" customHeight="1">
      <c r="B267" s="887"/>
      <c r="C267" s="875"/>
      <c r="D267" s="875"/>
      <c r="E267" s="875"/>
      <c r="F267" s="875"/>
      <c r="G267" s="875"/>
      <c r="H267" s="875"/>
    </row>
    <row r="268" spans="2:8" ht="15" customHeight="1">
      <c r="B268" s="887"/>
      <c r="C268" s="875"/>
      <c r="D268" s="875"/>
      <c r="E268" s="875"/>
      <c r="F268" s="875"/>
      <c r="G268" s="875"/>
      <c r="H268" s="875"/>
    </row>
    <row r="269" spans="2:8" ht="15" customHeight="1">
      <c r="B269" s="887"/>
      <c r="C269" s="875"/>
      <c r="D269" s="875"/>
      <c r="E269" s="875"/>
      <c r="F269" s="875"/>
      <c r="G269" s="875"/>
      <c r="H269" s="875"/>
    </row>
    <row r="270" spans="2:8" ht="15" customHeight="1">
      <c r="B270" s="887"/>
      <c r="C270" s="875"/>
      <c r="D270" s="875"/>
      <c r="E270" s="875"/>
      <c r="F270" s="875"/>
      <c r="G270" s="875"/>
      <c r="H270" s="875"/>
    </row>
    <row r="271" spans="2:8" ht="15" customHeight="1">
      <c r="B271" s="887"/>
      <c r="C271" s="875"/>
      <c r="D271" s="875"/>
      <c r="E271" s="875"/>
      <c r="F271" s="875"/>
      <c r="G271" s="875"/>
      <c r="H271" s="875"/>
    </row>
    <row r="272" spans="2:8" ht="15" customHeight="1">
      <c r="B272" s="887"/>
      <c r="C272" s="875"/>
      <c r="D272" s="875"/>
      <c r="E272" s="875"/>
      <c r="F272" s="875"/>
      <c r="G272" s="875"/>
      <c r="H272" s="875"/>
    </row>
    <row r="273" spans="2:8" ht="15" customHeight="1">
      <c r="B273" s="887"/>
      <c r="C273" s="875"/>
      <c r="D273" s="875"/>
      <c r="E273" s="875"/>
      <c r="F273" s="875"/>
      <c r="G273" s="875"/>
      <c r="H273" s="875"/>
    </row>
    <row r="274" spans="2:8" ht="15" customHeight="1">
      <c r="B274" s="887"/>
      <c r="C274" s="875"/>
      <c r="D274" s="875"/>
      <c r="E274" s="875"/>
      <c r="F274" s="875"/>
      <c r="G274" s="875"/>
      <c r="H274" s="875"/>
    </row>
    <row r="275" spans="2:8" ht="15" customHeight="1">
      <c r="B275" s="887"/>
      <c r="C275" s="875"/>
      <c r="D275" s="875"/>
      <c r="E275" s="875"/>
      <c r="F275" s="875"/>
      <c r="G275" s="875"/>
      <c r="H275" s="875"/>
    </row>
    <row r="276" spans="2:8" ht="15" customHeight="1">
      <c r="B276" s="887"/>
      <c r="C276" s="875"/>
      <c r="D276" s="875"/>
      <c r="E276" s="875"/>
      <c r="F276" s="875"/>
      <c r="G276" s="875"/>
      <c r="H276" s="875"/>
    </row>
    <row r="277" spans="2:8" ht="15" customHeight="1">
      <c r="B277" s="887"/>
      <c r="C277" s="875"/>
      <c r="D277" s="875"/>
      <c r="E277" s="875"/>
      <c r="F277" s="875"/>
      <c r="G277" s="875"/>
      <c r="H277" s="875"/>
    </row>
    <row r="278" spans="2:8" ht="15" customHeight="1">
      <c r="B278" s="887"/>
      <c r="C278" s="875"/>
      <c r="D278" s="875"/>
      <c r="E278" s="875"/>
      <c r="F278" s="875"/>
      <c r="G278" s="875"/>
      <c r="H278" s="875"/>
    </row>
    <row r="279" spans="2:8" ht="15" customHeight="1">
      <c r="B279" s="887"/>
      <c r="C279" s="875"/>
      <c r="D279" s="875"/>
      <c r="E279" s="875"/>
      <c r="F279" s="875"/>
      <c r="G279" s="875"/>
      <c r="H279" s="875"/>
    </row>
    <row r="280" spans="2:8" ht="15" customHeight="1">
      <c r="B280" s="887"/>
      <c r="C280" s="875"/>
      <c r="D280" s="875"/>
      <c r="E280" s="875"/>
      <c r="F280" s="875"/>
      <c r="G280" s="875"/>
      <c r="H280" s="875"/>
    </row>
    <row r="281" spans="2:8" ht="15" customHeight="1">
      <c r="B281" s="887"/>
      <c r="C281" s="875"/>
      <c r="D281" s="875"/>
      <c r="E281" s="875"/>
      <c r="F281" s="875"/>
      <c r="G281" s="875"/>
      <c r="H281" s="875"/>
    </row>
    <row r="282" spans="2:8" ht="15" customHeight="1">
      <c r="B282" s="887"/>
      <c r="C282" s="875"/>
      <c r="D282" s="875"/>
      <c r="E282" s="875"/>
      <c r="F282" s="875"/>
      <c r="G282" s="875"/>
      <c r="H282" s="875"/>
    </row>
    <row r="283" spans="2:8" ht="15" customHeight="1">
      <c r="B283" s="887"/>
      <c r="C283" s="875"/>
      <c r="D283" s="875"/>
      <c r="E283" s="875"/>
      <c r="F283" s="875"/>
      <c r="G283" s="875"/>
      <c r="H283" s="875"/>
    </row>
    <row r="284" spans="2:8" ht="15" customHeight="1">
      <c r="B284" s="887"/>
      <c r="C284" s="875"/>
      <c r="D284" s="875"/>
      <c r="E284" s="875"/>
      <c r="F284" s="875"/>
      <c r="G284" s="875"/>
      <c r="H284" s="875"/>
    </row>
    <row r="285" spans="2:8" ht="15" customHeight="1">
      <c r="B285" s="887"/>
      <c r="C285" s="875"/>
      <c r="D285" s="875"/>
      <c r="E285" s="875"/>
      <c r="F285" s="875"/>
      <c r="G285" s="875"/>
      <c r="H285" s="875"/>
    </row>
    <row r="286" spans="2:8" ht="15" customHeight="1">
      <c r="B286" s="887"/>
      <c r="C286" s="875"/>
      <c r="D286" s="875"/>
      <c r="E286" s="875"/>
      <c r="F286" s="875"/>
      <c r="G286" s="875"/>
      <c r="H286" s="875"/>
    </row>
    <row r="287" spans="2:8" ht="15" customHeight="1">
      <c r="B287" s="887"/>
      <c r="C287" s="875"/>
      <c r="D287" s="875"/>
      <c r="E287" s="875"/>
      <c r="F287" s="875"/>
      <c r="G287" s="875"/>
      <c r="H287" s="875"/>
    </row>
    <row r="288" spans="2:8" ht="15" customHeight="1">
      <c r="B288" s="887"/>
      <c r="C288" s="875"/>
      <c r="D288" s="875"/>
      <c r="E288" s="875"/>
      <c r="F288" s="875"/>
      <c r="G288" s="875"/>
      <c r="H288" s="875"/>
    </row>
    <row r="289" spans="2:8" ht="15" customHeight="1">
      <c r="B289" s="887"/>
      <c r="C289" s="875"/>
      <c r="D289" s="875"/>
      <c r="E289" s="875"/>
      <c r="F289" s="875"/>
      <c r="G289" s="875"/>
      <c r="H289" s="875"/>
    </row>
    <row r="290" spans="2:8" ht="15" customHeight="1">
      <c r="B290" s="887"/>
      <c r="C290" s="875"/>
      <c r="D290" s="875"/>
      <c r="E290" s="875"/>
      <c r="F290" s="875"/>
      <c r="G290" s="875"/>
      <c r="H290" s="875"/>
    </row>
    <row r="291" spans="2:8" ht="15" customHeight="1">
      <c r="B291" s="887"/>
      <c r="C291" s="875"/>
      <c r="D291" s="875"/>
      <c r="E291" s="875"/>
      <c r="F291" s="875"/>
      <c r="G291" s="875"/>
      <c r="H291" s="875"/>
    </row>
    <row r="292" spans="2:8" ht="15" customHeight="1">
      <c r="B292" s="887"/>
      <c r="C292" s="875"/>
      <c r="D292" s="875"/>
      <c r="E292" s="875"/>
      <c r="F292" s="875"/>
      <c r="G292" s="875"/>
      <c r="H292" s="875"/>
    </row>
    <row r="293" spans="2:8" ht="15" customHeight="1">
      <c r="B293" s="887"/>
      <c r="C293" s="875"/>
      <c r="D293" s="875"/>
      <c r="E293" s="875"/>
      <c r="F293" s="875"/>
      <c r="G293" s="875"/>
      <c r="H293" s="875"/>
    </row>
    <row r="294" spans="2:8" ht="15" customHeight="1">
      <c r="B294" s="887"/>
      <c r="C294" s="875"/>
      <c r="D294" s="875"/>
      <c r="E294" s="875"/>
      <c r="F294" s="875"/>
      <c r="G294" s="875"/>
      <c r="H294" s="875"/>
    </row>
    <row r="295" spans="2:8" ht="15" customHeight="1">
      <c r="B295" s="887"/>
      <c r="C295" s="875"/>
      <c r="D295" s="875"/>
      <c r="E295" s="875"/>
      <c r="F295" s="875"/>
      <c r="G295" s="875"/>
      <c r="H295" s="875"/>
    </row>
    <row r="296" spans="2:8" ht="15" customHeight="1">
      <c r="B296" s="887"/>
      <c r="C296" s="875"/>
      <c r="D296" s="875"/>
      <c r="E296" s="875"/>
      <c r="F296" s="875"/>
      <c r="G296" s="875"/>
      <c r="H296" s="875"/>
    </row>
    <row r="297" spans="2:8" ht="15" customHeight="1">
      <c r="B297" s="887"/>
      <c r="C297" s="875"/>
      <c r="D297" s="875"/>
      <c r="E297" s="875"/>
      <c r="F297" s="875"/>
      <c r="G297" s="875"/>
      <c r="H297" s="875"/>
    </row>
    <row r="298" spans="2:8" ht="15" customHeight="1">
      <c r="B298" s="887"/>
      <c r="C298" s="875"/>
      <c r="D298" s="875"/>
      <c r="E298" s="875"/>
      <c r="F298" s="875"/>
      <c r="G298" s="875"/>
      <c r="H298" s="875"/>
    </row>
    <row r="299" spans="2:8" ht="15" customHeight="1">
      <c r="B299" s="887"/>
      <c r="C299" s="875"/>
      <c r="D299" s="875"/>
      <c r="E299" s="875"/>
      <c r="F299" s="875"/>
      <c r="G299" s="875"/>
      <c r="H299" s="875"/>
    </row>
    <row r="300" spans="2:8" ht="15" customHeight="1">
      <c r="B300" s="887"/>
      <c r="C300" s="875"/>
      <c r="D300" s="875"/>
      <c r="E300" s="875"/>
      <c r="F300" s="875"/>
      <c r="G300" s="875"/>
      <c r="H300" s="875"/>
    </row>
    <row r="301" spans="2:8" ht="15" customHeight="1">
      <c r="B301" s="887"/>
      <c r="C301" s="875"/>
      <c r="D301" s="875"/>
      <c r="E301" s="875"/>
      <c r="F301" s="875"/>
      <c r="G301" s="875"/>
      <c r="H301" s="875"/>
    </row>
    <row r="302" spans="2:8" ht="15" customHeight="1">
      <c r="B302" s="887"/>
      <c r="C302" s="875"/>
      <c r="D302" s="875"/>
      <c r="E302" s="875"/>
      <c r="F302" s="875"/>
      <c r="G302" s="875"/>
      <c r="H302" s="875"/>
    </row>
    <row r="303" spans="2:8" ht="15" customHeight="1">
      <c r="B303" s="887"/>
      <c r="C303" s="875"/>
      <c r="D303" s="875"/>
      <c r="E303" s="875"/>
      <c r="F303" s="875"/>
      <c r="G303" s="875"/>
      <c r="H303" s="875"/>
    </row>
    <row r="304" spans="2:8" ht="15" customHeight="1">
      <c r="B304" s="887"/>
      <c r="C304" s="875"/>
      <c r="D304" s="875"/>
      <c r="E304" s="875"/>
      <c r="F304" s="875"/>
      <c r="G304" s="875"/>
      <c r="H304" s="875"/>
    </row>
    <row r="305" spans="2:8" ht="15" customHeight="1">
      <c r="B305" s="887"/>
      <c r="C305" s="875"/>
      <c r="D305" s="875"/>
      <c r="E305" s="875"/>
      <c r="F305" s="875"/>
      <c r="G305" s="875"/>
      <c r="H305" s="875"/>
    </row>
    <row r="306" spans="2:8" ht="15" customHeight="1">
      <c r="B306" s="887"/>
      <c r="C306" s="875"/>
      <c r="D306" s="875"/>
      <c r="E306" s="875"/>
      <c r="F306" s="875"/>
      <c r="G306" s="875"/>
      <c r="H306" s="875"/>
    </row>
    <row r="307" spans="2:8" ht="15" customHeight="1">
      <c r="B307" s="887"/>
      <c r="C307" s="875"/>
      <c r="D307" s="875"/>
      <c r="E307" s="875"/>
      <c r="F307" s="875"/>
      <c r="G307" s="875"/>
      <c r="H307" s="875"/>
    </row>
    <row r="308" spans="2:8" ht="15" customHeight="1">
      <c r="B308" s="887"/>
      <c r="C308" s="875"/>
      <c r="D308" s="875"/>
      <c r="E308" s="875"/>
      <c r="F308" s="875"/>
      <c r="G308" s="875"/>
      <c r="H308" s="875"/>
    </row>
    <row r="309" spans="2:8" ht="15" customHeight="1">
      <c r="B309" s="887"/>
      <c r="C309" s="875"/>
      <c r="D309" s="875"/>
      <c r="E309" s="875"/>
      <c r="F309" s="875"/>
      <c r="G309" s="875"/>
      <c r="H309" s="875"/>
    </row>
    <row r="310" spans="2:8" ht="15" customHeight="1">
      <c r="B310" s="887"/>
      <c r="C310" s="875"/>
      <c r="D310" s="875"/>
      <c r="E310" s="875"/>
      <c r="F310" s="875"/>
      <c r="G310" s="875"/>
      <c r="H310" s="875"/>
    </row>
    <row r="311" spans="2:8" ht="15" customHeight="1">
      <c r="B311" s="887"/>
      <c r="C311" s="875"/>
      <c r="D311" s="875"/>
      <c r="E311" s="875"/>
      <c r="F311" s="875"/>
      <c r="G311" s="875"/>
      <c r="H311" s="875"/>
    </row>
    <row r="312" spans="2:8" ht="15" customHeight="1">
      <c r="B312" s="887"/>
      <c r="C312" s="875"/>
      <c r="D312" s="875"/>
      <c r="E312" s="875"/>
      <c r="F312" s="875"/>
      <c r="G312" s="875"/>
      <c r="H312" s="875"/>
    </row>
    <row r="313" spans="2:8" ht="15" customHeight="1">
      <c r="B313" s="887"/>
      <c r="C313" s="875"/>
      <c r="D313" s="875"/>
      <c r="E313" s="875"/>
      <c r="F313" s="875"/>
      <c r="G313" s="875"/>
      <c r="H313" s="875"/>
    </row>
    <row r="314" spans="2:8" ht="15" customHeight="1">
      <c r="B314" s="887"/>
      <c r="C314" s="875"/>
      <c r="D314" s="875"/>
      <c r="E314" s="875"/>
      <c r="F314" s="875"/>
      <c r="G314" s="875"/>
      <c r="H314" s="875"/>
    </row>
    <row r="315" spans="2:8" ht="15" customHeight="1">
      <c r="B315" s="887"/>
      <c r="C315" s="875"/>
      <c r="D315" s="875"/>
      <c r="E315" s="875"/>
      <c r="F315" s="875"/>
      <c r="G315" s="875"/>
      <c r="H315" s="875"/>
    </row>
    <row r="316" spans="2:8" ht="15" customHeight="1">
      <c r="B316" s="887"/>
      <c r="C316" s="875"/>
      <c r="D316" s="875"/>
      <c r="E316" s="875"/>
      <c r="F316" s="875"/>
      <c r="G316" s="875"/>
      <c r="H316" s="875"/>
    </row>
    <row r="317" spans="2:8" ht="15" customHeight="1">
      <c r="B317" s="887"/>
      <c r="C317" s="875"/>
      <c r="D317" s="875"/>
      <c r="E317" s="875"/>
      <c r="F317" s="875"/>
      <c r="G317" s="875"/>
      <c r="H317" s="875"/>
    </row>
    <row r="318" spans="2:8" ht="15" customHeight="1">
      <c r="B318" s="887"/>
      <c r="C318" s="875"/>
      <c r="D318" s="875"/>
      <c r="E318" s="875"/>
      <c r="F318" s="875"/>
      <c r="G318" s="875"/>
      <c r="H318" s="875"/>
    </row>
    <row r="319" spans="2:8" ht="15" customHeight="1">
      <c r="B319" s="887"/>
      <c r="C319" s="875"/>
      <c r="D319" s="875"/>
      <c r="E319" s="875"/>
      <c r="F319" s="875"/>
      <c r="G319" s="875"/>
      <c r="H319" s="875"/>
    </row>
    <row r="320" spans="2:8" ht="15" customHeight="1">
      <c r="B320" s="887"/>
      <c r="C320" s="875"/>
      <c r="D320" s="875"/>
      <c r="E320" s="875"/>
      <c r="F320" s="875"/>
      <c r="G320" s="875"/>
      <c r="H320" s="875"/>
    </row>
    <row r="321" spans="2:8" ht="15" customHeight="1">
      <c r="B321" s="887"/>
      <c r="C321" s="875"/>
      <c r="D321" s="875"/>
      <c r="E321" s="875"/>
      <c r="F321" s="875"/>
      <c r="G321" s="875"/>
      <c r="H321" s="875"/>
    </row>
    <row r="322" spans="2:8" ht="15" customHeight="1">
      <c r="B322" s="887"/>
      <c r="C322" s="875"/>
      <c r="D322" s="875"/>
      <c r="E322" s="875"/>
      <c r="F322" s="875"/>
      <c r="G322" s="875"/>
      <c r="H322" s="875"/>
    </row>
    <row r="323" spans="2:8" ht="15" customHeight="1">
      <c r="B323" s="887"/>
      <c r="C323" s="875"/>
      <c r="D323" s="875"/>
      <c r="E323" s="875"/>
      <c r="F323" s="875"/>
      <c r="G323" s="875"/>
      <c r="H323" s="875"/>
    </row>
    <row r="324" spans="2:8" ht="15" customHeight="1">
      <c r="B324" s="887"/>
      <c r="C324" s="875"/>
      <c r="D324" s="875"/>
      <c r="E324" s="875"/>
      <c r="F324" s="875"/>
      <c r="G324" s="875"/>
      <c r="H324" s="875"/>
    </row>
    <row r="325" spans="2:8" ht="15" customHeight="1">
      <c r="B325" s="887"/>
      <c r="C325" s="875"/>
      <c r="D325" s="875"/>
      <c r="E325" s="875"/>
      <c r="F325" s="875"/>
      <c r="G325" s="875"/>
      <c r="H325" s="875"/>
    </row>
    <row r="326" spans="2:8" ht="15" customHeight="1">
      <c r="B326" s="887"/>
      <c r="C326" s="875"/>
      <c r="D326" s="875"/>
      <c r="E326" s="875"/>
      <c r="F326" s="875"/>
      <c r="G326" s="875"/>
      <c r="H326" s="875"/>
    </row>
    <row r="327" spans="2:8" ht="15" customHeight="1">
      <c r="B327" s="887"/>
      <c r="C327" s="875"/>
      <c r="D327" s="875"/>
      <c r="E327" s="875"/>
      <c r="F327" s="875"/>
      <c r="G327" s="875"/>
      <c r="H327" s="875"/>
    </row>
    <row r="328" spans="2:8" ht="15" customHeight="1">
      <c r="B328" s="887"/>
      <c r="C328" s="875"/>
      <c r="D328" s="875"/>
      <c r="E328" s="875"/>
      <c r="F328" s="875"/>
      <c r="G328" s="875"/>
      <c r="H328" s="875"/>
    </row>
    <row r="329" spans="2:8" ht="15" customHeight="1">
      <c r="B329" s="887"/>
      <c r="C329" s="875"/>
      <c r="D329" s="875"/>
      <c r="E329" s="875"/>
      <c r="F329" s="875"/>
      <c r="G329" s="875"/>
      <c r="H329" s="875"/>
    </row>
    <row r="330" spans="2:8" ht="15" customHeight="1">
      <c r="B330" s="887"/>
      <c r="C330" s="875"/>
      <c r="D330" s="875"/>
      <c r="E330" s="875"/>
      <c r="F330" s="875"/>
      <c r="G330" s="875"/>
      <c r="H330" s="875"/>
    </row>
    <row r="331" spans="2:8" ht="15" customHeight="1">
      <c r="B331" s="887"/>
      <c r="C331" s="875"/>
      <c r="D331" s="875"/>
      <c r="E331" s="875"/>
      <c r="F331" s="875"/>
      <c r="G331" s="875"/>
      <c r="H331" s="875"/>
    </row>
    <row r="332" spans="2:8" ht="15" customHeight="1">
      <c r="B332" s="887"/>
      <c r="C332" s="875"/>
      <c r="D332" s="875"/>
      <c r="E332" s="875"/>
      <c r="F332" s="875"/>
      <c r="G332" s="875"/>
      <c r="H332" s="875"/>
    </row>
    <row r="333" spans="2:8" ht="15" customHeight="1">
      <c r="B333" s="887"/>
      <c r="C333" s="875"/>
      <c r="D333" s="875"/>
      <c r="E333" s="875"/>
      <c r="F333" s="875"/>
      <c r="G333" s="875"/>
      <c r="H333" s="875"/>
    </row>
    <row r="334" spans="2:8" ht="15" customHeight="1">
      <c r="B334" s="887"/>
      <c r="C334" s="875"/>
      <c r="D334" s="875"/>
      <c r="E334" s="875"/>
      <c r="F334" s="875"/>
      <c r="G334" s="875"/>
      <c r="H334" s="875"/>
    </row>
    <row r="335" spans="2:8" ht="15" customHeight="1">
      <c r="B335" s="887"/>
      <c r="C335" s="875"/>
      <c r="D335" s="875"/>
      <c r="E335" s="875"/>
      <c r="F335" s="875"/>
      <c r="G335" s="875"/>
      <c r="H335" s="875"/>
    </row>
    <row r="336" spans="2:8" ht="15" customHeight="1">
      <c r="B336" s="887"/>
      <c r="C336" s="875"/>
      <c r="D336" s="875"/>
      <c r="E336" s="875"/>
      <c r="F336" s="875"/>
      <c r="G336" s="875"/>
      <c r="H336" s="875"/>
    </row>
    <row r="337" spans="2:8" ht="15" customHeight="1">
      <c r="B337" s="887"/>
      <c r="C337" s="875"/>
      <c r="D337" s="875"/>
      <c r="E337" s="875"/>
      <c r="F337" s="875"/>
      <c r="G337" s="875"/>
      <c r="H337" s="875"/>
    </row>
    <row r="338" spans="2:8" ht="15" customHeight="1">
      <c r="B338" s="887"/>
      <c r="C338" s="875"/>
      <c r="D338" s="875"/>
      <c r="E338" s="875"/>
      <c r="F338" s="875"/>
      <c r="G338" s="875"/>
      <c r="H338" s="875"/>
    </row>
    <row r="339" spans="2:8" ht="15" customHeight="1">
      <c r="B339" s="887"/>
      <c r="C339" s="875"/>
      <c r="D339" s="875"/>
      <c r="E339" s="875"/>
      <c r="F339" s="875"/>
      <c r="G339" s="875"/>
      <c r="H339" s="875"/>
    </row>
    <row r="340" spans="2:8" ht="15" customHeight="1">
      <c r="B340" s="887"/>
      <c r="C340" s="875"/>
      <c r="D340" s="875"/>
      <c r="E340" s="875"/>
      <c r="F340" s="875"/>
      <c r="G340" s="875"/>
      <c r="H340" s="875"/>
    </row>
    <row r="341" spans="2:8" ht="15" customHeight="1">
      <c r="B341" s="887"/>
      <c r="C341" s="875"/>
      <c r="D341" s="875"/>
      <c r="E341" s="875"/>
      <c r="F341" s="875"/>
      <c r="G341" s="875"/>
      <c r="H341" s="875"/>
    </row>
    <row r="342" spans="2:8" ht="15" customHeight="1">
      <c r="B342" s="887"/>
      <c r="C342" s="875"/>
      <c r="D342" s="875"/>
      <c r="E342" s="875"/>
      <c r="F342" s="875"/>
      <c r="G342" s="875"/>
      <c r="H342" s="875"/>
    </row>
    <row r="343" spans="2:8" ht="15" customHeight="1">
      <c r="B343" s="887"/>
      <c r="C343" s="875"/>
      <c r="D343" s="875"/>
      <c r="E343" s="875"/>
      <c r="F343" s="875"/>
      <c r="G343" s="875"/>
      <c r="H343" s="875"/>
    </row>
    <row r="344" spans="2:8" ht="15" customHeight="1">
      <c r="B344" s="887"/>
      <c r="C344" s="875"/>
      <c r="D344" s="875"/>
      <c r="E344" s="875"/>
      <c r="F344" s="875"/>
      <c r="G344" s="875"/>
      <c r="H344" s="875"/>
    </row>
    <row r="345" spans="2:8" ht="15" customHeight="1">
      <c r="B345" s="887"/>
      <c r="C345" s="875"/>
      <c r="D345" s="875"/>
      <c r="E345" s="875"/>
      <c r="F345" s="875"/>
      <c r="G345" s="875"/>
      <c r="H345" s="875"/>
    </row>
    <row r="346" spans="2:8" ht="15" customHeight="1">
      <c r="B346" s="887"/>
      <c r="C346" s="875"/>
      <c r="D346" s="875"/>
      <c r="E346" s="875"/>
      <c r="F346" s="875"/>
      <c r="G346" s="875"/>
      <c r="H346" s="875"/>
    </row>
    <row r="347" spans="2:8" ht="15" customHeight="1">
      <c r="B347" s="887"/>
      <c r="C347" s="875"/>
      <c r="D347" s="875"/>
      <c r="E347" s="875"/>
      <c r="F347" s="875"/>
      <c r="G347" s="875"/>
      <c r="H347" s="875"/>
    </row>
    <row r="348" spans="2:8" ht="15" customHeight="1">
      <c r="B348" s="887"/>
      <c r="C348" s="875"/>
      <c r="D348" s="875"/>
      <c r="E348" s="875"/>
      <c r="F348" s="875"/>
      <c r="G348" s="875"/>
      <c r="H348" s="875"/>
    </row>
    <row r="349" spans="2:8" ht="15" customHeight="1">
      <c r="B349" s="887"/>
      <c r="C349" s="875"/>
      <c r="D349" s="875"/>
      <c r="E349" s="875"/>
      <c r="F349" s="875"/>
      <c r="G349" s="875"/>
      <c r="H349" s="875"/>
    </row>
    <row r="350" spans="2:8" ht="15" customHeight="1">
      <c r="B350" s="887"/>
      <c r="C350" s="875"/>
      <c r="D350" s="875"/>
      <c r="E350" s="875"/>
      <c r="F350" s="875"/>
      <c r="G350" s="875"/>
      <c r="H350" s="875"/>
    </row>
    <row r="351" spans="2:8" ht="15" customHeight="1">
      <c r="B351" s="887"/>
      <c r="C351" s="875"/>
      <c r="D351" s="875"/>
      <c r="E351" s="875"/>
      <c r="F351" s="875"/>
      <c r="G351" s="875"/>
      <c r="H351" s="875"/>
    </row>
    <row r="352" spans="2:8" ht="15" customHeight="1">
      <c r="B352" s="887"/>
      <c r="C352" s="875"/>
      <c r="D352" s="875"/>
      <c r="E352" s="875"/>
      <c r="F352" s="875"/>
      <c r="G352" s="875"/>
      <c r="H352" s="875"/>
    </row>
    <row r="353" spans="2:8" ht="15" customHeight="1">
      <c r="B353" s="887"/>
      <c r="C353" s="875"/>
      <c r="D353" s="875"/>
      <c r="E353" s="875"/>
      <c r="F353" s="875"/>
      <c r="G353" s="875"/>
      <c r="H353" s="875"/>
    </row>
    <row r="354" spans="2:8" ht="15" customHeight="1">
      <c r="B354" s="887"/>
      <c r="C354" s="875"/>
      <c r="D354" s="875"/>
      <c r="E354" s="875"/>
      <c r="F354" s="875"/>
      <c r="G354" s="875"/>
      <c r="H354" s="875"/>
    </row>
    <row r="355" spans="2:8" ht="15" customHeight="1">
      <c r="B355" s="887"/>
      <c r="C355" s="875"/>
      <c r="D355" s="875"/>
      <c r="E355" s="875"/>
      <c r="F355" s="875"/>
      <c r="G355" s="875"/>
      <c r="H355" s="875"/>
    </row>
    <row r="356" spans="2:8" ht="15" customHeight="1">
      <c r="B356" s="887"/>
      <c r="C356" s="875"/>
      <c r="D356" s="875"/>
      <c r="E356" s="875"/>
      <c r="F356" s="875"/>
      <c r="G356" s="875"/>
      <c r="H356" s="875"/>
    </row>
    <row r="357" spans="2:8" ht="15" customHeight="1">
      <c r="B357" s="887"/>
      <c r="C357" s="875"/>
      <c r="D357" s="875"/>
      <c r="E357" s="875"/>
      <c r="F357" s="875"/>
      <c r="G357" s="875"/>
      <c r="H357" s="875"/>
    </row>
    <row r="358" spans="2:8" ht="15" customHeight="1">
      <c r="B358" s="887"/>
      <c r="C358" s="875"/>
      <c r="D358" s="875"/>
      <c r="E358" s="875"/>
      <c r="F358" s="875"/>
      <c r="G358" s="875"/>
      <c r="H358" s="875"/>
    </row>
    <row r="359" spans="2:8" ht="15" customHeight="1">
      <c r="B359" s="887"/>
      <c r="C359" s="875"/>
      <c r="D359" s="875"/>
      <c r="E359" s="875"/>
      <c r="F359" s="875"/>
      <c r="G359" s="875"/>
      <c r="H359" s="875"/>
    </row>
    <row r="360" spans="2:8" ht="15" customHeight="1">
      <c r="B360" s="887"/>
      <c r="C360" s="875"/>
      <c r="D360" s="875"/>
      <c r="E360" s="875"/>
      <c r="F360" s="875"/>
      <c r="G360" s="875"/>
      <c r="H360" s="875"/>
    </row>
    <row r="361" spans="2:8" ht="15" customHeight="1">
      <c r="B361" s="887"/>
      <c r="C361" s="875"/>
      <c r="D361" s="875"/>
      <c r="E361" s="875"/>
      <c r="F361" s="875"/>
      <c r="G361" s="875"/>
      <c r="H361" s="875"/>
    </row>
    <row r="362" spans="2:8" ht="15" customHeight="1">
      <c r="B362" s="887"/>
      <c r="C362" s="875"/>
      <c r="D362" s="875"/>
      <c r="E362" s="875"/>
      <c r="F362" s="875"/>
      <c r="G362" s="875"/>
      <c r="H362" s="875"/>
    </row>
    <row r="363" spans="2:8" ht="15" customHeight="1">
      <c r="B363" s="887"/>
      <c r="C363" s="875"/>
      <c r="D363" s="875"/>
      <c r="E363" s="875"/>
      <c r="F363" s="875"/>
      <c r="G363" s="875"/>
      <c r="H363" s="875"/>
    </row>
    <row r="364" spans="2:8" ht="15" customHeight="1">
      <c r="B364" s="887"/>
      <c r="C364" s="875"/>
      <c r="D364" s="875"/>
      <c r="E364" s="875"/>
      <c r="F364" s="875"/>
      <c r="G364" s="875"/>
      <c r="H364" s="875"/>
    </row>
    <row r="365" spans="2:8" ht="15" customHeight="1">
      <c r="B365" s="887"/>
      <c r="C365" s="875"/>
      <c r="D365" s="875"/>
      <c r="E365" s="875"/>
      <c r="F365" s="875"/>
      <c r="G365" s="875"/>
      <c r="H365" s="875"/>
    </row>
    <row r="366" spans="2:8" ht="15" customHeight="1">
      <c r="B366" s="887"/>
      <c r="C366" s="875"/>
      <c r="D366" s="875"/>
      <c r="E366" s="875"/>
      <c r="F366" s="875"/>
      <c r="G366" s="875"/>
      <c r="H366" s="875"/>
    </row>
    <row r="367" spans="2:8" ht="15" customHeight="1">
      <c r="B367" s="887"/>
      <c r="C367" s="875"/>
      <c r="D367" s="875"/>
      <c r="E367" s="875"/>
      <c r="F367" s="875"/>
      <c r="G367" s="875"/>
      <c r="H367" s="875"/>
    </row>
    <row r="368" spans="2:8" ht="15" customHeight="1">
      <c r="B368" s="887"/>
      <c r="C368" s="875"/>
      <c r="D368" s="875"/>
      <c r="E368" s="875"/>
      <c r="F368" s="875"/>
      <c r="G368" s="875"/>
      <c r="H368" s="875"/>
    </row>
    <row r="369" spans="2:8" ht="15" customHeight="1">
      <c r="B369" s="887"/>
      <c r="C369" s="875"/>
      <c r="D369" s="875"/>
      <c r="E369" s="875"/>
      <c r="F369" s="875"/>
      <c r="G369" s="875"/>
      <c r="H369" s="875"/>
    </row>
    <row r="370" spans="2:8" ht="15" customHeight="1">
      <c r="B370" s="887"/>
      <c r="C370" s="875"/>
      <c r="D370" s="875"/>
      <c r="E370" s="875"/>
      <c r="F370" s="875"/>
      <c r="G370" s="875"/>
      <c r="H370" s="875"/>
    </row>
    <row r="371" spans="2:8" ht="15" customHeight="1">
      <c r="B371" s="887"/>
      <c r="C371" s="875"/>
      <c r="D371" s="875"/>
      <c r="E371" s="875"/>
      <c r="F371" s="875"/>
      <c r="G371" s="875"/>
      <c r="H371" s="875"/>
    </row>
    <row r="372" spans="2:8" ht="15" customHeight="1">
      <c r="B372" s="887"/>
      <c r="C372" s="875"/>
      <c r="D372" s="875"/>
      <c r="E372" s="875"/>
      <c r="F372" s="875"/>
      <c r="G372" s="875"/>
      <c r="H372" s="875"/>
    </row>
    <row r="373" spans="2:8" ht="15" customHeight="1">
      <c r="B373" s="887"/>
      <c r="C373" s="875"/>
      <c r="D373" s="875"/>
      <c r="E373" s="875"/>
      <c r="F373" s="875"/>
      <c r="G373" s="875"/>
      <c r="H373" s="875"/>
    </row>
    <row r="374" spans="2:8" ht="15" customHeight="1">
      <c r="B374" s="887"/>
      <c r="C374" s="875"/>
      <c r="D374" s="875"/>
      <c r="E374" s="875"/>
      <c r="F374" s="875"/>
      <c r="G374" s="875"/>
      <c r="H374" s="875"/>
    </row>
    <row r="375" spans="2:8" ht="15" customHeight="1">
      <c r="B375" s="887"/>
      <c r="C375" s="875"/>
      <c r="D375" s="875"/>
      <c r="E375" s="875"/>
      <c r="F375" s="875"/>
      <c r="G375" s="875"/>
      <c r="H375" s="875"/>
    </row>
    <row r="376" spans="2:8" ht="15" customHeight="1">
      <c r="B376" s="887"/>
      <c r="C376" s="875"/>
      <c r="D376" s="875"/>
      <c r="E376" s="875"/>
      <c r="F376" s="875"/>
      <c r="G376" s="875"/>
      <c r="H376" s="875"/>
    </row>
    <row r="377" spans="2:8" ht="15" customHeight="1">
      <c r="B377" s="887"/>
      <c r="C377" s="875"/>
      <c r="D377" s="875"/>
      <c r="E377" s="875"/>
      <c r="F377" s="875"/>
      <c r="G377" s="875"/>
      <c r="H377" s="875"/>
    </row>
    <row r="378" spans="2:8" ht="15" customHeight="1">
      <c r="B378" s="887"/>
      <c r="C378" s="875"/>
      <c r="D378" s="875"/>
      <c r="E378" s="875"/>
      <c r="F378" s="875"/>
      <c r="G378" s="875"/>
      <c r="H378" s="875"/>
    </row>
    <row r="379" spans="2:8" ht="15" customHeight="1">
      <c r="B379" s="887"/>
      <c r="C379" s="875"/>
      <c r="D379" s="875"/>
      <c r="E379" s="875"/>
      <c r="F379" s="875"/>
      <c r="G379" s="875"/>
      <c r="H379" s="875"/>
    </row>
    <row r="380" spans="2:8" ht="15" customHeight="1">
      <c r="B380" s="887"/>
      <c r="C380" s="875"/>
      <c r="D380" s="875"/>
      <c r="E380" s="875"/>
      <c r="F380" s="875"/>
      <c r="G380" s="875"/>
      <c r="H380" s="875"/>
    </row>
    <row r="381" spans="2:8" ht="15" customHeight="1">
      <c r="B381" s="887"/>
      <c r="C381" s="875"/>
      <c r="D381" s="875"/>
      <c r="E381" s="875"/>
      <c r="F381" s="875"/>
      <c r="G381" s="875"/>
      <c r="H381" s="875"/>
    </row>
    <row r="382" spans="2:8" ht="15" customHeight="1">
      <c r="B382" s="887"/>
      <c r="C382" s="875"/>
      <c r="D382" s="875"/>
      <c r="E382" s="875"/>
      <c r="F382" s="875"/>
      <c r="G382" s="875"/>
      <c r="H382" s="875"/>
    </row>
    <row r="383" spans="2:8" ht="15" customHeight="1">
      <c r="B383" s="887"/>
      <c r="C383" s="875"/>
      <c r="D383" s="875"/>
      <c r="E383" s="875"/>
      <c r="F383" s="875"/>
      <c r="G383" s="875"/>
      <c r="H383" s="875"/>
    </row>
    <row r="384" spans="2:8" ht="15" customHeight="1">
      <c r="B384" s="887"/>
      <c r="C384" s="875"/>
      <c r="D384" s="875"/>
      <c r="E384" s="875"/>
      <c r="F384" s="875"/>
      <c r="G384" s="875"/>
      <c r="H384" s="875"/>
    </row>
    <row r="385" spans="2:8" ht="15" customHeight="1">
      <c r="B385" s="887"/>
      <c r="C385" s="875"/>
      <c r="D385" s="875"/>
      <c r="E385" s="875"/>
      <c r="F385" s="875"/>
      <c r="G385" s="875"/>
      <c r="H385" s="875"/>
    </row>
    <row r="386" spans="2:8" ht="15" customHeight="1">
      <c r="B386" s="887"/>
      <c r="C386" s="875"/>
      <c r="D386" s="875"/>
      <c r="E386" s="875"/>
      <c r="F386" s="875"/>
      <c r="G386" s="875"/>
      <c r="H386" s="875"/>
    </row>
    <row r="387" spans="2:8" ht="15" customHeight="1">
      <c r="B387" s="887"/>
      <c r="C387" s="875"/>
      <c r="D387" s="875"/>
      <c r="E387" s="875"/>
      <c r="F387" s="875"/>
      <c r="G387" s="875"/>
      <c r="H387" s="875"/>
    </row>
    <row r="388" spans="2:8" ht="15" customHeight="1">
      <c r="B388" s="887"/>
      <c r="C388" s="875"/>
      <c r="D388" s="875"/>
      <c r="E388" s="875"/>
      <c r="F388" s="875"/>
      <c r="G388" s="875"/>
      <c r="H388" s="875"/>
    </row>
    <row r="389" spans="2:8" ht="15" customHeight="1">
      <c r="B389" s="887"/>
      <c r="C389" s="875"/>
      <c r="D389" s="875"/>
      <c r="E389" s="875"/>
      <c r="F389" s="875"/>
      <c r="G389" s="875"/>
      <c r="H389" s="875"/>
    </row>
    <row r="390" spans="2:8" ht="15" customHeight="1">
      <c r="B390" s="887"/>
      <c r="C390" s="875"/>
      <c r="D390" s="875"/>
      <c r="E390" s="875"/>
      <c r="F390" s="875"/>
      <c r="G390" s="875"/>
      <c r="H390" s="875"/>
    </row>
    <row r="391" spans="2:8" ht="15" customHeight="1">
      <c r="B391" s="887"/>
      <c r="C391" s="875"/>
      <c r="D391" s="875"/>
      <c r="E391" s="875"/>
      <c r="F391" s="875"/>
      <c r="G391" s="875"/>
      <c r="H391" s="875"/>
    </row>
    <row r="392" spans="2:8" ht="15" customHeight="1">
      <c r="B392" s="887"/>
      <c r="C392" s="875"/>
      <c r="D392" s="875"/>
      <c r="E392" s="875"/>
      <c r="F392" s="875"/>
      <c r="G392" s="875"/>
      <c r="H392" s="875"/>
    </row>
    <row r="393" spans="2:8" ht="15" customHeight="1">
      <c r="B393" s="887"/>
      <c r="C393" s="875"/>
      <c r="D393" s="875"/>
      <c r="E393" s="875"/>
      <c r="F393" s="875"/>
      <c r="G393" s="875"/>
      <c r="H393" s="875"/>
    </row>
    <row r="394" spans="2:8" ht="15" customHeight="1">
      <c r="B394" s="887"/>
      <c r="C394" s="875"/>
      <c r="D394" s="875"/>
      <c r="E394" s="875"/>
      <c r="F394" s="875"/>
      <c r="G394" s="875"/>
      <c r="H394" s="875"/>
    </row>
    <row r="395" spans="2:8" ht="15" customHeight="1">
      <c r="B395" s="887"/>
      <c r="C395" s="875"/>
      <c r="D395" s="875"/>
      <c r="E395" s="875"/>
      <c r="F395" s="875"/>
      <c r="G395" s="875"/>
      <c r="H395" s="875"/>
    </row>
    <row r="396" spans="2:8" ht="15" customHeight="1">
      <c r="B396" s="887"/>
      <c r="C396" s="875"/>
      <c r="D396" s="875"/>
      <c r="E396" s="875"/>
      <c r="F396" s="875"/>
      <c r="G396" s="875"/>
      <c r="H396" s="875"/>
    </row>
    <row r="397" spans="2:8" ht="15" customHeight="1">
      <c r="B397" s="887"/>
      <c r="C397" s="875"/>
      <c r="D397" s="875"/>
      <c r="E397" s="875"/>
      <c r="F397" s="875"/>
      <c r="G397" s="875"/>
      <c r="H397" s="875"/>
    </row>
    <row r="398" spans="2:8" ht="15" customHeight="1">
      <c r="B398" s="887"/>
      <c r="C398" s="875"/>
      <c r="D398" s="875"/>
      <c r="E398" s="875"/>
      <c r="F398" s="875"/>
      <c r="G398" s="875"/>
      <c r="H398" s="875"/>
    </row>
    <row r="399" spans="2:8" ht="15" customHeight="1">
      <c r="B399" s="887"/>
      <c r="C399" s="875"/>
      <c r="D399" s="875"/>
      <c r="E399" s="875"/>
      <c r="F399" s="875"/>
      <c r="G399" s="875"/>
      <c r="H399" s="875"/>
    </row>
    <row r="400" spans="2:8" ht="15" customHeight="1">
      <c r="B400" s="887"/>
      <c r="C400" s="875"/>
      <c r="D400" s="875"/>
      <c r="E400" s="875"/>
      <c r="F400" s="875"/>
      <c r="G400" s="875"/>
      <c r="H400" s="875"/>
    </row>
    <row r="401" spans="2:8" ht="15" customHeight="1">
      <c r="B401" s="887"/>
      <c r="C401" s="875"/>
      <c r="D401" s="875"/>
      <c r="E401" s="875"/>
      <c r="F401" s="875"/>
      <c r="G401" s="875"/>
      <c r="H401" s="875"/>
    </row>
    <row r="402" spans="2:8" ht="15" customHeight="1">
      <c r="B402" s="887"/>
      <c r="C402" s="875"/>
      <c r="D402" s="875"/>
      <c r="E402" s="875"/>
      <c r="F402" s="875"/>
      <c r="G402" s="875"/>
      <c r="H402" s="875"/>
    </row>
    <row r="403" spans="2:8" ht="15" customHeight="1">
      <c r="B403" s="887"/>
      <c r="C403" s="875"/>
      <c r="D403" s="875"/>
      <c r="E403" s="875"/>
      <c r="F403" s="875"/>
      <c r="G403" s="875"/>
      <c r="H403" s="875"/>
    </row>
    <row r="404" spans="2:8" ht="15" customHeight="1">
      <c r="B404" s="887"/>
      <c r="C404" s="875"/>
      <c r="D404" s="875"/>
      <c r="E404" s="875"/>
      <c r="F404" s="875"/>
      <c r="G404" s="875"/>
      <c r="H404" s="875"/>
    </row>
    <row r="405" spans="2:8" ht="15" customHeight="1">
      <c r="B405" s="887"/>
      <c r="C405" s="875"/>
      <c r="D405" s="875"/>
      <c r="E405" s="875"/>
      <c r="F405" s="875"/>
      <c r="G405" s="875"/>
      <c r="H405" s="875"/>
    </row>
    <row r="406" spans="2:8" ht="15" customHeight="1">
      <c r="B406" s="887"/>
      <c r="C406" s="875"/>
      <c r="D406" s="875"/>
      <c r="E406" s="875"/>
      <c r="F406" s="875"/>
      <c r="G406" s="875"/>
      <c r="H406" s="875"/>
    </row>
    <row r="407" spans="2:8" ht="15" customHeight="1">
      <c r="B407" s="887"/>
      <c r="C407" s="875"/>
      <c r="D407" s="875"/>
      <c r="E407" s="875"/>
      <c r="F407" s="875"/>
      <c r="G407" s="875"/>
      <c r="H407" s="875"/>
    </row>
    <row r="408" spans="2:8" ht="15" customHeight="1">
      <c r="B408" s="887"/>
      <c r="C408" s="875"/>
      <c r="D408" s="875"/>
      <c r="E408" s="875"/>
      <c r="F408" s="875"/>
      <c r="G408" s="875"/>
      <c r="H408" s="875"/>
    </row>
    <row r="409" spans="2:8" ht="15" customHeight="1">
      <c r="B409" s="887"/>
      <c r="C409" s="875"/>
      <c r="D409" s="875"/>
      <c r="E409" s="875"/>
      <c r="F409" s="875"/>
      <c r="G409" s="875"/>
      <c r="H409" s="875"/>
    </row>
    <row r="410" spans="2:8" ht="15" customHeight="1">
      <c r="B410" s="887"/>
      <c r="C410" s="875"/>
      <c r="D410" s="875"/>
      <c r="E410" s="875"/>
      <c r="F410" s="875"/>
      <c r="G410" s="875"/>
      <c r="H410" s="875"/>
    </row>
    <row r="411" spans="2:8" ht="15" customHeight="1">
      <c r="B411" s="887"/>
      <c r="C411" s="875"/>
      <c r="D411" s="875"/>
      <c r="E411" s="875"/>
      <c r="F411" s="875"/>
      <c r="G411" s="875"/>
      <c r="H411" s="875"/>
    </row>
    <row r="412" spans="2:8" ht="15" customHeight="1">
      <c r="B412" s="887"/>
      <c r="C412" s="875"/>
      <c r="D412" s="875"/>
      <c r="E412" s="875"/>
      <c r="F412" s="875"/>
      <c r="G412" s="875"/>
      <c r="H412" s="875"/>
    </row>
    <row r="413" spans="2:8" ht="15" customHeight="1">
      <c r="B413" s="887"/>
      <c r="C413" s="875"/>
      <c r="D413" s="875"/>
      <c r="E413" s="875"/>
      <c r="F413" s="875"/>
      <c r="G413" s="875"/>
      <c r="H413" s="875"/>
    </row>
    <row r="414" spans="2:8" ht="15" customHeight="1">
      <c r="B414" s="887"/>
      <c r="C414" s="875"/>
      <c r="D414" s="875"/>
      <c r="E414" s="875"/>
      <c r="F414" s="875"/>
      <c r="G414" s="875"/>
      <c r="H414" s="875"/>
    </row>
    <row r="415" spans="2:8" ht="15" customHeight="1">
      <c r="B415" s="887"/>
      <c r="C415" s="875"/>
      <c r="D415" s="875"/>
      <c r="E415" s="875"/>
      <c r="F415" s="875"/>
      <c r="G415" s="875"/>
      <c r="H415" s="875"/>
    </row>
    <row r="416" spans="2:8" ht="15" customHeight="1">
      <c r="B416" s="887"/>
      <c r="C416" s="875"/>
      <c r="D416" s="875"/>
      <c r="E416" s="875"/>
      <c r="F416" s="875"/>
      <c r="G416" s="875"/>
      <c r="H416" s="875"/>
    </row>
    <row r="417" spans="2:8" ht="15" customHeight="1">
      <c r="B417" s="887"/>
      <c r="C417" s="875"/>
      <c r="D417" s="875"/>
      <c r="E417" s="875"/>
      <c r="F417" s="875"/>
      <c r="G417" s="875"/>
      <c r="H417" s="875"/>
    </row>
    <row r="418" spans="2:8" ht="15" customHeight="1">
      <c r="B418" s="887"/>
      <c r="C418" s="875"/>
      <c r="D418" s="875"/>
      <c r="E418" s="875"/>
      <c r="F418" s="875"/>
      <c r="G418" s="875"/>
      <c r="H418" s="875"/>
    </row>
    <row r="419" spans="2:8" ht="15" customHeight="1">
      <c r="B419" s="887"/>
      <c r="C419" s="875"/>
      <c r="D419" s="875"/>
      <c r="E419" s="875"/>
      <c r="F419" s="875"/>
      <c r="G419" s="875"/>
      <c r="H419" s="875"/>
    </row>
    <row r="420" spans="2:8" ht="15" customHeight="1">
      <c r="B420" s="887"/>
      <c r="C420" s="875"/>
      <c r="D420" s="875"/>
      <c r="E420" s="875"/>
      <c r="F420" s="875"/>
      <c r="G420" s="875"/>
      <c r="H420" s="875"/>
    </row>
    <row r="421" spans="2:8" ht="15" customHeight="1">
      <c r="B421" s="887"/>
      <c r="C421" s="875"/>
      <c r="D421" s="875"/>
      <c r="E421" s="875"/>
      <c r="F421" s="875"/>
      <c r="G421" s="875"/>
      <c r="H421" s="875"/>
    </row>
    <row r="422" spans="2:8" ht="15" customHeight="1">
      <c r="B422" s="887"/>
      <c r="C422" s="875"/>
      <c r="D422" s="875"/>
      <c r="E422" s="875"/>
      <c r="F422" s="875"/>
      <c r="G422" s="875"/>
      <c r="H422" s="875"/>
    </row>
    <row r="423" spans="2:8" ht="15" customHeight="1">
      <c r="B423" s="887"/>
      <c r="C423" s="875"/>
      <c r="D423" s="875"/>
      <c r="E423" s="875"/>
      <c r="F423" s="875"/>
      <c r="G423" s="875"/>
      <c r="H423" s="875"/>
    </row>
    <row r="424" spans="2:8" ht="15" customHeight="1">
      <c r="B424" s="887"/>
      <c r="C424" s="875"/>
      <c r="D424" s="875"/>
      <c r="E424" s="875"/>
      <c r="F424" s="875"/>
      <c r="G424" s="875"/>
      <c r="H424" s="875"/>
    </row>
    <row r="425" spans="2:8" ht="15" customHeight="1">
      <c r="B425" s="887"/>
      <c r="C425" s="875"/>
      <c r="D425" s="875"/>
      <c r="E425" s="875"/>
      <c r="F425" s="875"/>
      <c r="G425" s="875"/>
      <c r="H425" s="875"/>
    </row>
    <row r="426" spans="2:8" ht="15" customHeight="1">
      <c r="B426" s="887"/>
      <c r="C426" s="875"/>
      <c r="D426" s="875"/>
      <c r="E426" s="875"/>
      <c r="F426" s="875"/>
      <c r="G426" s="875"/>
      <c r="H426" s="875"/>
    </row>
    <row r="427" spans="2:8" ht="15" customHeight="1">
      <c r="B427" s="887"/>
      <c r="C427" s="875"/>
      <c r="D427" s="875"/>
      <c r="E427" s="875"/>
      <c r="F427" s="875"/>
      <c r="G427" s="875"/>
      <c r="H427" s="875"/>
    </row>
    <row r="428" spans="2:8" ht="15" customHeight="1">
      <c r="B428" s="887"/>
      <c r="C428" s="875"/>
      <c r="D428" s="875"/>
      <c r="E428" s="875"/>
      <c r="F428" s="875"/>
      <c r="G428" s="875"/>
      <c r="H428" s="875"/>
    </row>
    <row r="429" spans="2:8" ht="15" customHeight="1">
      <c r="B429" s="887"/>
      <c r="C429" s="875"/>
      <c r="D429" s="875"/>
      <c r="E429" s="875"/>
      <c r="F429" s="875"/>
      <c r="G429" s="875"/>
      <c r="H429" s="875"/>
    </row>
    <row r="430" spans="2:8" ht="15" customHeight="1">
      <c r="B430" s="887"/>
      <c r="C430" s="875"/>
      <c r="D430" s="875"/>
      <c r="E430" s="875"/>
      <c r="F430" s="875"/>
      <c r="G430" s="875"/>
      <c r="H430" s="875"/>
    </row>
    <row r="431" spans="2:8" ht="15" customHeight="1">
      <c r="B431" s="887"/>
      <c r="C431" s="875"/>
      <c r="D431" s="875"/>
      <c r="E431" s="875"/>
      <c r="F431" s="875"/>
      <c r="G431" s="875"/>
      <c r="H431" s="875"/>
    </row>
    <row r="432" spans="2:8" ht="15" customHeight="1">
      <c r="B432" s="887"/>
      <c r="C432" s="875"/>
      <c r="D432" s="875"/>
      <c r="E432" s="875"/>
      <c r="F432" s="875"/>
      <c r="G432" s="875"/>
      <c r="H432" s="875"/>
    </row>
    <row r="433" spans="2:8" ht="15" customHeight="1">
      <c r="B433" s="887"/>
      <c r="C433" s="875"/>
      <c r="D433" s="875"/>
      <c r="E433" s="875"/>
      <c r="F433" s="875"/>
      <c r="G433" s="875"/>
      <c r="H433" s="875"/>
    </row>
    <row r="434" spans="2:8" ht="15" customHeight="1">
      <c r="B434" s="887"/>
      <c r="C434" s="875"/>
      <c r="D434" s="875"/>
      <c r="E434" s="875"/>
      <c r="F434" s="875"/>
      <c r="G434" s="875"/>
      <c r="H434" s="875"/>
    </row>
    <row r="435" spans="2:8" ht="15" customHeight="1">
      <c r="B435" s="887"/>
      <c r="C435" s="875"/>
      <c r="D435" s="875"/>
      <c r="E435" s="875"/>
      <c r="F435" s="875"/>
      <c r="G435" s="875"/>
      <c r="H435" s="875"/>
    </row>
    <row r="436" spans="2:8" ht="15" customHeight="1">
      <c r="B436" s="887"/>
      <c r="C436" s="875"/>
      <c r="D436" s="875"/>
      <c r="E436" s="875"/>
      <c r="F436" s="875"/>
      <c r="G436" s="875"/>
      <c r="H436" s="875"/>
    </row>
    <row r="437" spans="2:8" ht="15" customHeight="1">
      <c r="B437" s="887"/>
      <c r="C437" s="875"/>
      <c r="D437" s="875"/>
      <c r="E437" s="875"/>
      <c r="F437" s="875"/>
      <c r="G437" s="875"/>
      <c r="H437" s="875"/>
    </row>
    <row r="438" spans="2:8" ht="15" customHeight="1">
      <c r="B438" s="887"/>
      <c r="C438" s="875"/>
      <c r="D438" s="875"/>
      <c r="E438" s="875"/>
      <c r="F438" s="875"/>
      <c r="G438" s="875"/>
      <c r="H438" s="875"/>
    </row>
    <row r="439" spans="2:8" ht="15" customHeight="1">
      <c r="B439" s="887"/>
      <c r="C439" s="875"/>
      <c r="D439" s="875"/>
      <c r="E439" s="875"/>
      <c r="F439" s="875"/>
      <c r="G439" s="875"/>
      <c r="H439" s="875"/>
    </row>
    <row r="440" spans="2:8" ht="15" customHeight="1">
      <c r="B440" s="887"/>
      <c r="C440" s="875"/>
      <c r="D440" s="875"/>
      <c r="E440" s="875"/>
      <c r="F440" s="875"/>
      <c r="G440" s="875"/>
      <c r="H440" s="875"/>
    </row>
    <row r="441" spans="2:8" ht="15" customHeight="1">
      <c r="B441" s="887"/>
      <c r="C441" s="875"/>
      <c r="D441" s="875"/>
      <c r="E441" s="875"/>
      <c r="F441" s="875"/>
      <c r="G441" s="875"/>
      <c r="H441" s="875"/>
    </row>
    <row r="442" spans="2:8" ht="15" customHeight="1">
      <c r="B442" s="887"/>
      <c r="C442" s="875"/>
      <c r="D442" s="875"/>
      <c r="E442" s="875"/>
      <c r="F442" s="875"/>
      <c r="G442" s="875"/>
      <c r="H442" s="875"/>
    </row>
    <row r="443" spans="2:8" ht="15" customHeight="1">
      <c r="B443" s="887"/>
      <c r="C443" s="875"/>
      <c r="D443" s="875"/>
      <c r="E443" s="875"/>
      <c r="F443" s="875"/>
      <c r="G443" s="875"/>
      <c r="H443" s="875"/>
    </row>
    <row r="444" spans="2:8" ht="15" customHeight="1">
      <c r="B444" s="887"/>
      <c r="C444" s="875"/>
      <c r="D444" s="875"/>
      <c r="E444" s="875"/>
      <c r="F444" s="875"/>
      <c r="G444" s="875"/>
      <c r="H444" s="875"/>
    </row>
    <row r="445" spans="2:8" ht="15" customHeight="1">
      <c r="B445" s="887"/>
      <c r="C445" s="875"/>
      <c r="D445" s="875"/>
      <c r="E445" s="875"/>
      <c r="F445" s="875"/>
      <c r="G445" s="875"/>
      <c r="H445" s="875"/>
    </row>
    <row r="446" spans="2:8" ht="15" customHeight="1">
      <c r="B446" s="887"/>
      <c r="C446" s="875"/>
      <c r="D446" s="875"/>
      <c r="E446" s="875"/>
      <c r="F446" s="875"/>
      <c r="G446" s="875"/>
      <c r="H446" s="875"/>
    </row>
    <row r="447" spans="2:8" ht="15" customHeight="1">
      <c r="B447" s="887"/>
      <c r="C447" s="875"/>
      <c r="D447" s="875"/>
      <c r="E447" s="875"/>
      <c r="F447" s="875"/>
      <c r="G447" s="875"/>
      <c r="H447" s="875"/>
    </row>
    <row r="448" spans="2:8" ht="15" customHeight="1">
      <c r="B448" s="887"/>
      <c r="C448" s="875"/>
      <c r="D448" s="875"/>
      <c r="E448" s="875"/>
      <c r="F448" s="875"/>
      <c r="G448" s="875"/>
      <c r="H448" s="875"/>
    </row>
    <row r="449" spans="2:8" ht="15" customHeight="1">
      <c r="B449" s="887"/>
      <c r="C449" s="875"/>
      <c r="D449" s="875"/>
      <c r="E449" s="875"/>
      <c r="F449" s="875"/>
      <c r="G449" s="875"/>
      <c r="H449" s="875"/>
    </row>
    <row r="450" spans="2:8" ht="15" customHeight="1">
      <c r="B450" s="887"/>
      <c r="C450" s="875"/>
      <c r="D450" s="875"/>
      <c r="E450" s="875"/>
      <c r="F450" s="875"/>
      <c r="G450" s="875"/>
      <c r="H450" s="875"/>
    </row>
    <row r="451" spans="2:8" ht="15" customHeight="1">
      <c r="B451" s="887"/>
      <c r="C451" s="875"/>
      <c r="D451" s="875"/>
      <c r="E451" s="875"/>
      <c r="F451" s="875"/>
      <c r="G451" s="875"/>
      <c r="H451" s="875"/>
    </row>
    <row r="452" spans="2:8" ht="15" customHeight="1">
      <c r="B452" s="887"/>
      <c r="C452" s="875"/>
      <c r="D452" s="875"/>
      <c r="E452" s="875"/>
      <c r="F452" s="875"/>
      <c r="G452" s="875"/>
      <c r="H452" s="875"/>
    </row>
    <row r="453" spans="2:8" ht="15" customHeight="1">
      <c r="B453" s="887"/>
      <c r="C453" s="875"/>
      <c r="D453" s="875"/>
      <c r="E453" s="875"/>
      <c r="F453" s="875"/>
      <c r="G453" s="875"/>
      <c r="H453" s="875"/>
    </row>
    <row r="454" spans="2:8" ht="15" customHeight="1">
      <c r="B454" s="887"/>
      <c r="C454" s="875"/>
      <c r="D454" s="875"/>
      <c r="E454" s="875"/>
      <c r="F454" s="875"/>
      <c r="G454" s="875"/>
      <c r="H454" s="875"/>
    </row>
    <row r="455" spans="2:8" ht="15" customHeight="1">
      <c r="B455" s="887"/>
      <c r="C455" s="875"/>
      <c r="D455" s="875"/>
      <c r="E455" s="875"/>
      <c r="F455" s="875"/>
      <c r="G455" s="875"/>
      <c r="H455" s="875"/>
    </row>
    <row r="456" spans="2:8" ht="15" customHeight="1">
      <c r="B456" s="887"/>
      <c r="C456" s="875"/>
      <c r="D456" s="875"/>
      <c r="E456" s="875"/>
      <c r="F456" s="875"/>
      <c r="G456" s="875"/>
      <c r="H456" s="875"/>
    </row>
    <row r="457" spans="2:8" ht="15" customHeight="1">
      <c r="B457" s="887"/>
      <c r="C457" s="875"/>
      <c r="D457" s="875"/>
      <c r="E457" s="875"/>
      <c r="F457" s="875"/>
      <c r="G457" s="875"/>
      <c r="H457" s="875"/>
    </row>
    <row r="458" spans="2:8" ht="15" customHeight="1">
      <c r="B458" s="887"/>
      <c r="C458" s="875"/>
      <c r="D458" s="875"/>
      <c r="E458" s="875"/>
      <c r="F458" s="875"/>
      <c r="G458" s="875"/>
      <c r="H458" s="875"/>
    </row>
    <row r="459" spans="2:8" ht="15" customHeight="1">
      <c r="B459" s="887"/>
      <c r="C459" s="875"/>
      <c r="D459" s="875"/>
      <c r="E459" s="875"/>
      <c r="F459" s="875"/>
      <c r="G459" s="875"/>
      <c r="H459" s="875"/>
    </row>
    <row r="460" spans="2:8" ht="15" customHeight="1">
      <c r="B460" s="887"/>
      <c r="C460" s="875"/>
      <c r="D460" s="875"/>
      <c r="E460" s="875"/>
      <c r="F460" s="875"/>
      <c r="G460" s="875"/>
      <c r="H460" s="875"/>
    </row>
    <row r="461" spans="2:8" ht="15" customHeight="1">
      <c r="B461" s="887"/>
      <c r="C461" s="875"/>
      <c r="D461" s="875"/>
      <c r="E461" s="875"/>
      <c r="F461" s="875"/>
      <c r="G461" s="875"/>
      <c r="H461" s="875"/>
    </row>
    <row r="462" spans="2:8" ht="15" customHeight="1">
      <c r="B462" s="887"/>
      <c r="C462" s="875"/>
      <c r="D462" s="875"/>
      <c r="E462" s="875"/>
      <c r="F462" s="875"/>
      <c r="G462" s="875"/>
      <c r="H462" s="875"/>
    </row>
    <row r="463" spans="2:8" ht="15" customHeight="1">
      <c r="B463" s="887"/>
      <c r="C463" s="875"/>
      <c r="D463" s="875"/>
      <c r="E463" s="875"/>
      <c r="F463" s="875"/>
      <c r="G463" s="875"/>
      <c r="H463" s="875"/>
    </row>
    <row r="464" spans="2:8" ht="15" customHeight="1">
      <c r="B464" s="887"/>
      <c r="C464" s="875"/>
      <c r="D464" s="875"/>
      <c r="E464" s="875"/>
      <c r="F464" s="875"/>
      <c r="G464" s="875"/>
      <c r="H464" s="875"/>
    </row>
    <row r="465" spans="2:8" ht="15" customHeight="1">
      <c r="B465" s="887"/>
      <c r="C465" s="875"/>
      <c r="D465" s="875"/>
      <c r="E465" s="875"/>
      <c r="F465" s="875"/>
      <c r="G465" s="875"/>
      <c r="H465" s="875"/>
    </row>
    <row r="466" spans="2:8" ht="15" customHeight="1">
      <c r="B466" s="887"/>
      <c r="C466" s="875"/>
      <c r="D466" s="875"/>
      <c r="E466" s="875"/>
      <c r="F466" s="875"/>
      <c r="G466" s="875"/>
      <c r="H466" s="875"/>
    </row>
    <row r="467" spans="2:8" ht="15" customHeight="1">
      <c r="B467" s="887"/>
      <c r="C467" s="875"/>
      <c r="D467" s="875"/>
      <c r="E467" s="875"/>
      <c r="F467" s="875"/>
      <c r="G467" s="875"/>
      <c r="H467" s="875"/>
    </row>
    <row r="468" spans="2:8" ht="15" customHeight="1">
      <c r="B468" s="887"/>
      <c r="C468" s="875"/>
      <c r="D468" s="875"/>
      <c r="E468" s="875"/>
      <c r="F468" s="875"/>
      <c r="G468" s="875"/>
      <c r="H468" s="875"/>
    </row>
    <row r="469" spans="2:8" ht="15" customHeight="1">
      <c r="B469" s="887"/>
      <c r="C469" s="875"/>
      <c r="D469" s="875"/>
      <c r="E469" s="875"/>
      <c r="F469" s="875"/>
      <c r="G469" s="875"/>
      <c r="H469" s="875"/>
    </row>
    <row r="470" spans="2:8" ht="15" customHeight="1">
      <c r="B470" s="887"/>
      <c r="C470" s="875"/>
      <c r="D470" s="875"/>
      <c r="E470" s="875"/>
      <c r="F470" s="875"/>
      <c r="G470" s="875"/>
      <c r="H470" s="875"/>
    </row>
    <row r="471" spans="2:8" ht="15" customHeight="1">
      <c r="B471" s="887"/>
      <c r="C471" s="875"/>
      <c r="D471" s="875"/>
      <c r="E471" s="875"/>
      <c r="F471" s="875"/>
      <c r="G471" s="875"/>
      <c r="H471" s="875"/>
    </row>
    <row r="472" spans="2:8" ht="15" customHeight="1">
      <c r="B472" s="887"/>
      <c r="C472" s="875"/>
      <c r="D472" s="875"/>
      <c r="E472" s="875"/>
      <c r="F472" s="875"/>
      <c r="G472" s="875"/>
      <c r="H472" s="875"/>
    </row>
    <row r="473" spans="2:8" ht="15" customHeight="1">
      <c r="B473" s="887"/>
      <c r="C473" s="875"/>
      <c r="D473" s="875"/>
      <c r="E473" s="875"/>
      <c r="F473" s="875"/>
      <c r="G473" s="875"/>
      <c r="H473" s="875"/>
    </row>
    <row r="474" spans="2:8" ht="15" customHeight="1">
      <c r="B474" s="887"/>
      <c r="C474" s="875"/>
      <c r="D474" s="875"/>
      <c r="E474" s="875"/>
      <c r="F474" s="875"/>
      <c r="G474" s="875"/>
      <c r="H474" s="875"/>
    </row>
    <row r="475" spans="2:8" ht="15" customHeight="1">
      <c r="B475" s="887"/>
      <c r="C475" s="875"/>
      <c r="D475" s="875"/>
      <c r="E475" s="875"/>
      <c r="F475" s="875"/>
      <c r="G475" s="875"/>
      <c r="H475" s="875"/>
    </row>
    <row r="476" spans="2:8" ht="15" customHeight="1">
      <c r="B476" s="887"/>
      <c r="C476" s="875"/>
      <c r="D476" s="875"/>
      <c r="E476" s="875"/>
      <c r="F476" s="875"/>
      <c r="G476" s="875"/>
      <c r="H476" s="875"/>
    </row>
    <row r="477" spans="2:8" ht="15" customHeight="1">
      <c r="B477" s="887"/>
      <c r="C477" s="875"/>
      <c r="D477" s="875"/>
      <c r="E477" s="875"/>
      <c r="F477" s="875"/>
      <c r="G477" s="875"/>
      <c r="H477" s="875"/>
    </row>
    <row r="478" spans="2:8" ht="15" customHeight="1">
      <c r="B478" s="887"/>
      <c r="C478" s="875"/>
      <c r="D478" s="875"/>
      <c r="E478" s="875"/>
      <c r="F478" s="875"/>
      <c r="G478" s="875"/>
      <c r="H478" s="875"/>
    </row>
    <row r="479" spans="2:8" ht="15" customHeight="1">
      <c r="B479" s="887"/>
      <c r="C479" s="875"/>
      <c r="D479" s="875"/>
      <c r="E479" s="875"/>
      <c r="F479" s="875"/>
      <c r="G479" s="875"/>
      <c r="H479" s="875"/>
    </row>
    <row r="480" spans="2:8" ht="15" customHeight="1">
      <c r="B480" s="887"/>
      <c r="C480" s="875"/>
      <c r="D480" s="875"/>
      <c r="E480" s="875"/>
      <c r="F480" s="875"/>
      <c r="G480" s="875"/>
      <c r="H480" s="875"/>
    </row>
    <row r="481" spans="2:8" ht="15" customHeight="1">
      <c r="B481" s="887"/>
      <c r="C481" s="875"/>
      <c r="D481" s="875"/>
      <c r="E481" s="875"/>
      <c r="F481" s="875"/>
      <c r="G481" s="875"/>
      <c r="H481" s="875"/>
    </row>
    <row r="482" spans="2:8" ht="15" customHeight="1">
      <c r="B482" s="887"/>
      <c r="C482" s="875"/>
      <c r="D482" s="875"/>
      <c r="E482" s="875"/>
      <c r="F482" s="875"/>
      <c r="G482" s="875"/>
      <c r="H482" s="875"/>
    </row>
    <row r="483" spans="2:8" ht="15" customHeight="1">
      <c r="B483" s="887"/>
      <c r="C483" s="875"/>
      <c r="D483" s="875"/>
      <c r="E483" s="875"/>
      <c r="F483" s="875"/>
      <c r="G483" s="875"/>
      <c r="H483" s="875"/>
    </row>
    <row r="484" spans="2:8" ht="15" customHeight="1">
      <c r="B484" s="887"/>
      <c r="C484" s="875"/>
      <c r="D484" s="875"/>
      <c r="E484" s="875"/>
      <c r="F484" s="875"/>
      <c r="G484" s="875"/>
      <c r="H484" s="875"/>
    </row>
    <row r="485" spans="2:8" ht="15" customHeight="1">
      <c r="B485" s="887"/>
      <c r="C485" s="875"/>
      <c r="D485" s="875"/>
      <c r="E485" s="875"/>
      <c r="F485" s="875"/>
      <c r="G485" s="875"/>
      <c r="H485" s="875"/>
    </row>
    <row r="486" spans="2:8" ht="15" customHeight="1">
      <c r="B486" s="887"/>
      <c r="C486" s="875"/>
      <c r="D486" s="875"/>
      <c r="E486" s="875"/>
      <c r="F486" s="875"/>
      <c r="G486" s="875"/>
      <c r="H486" s="875"/>
    </row>
    <row r="487" spans="2:8" ht="15" customHeight="1">
      <c r="B487" s="887"/>
      <c r="C487" s="875"/>
      <c r="D487" s="875"/>
      <c r="E487" s="875"/>
      <c r="F487" s="875"/>
      <c r="G487" s="875"/>
      <c r="H487" s="875"/>
    </row>
    <row r="488" spans="2:8" ht="15" customHeight="1">
      <c r="B488" s="887"/>
      <c r="C488" s="875"/>
      <c r="D488" s="875"/>
      <c r="E488" s="875"/>
      <c r="F488" s="875"/>
      <c r="G488" s="875"/>
      <c r="H488" s="875"/>
    </row>
    <row r="489" spans="2:8" ht="15" customHeight="1">
      <c r="B489" s="887"/>
      <c r="C489" s="875"/>
      <c r="D489" s="875"/>
      <c r="E489" s="875"/>
      <c r="F489" s="875"/>
      <c r="G489" s="875"/>
      <c r="H489" s="875"/>
    </row>
    <row r="490" spans="2:8" ht="15" customHeight="1">
      <c r="B490" s="887"/>
      <c r="C490" s="875"/>
      <c r="D490" s="875"/>
      <c r="E490" s="875"/>
      <c r="F490" s="875"/>
      <c r="G490" s="875"/>
      <c r="H490" s="875"/>
    </row>
    <row r="491" spans="2:8" ht="15" customHeight="1">
      <c r="B491" s="887"/>
      <c r="C491" s="875"/>
      <c r="D491" s="875"/>
      <c r="E491" s="875"/>
      <c r="F491" s="875"/>
      <c r="G491" s="875"/>
      <c r="H491" s="875"/>
    </row>
    <row r="492" spans="2:8" ht="15" customHeight="1">
      <c r="B492" s="887"/>
      <c r="C492" s="875"/>
      <c r="D492" s="875"/>
      <c r="E492" s="875"/>
      <c r="F492" s="875"/>
      <c r="G492" s="875"/>
      <c r="H492" s="875"/>
    </row>
    <row r="493" spans="2:8" ht="15" customHeight="1">
      <c r="B493" s="887"/>
      <c r="C493" s="875"/>
      <c r="D493" s="875"/>
      <c r="E493" s="875"/>
      <c r="F493" s="875"/>
      <c r="G493" s="875"/>
      <c r="H493" s="875"/>
    </row>
    <row r="494" spans="2:8" ht="15" customHeight="1">
      <c r="B494" s="887"/>
      <c r="C494" s="875"/>
      <c r="D494" s="875"/>
      <c r="E494" s="875"/>
      <c r="F494" s="875"/>
      <c r="G494" s="875"/>
      <c r="H494" s="875"/>
    </row>
    <row r="495" spans="2:8" ht="15" customHeight="1">
      <c r="B495" s="887"/>
      <c r="C495" s="875"/>
      <c r="D495" s="875"/>
      <c r="E495" s="875"/>
      <c r="F495" s="875"/>
      <c r="G495" s="875"/>
      <c r="H495" s="875"/>
    </row>
    <row r="496" spans="2:8" ht="15" customHeight="1">
      <c r="B496" s="887"/>
      <c r="C496" s="875"/>
      <c r="D496" s="875"/>
      <c r="E496" s="875"/>
      <c r="F496" s="875"/>
      <c r="G496" s="875"/>
      <c r="H496" s="875"/>
    </row>
    <row r="497" spans="2:8" ht="15" customHeight="1">
      <c r="B497" s="887"/>
      <c r="C497" s="875"/>
      <c r="D497" s="875"/>
      <c r="E497" s="875"/>
      <c r="F497" s="875"/>
      <c r="G497" s="875"/>
      <c r="H497" s="875"/>
    </row>
    <row r="498" spans="2:8" ht="15" customHeight="1">
      <c r="B498" s="887"/>
      <c r="C498" s="875"/>
      <c r="D498" s="875"/>
      <c r="E498" s="875"/>
      <c r="F498" s="875"/>
      <c r="G498" s="875"/>
      <c r="H498" s="875"/>
    </row>
    <row r="499" spans="2:8" ht="15" customHeight="1">
      <c r="B499" s="887"/>
      <c r="C499" s="875"/>
      <c r="D499" s="875"/>
      <c r="E499" s="875"/>
      <c r="F499" s="875"/>
      <c r="G499" s="875"/>
      <c r="H499" s="875"/>
    </row>
    <row r="500" spans="2:8" ht="15" customHeight="1">
      <c r="B500" s="887"/>
      <c r="C500" s="875"/>
      <c r="D500" s="875"/>
      <c r="E500" s="875"/>
      <c r="F500" s="875"/>
      <c r="G500" s="875"/>
      <c r="H500" s="875"/>
    </row>
    <row r="501" spans="2:8" ht="15" customHeight="1">
      <c r="B501" s="887"/>
      <c r="C501" s="875"/>
      <c r="D501" s="875"/>
      <c r="E501" s="875"/>
      <c r="F501" s="875"/>
      <c r="G501" s="875"/>
      <c r="H501" s="875"/>
    </row>
    <row r="502" spans="2:8" ht="15" customHeight="1">
      <c r="B502" s="887"/>
      <c r="C502" s="875"/>
      <c r="D502" s="875"/>
      <c r="E502" s="875"/>
      <c r="F502" s="875"/>
      <c r="G502" s="875"/>
      <c r="H502" s="875"/>
    </row>
    <row r="503" spans="2:8" ht="15" customHeight="1">
      <c r="B503" s="887"/>
      <c r="C503" s="875"/>
      <c r="D503" s="875"/>
      <c r="E503" s="875"/>
      <c r="F503" s="875"/>
      <c r="G503" s="875"/>
      <c r="H503" s="875"/>
    </row>
    <row r="504" spans="2:8" ht="15" customHeight="1">
      <c r="B504" s="887"/>
      <c r="C504" s="875"/>
      <c r="D504" s="875"/>
      <c r="E504" s="875"/>
      <c r="F504" s="875"/>
      <c r="G504" s="875"/>
      <c r="H504" s="875"/>
    </row>
    <row r="505" spans="2:8" ht="15" customHeight="1">
      <c r="B505" s="887"/>
      <c r="C505" s="875"/>
      <c r="D505" s="875"/>
      <c r="E505" s="875"/>
      <c r="F505" s="875"/>
      <c r="G505" s="875"/>
      <c r="H505" s="875"/>
    </row>
    <row r="506" spans="2:8" ht="15" customHeight="1">
      <c r="B506" s="887"/>
      <c r="C506" s="875"/>
      <c r="D506" s="875"/>
      <c r="E506" s="875"/>
      <c r="F506" s="875"/>
      <c r="G506" s="875"/>
      <c r="H506" s="875"/>
    </row>
  </sheetData>
  <mergeCells count="9">
    <mergeCell ref="B1:G1"/>
    <mergeCell ref="B2:G2"/>
    <mergeCell ref="B37:H37"/>
    <mergeCell ref="B40:G40"/>
    <mergeCell ref="B90:H90"/>
    <mergeCell ref="B3:H3"/>
    <mergeCell ref="B10:G10"/>
    <mergeCell ref="B35:H35"/>
    <mergeCell ref="B36:H36"/>
  </mergeCells>
  <printOptions horizontalCentered="1"/>
  <pageMargins left="0.5" right="0.5" top="0.71" bottom="0.5" header="0.33" footer="0.5"/>
  <pageSetup scale="59" fitToHeight="0" orientation="landscape" r:id="rId1"/>
  <headerFooter alignWithMargins="0"/>
  <rowBreaks count="1" manualBreakCount="1">
    <brk id="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85" zoomScaleNormal="100" zoomScaleSheetLayoutView="85" workbookViewId="0">
      <selection activeCell="H10" sqref="H10"/>
    </sheetView>
  </sheetViews>
  <sheetFormatPr defaultRowHeight="12.75"/>
  <cols>
    <col min="1" max="1" width="8.88671875" style="893"/>
    <col min="2" max="2" width="14.5546875" style="893" customWidth="1"/>
    <col min="3" max="9" width="13" style="893" customWidth="1"/>
    <col min="10" max="257" width="8.88671875" style="893"/>
    <col min="258" max="258" width="14.5546875" style="893" customWidth="1"/>
    <col min="259" max="265" width="13" style="893" customWidth="1"/>
    <col min="266" max="513" width="8.88671875" style="893"/>
    <col min="514" max="514" width="14.5546875" style="893" customWidth="1"/>
    <col min="515" max="521" width="13" style="893" customWidth="1"/>
    <col min="522" max="769" width="8.88671875" style="893"/>
    <col min="770" max="770" width="14.5546875" style="893" customWidth="1"/>
    <col min="771" max="777" width="13" style="893" customWidth="1"/>
    <col min="778" max="1025" width="8.88671875" style="893"/>
    <col min="1026" max="1026" width="14.5546875" style="893" customWidth="1"/>
    <col min="1027" max="1033" width="13" style="893" customWidth="1"/>
    <col min="1034" max="1281" width="8.88671875" style="893"/>
    <col min="1282" max="1282" width="14.5546875" style="893" customWidth="1"/>
    <col min="1283" max="1289" width="13" style="893" customWidth="1"/>
    <col min="1290" max="1537" width="8.88671875" style="893"/>
    <col min="1538" max="1538" width="14.5546875" style="893" customWidth="1"/>
    <col min="1539" max="1545" width="13" style="893" customWidth="1"/>
    <col min="1546" max="1793" width="8.88671875" style="893"/>
    <col min="1794" max="1794" width="14.5546875" style="893" customWidth="1"/>
    <col min="1795" max="1801" width="13" style="893" customWidth="1"/>
    <col min="1802" max="2049" width="8.88671875" style="893"/>
    <col min="2050" max="2050" width="14.5546875" style="893" customWidth="1"/>
    <col min="2051" max="2057" width="13" style="893" customWidth="1"/>
    <col min="2058" max="2305" width="8.88671875" style="893"/>
    <col min="2306" max="2306" width="14.5546875" style="893" customWidth="1"/>
    <col min="2307" max="2313" width="13" style="893" customWidth="1"/>
    <col min="2314" max="2561" width="8.88671875" style="893"/>
    <col min="2562" max="2562" width="14.5546875" style="893" customWidth="1"/>
    <col min="2563" max="2569" width="13" style="893" customWidth="1"/>
    <col min="2570" max="2817" width="8.88671875" style="893"/>
    <col min="2818" max="2818" width="14.5546875" style="893" customWidth="1"/>
    <col min="2819" max="2825" width="13" style="893" customWidth="1"/>
    <col min="2826" max="3073" width="8.88671875" style="893"/>
    <col min="3074" max="3074" width="14.5546875" style="893" customWidth="1"/>
    <col min="3075" max="3081" width="13" style="893" customWidth="1"/>
    <col min="3082" max="3329" width="8.88671875" style="893"/>
    <col min="3330" max="3330" width="14.5546875" style="893" customWidth="1"/>
    <col min="3331" max="3337" width="13" style="893" customWidth="1"/>
    <col min="3338" max="3585" width="8.88671875" style="893"/>
    <col min="3586" max="3586" width="14.5546875" style="893" customWidth="1"/>
    <col min="3587" max="3593" width="13" style="893" customWidth="1"/>
    <col min="3594" max="3841" width="8.88671875" style="893"/>
    <col min="3842" max="3842" width="14.5546875" style="893" customWidth="1"/>
    <col min="3843" max="3849" width="13" style="893" customWidth="1"/>
    <col min="3850" max="4097" width="8.88671875" style="893"/>
    <col min="4098" max="4098" width="14.5546875" style="893" customWidth="1"/>
    <col min="4099" max="4105" width="13" style="893" customWidth="1"/>
    <col min="4106" max="4353" width="8.88671875" style="893"/>
    <col min="4354" max="4354" width="14.5546875" style="893" customWidth="1"/>
    <col min="4355" max="4361" width="13" style="893" customWidth="1"/>
    <col min="4362" max="4609" width="8.88671875" style="893"/>
    <col min="4610" max="4610" width="14.5546875" style="893" customWidth="1"/>
    <col min="4611" max="4617" width="13" style="893" customWidth="1"/>
    <col min="4618" max="4865" width="8.88671875" style="893"/>
    <col min="4866" max="4866" width="14.5546875" style="893" customWidth="1"/>
    <col min="4867" max="4873" width="13" style="893" customWidth="1"/>
    <col min="4874" max="5121" width="8.88671875" style="893"/>
    <col min="5122" max="5122" width="14.5546875" style="893" customWidth="1"/>
    <col min="5123" max="5129" width="13" style="893" customWidth="1"/>
    <col min="5130" max="5377" width="8.88671875" style="893"/>
    <col min="5378" max="5378" width="14.5546875" style="893" customWidth="1"/>
    <col min="5379" max="5385" width="13" style="893" customWidth="1"/>
    <col min="5386" max="5633" width="8.88671875" style="893"/>
    <col min="5634" max="5634" width="14.5546875" style="893" customWidth="1"/>
    <col min="5635" max="5641" width="13" style="893" customWidth="1"/>
    <col min="5642" max="5889" width="8.88671875" style="893"/>
    <col min="5890" max="5890" width="14.5546875" style="893" customWidth="1"/>
    <col min="5891" max="5897" width="13" style="893" customWidth="1"/>
    <col min="5898" max="6145" width="8.88671875" style="893"/>
    <col min="6146" max="6146" width="14.5546875" style="893" customWidth="1"/>
    <col min="6147" max="6153" width="13" style="893" customWidth="1"/>
    <col min="6154" max="6401" width="8.88671875" style="893"/>
    <col min="6402" max="6402" width="14.5546875" style="893" customWidth="1"/>
    <col min="6403" max="6409" width="13" style="893" customWidth="1"/>
    <col min="6410" max="6657" width="8.88671875" style="893"/>
    <col min="6658" max="6658" width="14.5546875" style="893" customWidth="1"/>
    <col min="6659" max="6665" width="13" style="893" customWidth="1"/>
    <col min="6666" max="6913" width="8.88671875" style="893"/>
    <col min="6914" max="6914" width="14.5546875" style="893" customWidth="1"/>
    <col min="6915" max="6921" width="13" style="893" customWidth="1"/>
    <col min="6922" max="7169" width="8.88671875" style="893"/>
    <col min="7170" max="7170" width="14.5546875" style="893" customWidth="1"/>
    <col min="7171" max="7177" width="13" style="893" customWidth="1"/>
    <col min="7178" max="7425" width="8.88671875" style="893"/>
    <col min="7426" max="7426" width="14.5546875" style="893" customWidth="1"/>
    <col min="7427" max="7433" width="13" style="893" customWidth="1"/>
    <col min="7434" max="7681" width="8.88671875" style="893"/>
    <col min="7682" max="7682" width="14.5546875" style="893" customWidth="1"/>
    <col min="7683" max="7689" width="13" style="893" customWidth="1"/>
    <col min="7690" max="7937" width="8.88671875" style="893"/>
    <col min="7938" max="7938" width="14.5546875" style="893" customWidth="1"/>
    <col min="7939" max="7945" width="13" style="893" customWidth="1"/>
    <col min="7946" max="8193" width="8.88671875" style="893"/>
    <col min="8194" max="8194" width="14.5546875" style="893" customWidth="1"/>
    <col min="8195" max="8201" width="13" style="893" customWidth="1"/>
    <col min="8202" max="8449" width="8.88671875" style="893"/>
    <col min="8450" max="8450" width="14.5546875" style="893" customWidth="1"/>
    <col min="8451" max="8457" width="13" style="893" customWidth="1"/>
    <col min="8458" max="8705" width="8.88671875" style="893"/>
    <col min="8706" max="8706" width="14.5546875" style="893" customWidth="1"/>
    <col min="8707" max="8713" width="13" style="893" customWidth="1"/>
    <col min="8714" max="8961" width="8.88671875" style="893"/>
    <col min="8962" max="8962" width="14.5546875" style="893" customWidth="1"/>
    <col min="8963" max="8969" width="13" style="893" customWidth="1"/>
    <col min="8970" max="9217" width="8.88671875" style="893"/>
    <col min="9218" max="9218" width="14.5546875" style="893" customWidth="1"/>
    <col min="9219" max="9225" width="13" style="893" customWidth="1"/>
    <col min="9226" max="9473" width="8.88671875" style="893"/>
    <col min="9474" max="9474" width="14.5546875" style="893" customWidth="1"/>
    <col min="9475" max="9481" width="13" style="893" customWidth="1"/>
    <col min="9482" max="9729" width="8.88671875" style="893"/>
    <col min="9730" max="9730" width="14.5546875" style="893" customWidth="1"/>
    <col min="9731" max="9737" width="13" style="893" customWidth="1"/>
    <col min="9738" max="9985" width="8.88671875" style="893"/>
    <col min="9986" max="9986" width="14.5546875" style="893" customWidth="1"/>
    <col min="9987" max="9993" width="13" style="893" customWidth="1"/>
    <col min="9994" max="10241" width="8.88671875" style="893"/>
    <col min="10242" max="10242" width="14.5546875" style="893" customWidth="1"/>
    <col min="10243" max="10249" width="13" style="893" customWidth="1"/>
    <col min="10250" max="10497" width="8.88671875" style="893"/>
    <col min="10498" max="10498" width="14.5546875" style="893" customWidth="1"/>
    <col min="10499" max="10505" width="13" style="893" customWidth="1"/>
    <col min="10506" max="10753" width="8.88671875" style="893"/>
    <col min="10754" max="10754" width="14.5546875" style="893" customWidth="1"/>
    <col min="10755" max="10761" width="13" style="893" customWidth="1"/>
    <col min="10762" max="11009" width="8.88671875" style="893"/>
    <col min="11010" max="11010" width="14.5546875" style="893" customWidth="1"/>
    <col min="11011" max="11017" width="13" style="893" customWidth="1"/>
    <col min="11018" max="11265" width="8.88671875" style="893"/>
    <col min="11266" max="11266" width="14.5546875" style="893" customWidth="1"/>
    <col min="11267" max="11273" width="13" style="893" customWidth="1"/>
    <col min="11274" max="11521" width="8.88671875" style="893"/>
    <col min="11522" max="11522" width="14.5546875" style="893" customWidth="1"/>
    <col min="11523" max="11529" width="13" style="893" customWidth="1"/>
    <col min="11530" max="11777" width="8.88671875" style="893"/>
    <col min="11778" max="11778" width="14.5546875" style="893" customWidth="1"/>
    <col min="11779" max="11785" width="13" style="893" customWidth="1"/>
    <col min="11786" max="12033" width="8.88671875" style="893"/>
    <col min="12034" max="12034" width="14.5546875" style="893" customWidth="1"/>
    <col min="12035" max="12041" width="13" style="893" customWidth="1"/>
    <col min="12042" max="12289" width="8.88671875" style="893"/>
    <col min="12290" max="12290" width="14.5546875" style="893" customWidth="1"/>
    <col min="12291" max="12297" width="13" style="893" customWidth="1"/>
    <col min="12298" max="12545" width="8.88671875" style="893"/>
    <col min="12546" max="12546" width="14.5546875" style="893" customWidth="1"/>
    <col min="12547" max="12553" width="13" style="893" customWidth="1"/>
    <col min="12554" max="12801" width="8.88671875" style="893"/>
    <col min="12802" max="12802" width="14.5546875" style="893" customWidth="1"/>
    <col min="12803" max="12809" width="13" style="893" customWidth="1"/>
    <col min="12810" max="13057" width="8.88671875" style="893"/>
    <col min="13058" max="13058" width="14.5546875" style="893" customWidth="1"/>
    <col min="13059" max="13065" width="13" style="893" customWidth="1"/>
    <col min="13066" max="13313" width="8.88671875" style="893"/>
    <col min="13314" max="13314" width="14.5546875" style="893" customWidth="1"/>
    <col min="13315" max="13321" width="13" style="893" customWidth="1"/>
    <col min="13322" max="13569" width="8.88671875" style="893"/>
    <col min="13570" max="13570" width="14.5546875" style="893" customWidth="1"/>
    <col min="13571" max="13577" width="13" style="893" customWidth="1"/>
    <col min="13578" max="13825" width="8.88671875" style="893"/>
    <col min="13826" max="13826" width="14.5546875" style="893" customWidth="1"/>
    <col min="13827" max="13833" width="13" style="893" customWidth="1"/>
    <col min="13834" max="14081" width="8.88671875" style="893"/>
    <col min="14082" max="14082" width="14.5546875" style="893" customWidth="1"/>
    <col min="14083" max="14089" width="13" style="893" customWidth="1"/>
    <col min="14090" max="14337" width="8.88671875" style="893"/>
    <col min="14338" max="14338" width="14.5546875" style="893" customWidth="1"/>
    <col min="14339" max="14345" width="13" style="893" customWidth="1"/>
    <col min="14346" max="14593" width="8.88671875" style="893"/>
    <col min="14594" max="14594" width="14.5546875" style="893" customWidth="1"/>
    <col min="14595" max="14601" width="13" style="893" customWidth="1"/>
    <col min="14602" max="14849" width="8.88671875" style="893"/>
    <col min="14850" max="14850" width="14.5546875" style="893" customWidth="1"/>
    <col min="14851" max="14857" width="13" style="893" customWidth="1"/>
    <col min="14858" max="15105" width="8.88671875" style="893"/>
    <col min="15106" max="15106" width="14.5546875" style="893" customWidth="1"/>
    <col min="15107" max="15113" width="13" style="893" customWidth="1"/>
    <col min="15114" max="15361" width="8.88671875" style="893"/>
    <col min="15362" max="15362" width="14.5546875" style="893" customWidth="1"/>
    <col min="15363" max="15369" width="13" style="893" customWidth="1"/>
    <col min="15370" max="15617" width="8.88671875" style="893"/>
    <col min="15618" max="15618" width="14.5546875" style="893" customWidth="1"/>
    <col min="15619" max="15625" width="13" style="893" customWidth="1"/>
    <col min="15626" max="15873" width="8.88671875" style="893"/>
    <col min="15874" max="15874" width="14.5546875" style="893" customWidth="1"/>
    <col min="15875" max="15881" width="13" style="893" customWidth="1"/>
    <col min="15882" max="16129" width="8.88671875" style="893"/>
    <col min="16130" max="16130" width="14.5546875" style="893" customWidth="1"/>
    <col min="16131" max="16137" width="13" style="893" customWidth="1"/>
    <col min="16138" max="16384" width="8.88671875" style="893"/>
  </cols>
  <sheetData>
    <row r="1" spans="1:9" ht="15.75">
      <c r="A1" s="1019" t="str">
        <f>+'Attachment H-30A'!D5</f>
        <v>Transource Maryland, LLC</v>
      </c>
      <c r="B1" s="1025"/>
      <c r="C1" s="1025"/>
      <c r="D1" s="1025"/>
      <c r="E1" s="1025"/>
      <c r="F1" s="1025"/>
      <c r="G1" s="1025"/>
      <c r="I1" s="930" t="str">
        <f>+'Attachment H-30A'!J3</f>
        <v>For  the 12 months ended 12/31/20</v>
      </c>
    </row>
    <row r="2" spans="1:9" ht="15.75">
      <c r="A2" s="1019" t="s">
        <v>818</v>
      </c>
      <c r="B2" s="1019"/>
      <c r="C2" s="1019"/>
      <c r="D2" s="1019"/>
      <c r="E2" s="1019"/>
      <c r="F2" s="1019"/>
      <c r="G2" s="1019"/>
    </row>
    <row r="3" spans="1:9" ht="15.75">
      <c r="A3" s="1019"/>
      <c r="B3" s="1025"/>
      <c r="C3" s="1025"/>
      <c r="D3" s="1025"/>
      <c r="E3" s="1025"/>
      <c r="F3" s="1025"/>
      <c r="G3" s="1025"/>
    </row>
    <row r="4" spans="1:9">
      <c r="B4" s="1021"/>
      <c r="C4" s="1021"/>
      <c r="D4" s="1021"/>
      <c r="E4" s="1021"/>
      <c r="F4" s="1021"/>
      <c r="G4" s="1021"/>
      <c r="H4" s="1021"/>
      <c r="I4" s="1021"/>
    </row>
    <row r="5" spans="1:9" ht="18.75" customHeight="1">
      <c r="B5" s="1022"/>
      <c r="C5" s="1022"/>
      <c r="D5" s="1022"/>
      <c r="E5" s="1022"/>
      <c r="F5" s="894"/>
      <c r="G5" s="894"/>
      <c r="H5" s="894"/>
      <c r="I5" s="894"/>
    </row>
    <row r="6" spans="1:9" ht="49.5" customHeight="1">
      <c r="A6" s="1023" t="s">
        <v>863</v>
      </c>
      <c r="B6" s="1023"/>
      <c r="C6" s="1023"/>
      <c r="D6" s="1023"/>
      <c r="E6" s="1023"/>
      <c r="F6" s="1023"/>
      <c r="G6" s="1023"/>
      <c r="H6" s="1023"/>
      <c r="I6" s="1023"/>
    </row>
    <row r="7" spans="1:9" ht="34.5" customHeight="1">
      <c r="A7" s="895"/>
      <c r="B7" s="895"/>
      <c r="C7" s="895"/>
      <c r="D7" s="895"/>
      <c r="E7" s="895"/>
      <c r="F7" s="895"/>
      <c r="G7" s="895"/>
      <c r="H7" s="895"/>
      <c r="I7" s="895"/>
    </row>
    <row r="8" spans="1:9" ht="18.75" customHeight="1">
      <c r="A8" s="896" t="s">
        <v>805</v>
      </c>
      <c r="B8" s="895"/>
      <c r="C8" s="895"/>
      <c r="D8" s="895"/>
      <c r="E8" s="895"/>
      <c r="F8" s="895"/>
      <c r="G8" s="895"/>
      <c r="H8" s="895"/>
      <c r="I8" s="895"/>
    </row>
    <row r="9" spans="1:9" ht="18.75" customHeight="1">
      <c r="A9" s="895"/>
      <c r="B9" s="895"/>
      <c r="D9" s="895"/>
      <c r="E9" s="1024" t="s">
        <v>199</v>
      </c>
      <c r="F9" s="1024"/>
      <c r="G9" s="895"/>
      <c r="H9" s="895"/>
      <c r="I9" s="895"/>
    </row>
    <row r="10" spans="1:9" ht="18.75" customHeight="1">
      <c r="A10" s="897">
        <v>1</v>
      </c>
      <c r="B10" s="898" t="s">
        <v>812</v>
      </c>
      <c r="C10" s="898"/>
      <c r="D10" s="898"/>
      <c r="E10" s="898" t="str">
        <f>"Attachment 4b, line "&amp;'4b-Ending ADIT'!A69&amp;" Column B"</f>
        <v>Attachment 4b, line 32 Column B</v>
      </c>
      <c r="F10" s="895"/>
      <c r="H10" s="929">
        <v>-7961</v>
      </c>
      <c r="I10" s="895"/>
    </row>
    <row r="11" spans="1:9" ht="18.75" customHeight="1">
      <c r="A11" s="897">
        <f>+A10+1</f>
        <v>2</v>
      </c>
      <c r="B11" s="898" t="s">
        <v>813</v>
      </c>
      <c r="C11" s="898"/>
      <c r="D11" s="898"/>
      <c r="E11" s="898" t="str">
        <f>"Attachment 4a, line "&amp;'4a-ADIT'!A64&amp;" Column B"</f>
        <v>Attachment 4a, line 28 Column B</v>
      </c>
      <c r="F11" s="895"/>
      <c r="H11" s="929">
        <v>-6695</v>
      </c>
      <c r="I11" s="895"/>
    </row>
    <row r="12" spans="1:9" ht="18.75" customHeight="1">
      <c r="A12" s="897">
        <f>+A11+1</f>
        <v>3</v>
      </c>
      <c r="B12" s="898" t="s">
        <v>790</v>
      </c>
      <c r="C12" s="898"/>
      <c r="D12" s="898"/>
      <c r="E12" s="895" t="str">
        <f>"Line "&amp;A10&amp;" less Line "&amp;A11</f>
        <v>Line 1 less Line 2</v>
      </c>
      <c r="F12" s="895"/>
      <c r="H12" s="900">
        <f>+H10-H11</f>
        <v>-1266</v>
      </c>
      <c r="I12" s="895"/>
    </row>
    <row r="13" spans="1:9" ht="18.75" customHeight="1">
      <c r="A13" s="897">
        <f>+A12+1</f>
        <v>4</v>
      </c>
      <c r="B13" s="898" t="s">
        <v>791</v>
      </c>
      <c r="C13" s="898"/>
      <c r="D13" s="898"/>
      <c r="E13" s="895" t="str">
        <f>"Line "&amp;A12&amp;" / 12"</f>
        <v>Line 3 / 12</v>
      </c>
      <c r="F13" s="895"/>
      <c r="H13" s="899">
        <f>+H12/12</f>
        <v>-105.5</v>
      </c>
      <c r="I13" s="895"/>
    </row>
    <row r="14" spans="1:9" ht="18.75" customHeight="1">
      <c r="A14" s="898"/>
      <c r="B14" s="898"/>
      <c r="C14" s="898"/>
      <c r="D14" s="898"/>
      <c r="E14" s="895"/>
      <c r="F14" s="895"/>
      <c r="G14" s="895"/>
      <c r="H14" s="895"/>
      <c r="I14" s="895"/>
    </row>
    <row r="15" spans="1:9" ht="18.75" customHeight="1">
      <c r="A15" s="895"/>
      <c r="B15" s="895"/>
      <c r="C15" s="895"/>
      <c r="D15" s="895"/>
      <c r="E15" s="895"/>
      <c r="F15" s="895"/>
      <c r="G15" s="895"/>
      <c r="H15" s="895"/>
      <c r="I15" s="895"/>
    </row>
    <row r="16" spans="1:9" ht="13.5" customHeight="1">
      <c r="B16" s="901"/>
      <c r="C16" s="901"/>
      <c r="D16" s="901"/>
      <c r="E16" s="901"/>
      <c r="F16" s="901"/>
      <c r="G16" s="901"/>
      <c r="H16" s="901"/>
      <c r="I16" s="901"/>
    </row>
    <row r="17" spans="1:10" ht="15.75">
      <c r="B17" s="902" t="s">
        <v>792</v>
      </c>
      <c r="C17" s="902" t="s">
        <v>793</v>
      </c>
      <c r="D17" s="902" t="s">
        <v>794</v>
      </c>
      <c r="E17" s="902" t="s">
        <v>795</v>
      </c>
      <c r="F17" s="902" t="s">
        <v>796</v>
      </c>
      <c r="G17" s="902" t="s">
        <v>797</v>
      </c>
      <c r="H17" s="902" t="s">
        <v>798</v>
      </c>
      <c r="I17" s="902" t="s">
        <v>799</v>
      </c>
    </row>
    <row r="18" spans="1:10" s="905" customFormat="1" ht="39">
      <c r="A18" s="903" t="s">
        <v>8</v>
      </c>
      <c r="B18" s="925" t="s">
        <v>800</v>
      </c>
      <c r="C18" s="904" t="s">
        <v>806</v>
      </c>
      <c r="D18" s="904" t="s">
        <v>807</v>
      </c>
      <c r="E18" s="904" t="s">
        <v>808</v>
      </c>
      <c r="F18" s="904" t="s">
        <v>809</v>
      </c>
      <c r="G18" s="904" t="s">
        <v>810</v>
      </c>
      <c r="H18" s="925" t="s">
        <v>801</v>
      </c>
      <c r="I18" s="904" t="s">
        <v>811</v>
      </c>
      <c r="J18" s="893"/>
    </row>
    <row r="19" spans="1:10" ht="15">
      <c r="A19" s="897">
        <f>+A13+1</f>
        <v>5</v>
      </c>
      <c r="B19" s="894" t="s">
        <v>763</v>
      </c>
      <c r="C19" s="906">
        <f>+H11</f>
        <v>-6695</v>
      </c>
      <c r="D19" s="906">
        <f>C19</f>
        <v>-6695</v>
      </c>
      <c r="E19" s="894"/>
      <c r="F19" s="923">
        <v>365</v>
      </c>
      <c r="G19" s="907">
        <f>F19/$F$19</f>
        <v>1</v>
      </c>
      <c r="H19" s="906">
        <f>C19*G19</f>
        <v>-6695</v>
      </c>
      <c r="I19" s="906">
        <f>H19</f>
        <v>-6695</v>
      </c>
    </row>
    <row r="20" spans="1:10" ht="15">
      <c r="A20" s="897">
        <f>+A19+1</f>
        <v>6</v>
      </c>
      <c r="B20" s="894" t="s">
        <v>814</v>
      </c>
      <c r="C20" s="906">
        <f>+$H$13</f>
        <v>-105.5</v>
      </c>
      <c r="D20" s="906">
        <f>D19+C20</f>
        <v>-6800.5</v>
      </c>
      <c r="E20" s="922">
        <v>31</v>
      </c>
      <c r="F20" s="923">
        <v>335</v>
      </c>
      <c r="G20" s="907">
        <f t="shared" ref="G20:G31" si="0">F20/$F$19</f>
        <v>0.9178082191780822</v>
      </c>
      <c r="H20" s="906">
        <f t="shared" ref="H20:H31" si="1">C20*G20</f>
        <v>-96.828767123287676</v>
      </c>
      <c r="I20" s="906">
        <f>I19+H20</f>
        <v>-6791.8287671232874</v>
      </c>
    </row>
    <row r="21" spans="1:10" ht="15">
      <c r="A21" s="897">
        <f t="shared" ref="A21:A31" si="2">+A20+1</f>
        <v>7</v>
      </c>
      <c r="B21" s="894" t="s">
        <v>84</v>
      </c>
      <c r="C21" s="906">
        <f t="shared" ref="C21:C31" si="3">+$H$13</f>
        <v>-105.5</v>
      </c>
      <c r="D21" s="906">
        <f>D20+C21</f>
        <v>-6906</v>
      </c>
      <c r="E21" s="923">
        <v>28</v>
      </c>
      <c r="F21" s="923">
        <v>307</v>
      </c>
      <c r="G21" s="907">
        <f t="shared" si="0"/>
        <v>0.84109589041095889</v>
      </c>
      <c r="H21" s="906">
        <f t="shared" si="1"/>
        <v>-88.735616438356161</v>
      </c>
      <c r="I21" s="906">
        <f t="shared" ref="I21:I31" si="4">I20+H21</f>
        <v>-6880.5643835616438</v>
      </c>
    </row>
    <row r="22" spans="1:10" ht="15">
      <c r="A22" s="897">
        <f t="shared" si="2"/>
        <v>8</v>
      </c>
      <c r="B22" s="894" t="s">
        <v>83</v>
      </c>
      <c r="C22" s="906">
        <f t="shared" si="3"/>
        <v>-105.5</v>
      </c>
      <c r="D22" s="906">
        <f>D21+C22</f>
        <v>-7011.5</v>
      </c>
      <c r="E22" s="922">
        <v>31</v>
      </c>
      <c r="F22" s="923">
        <v>276</v>
      </c>
      <c r="G22" s="907">
        <f t="shared" si="0"/>
        <v>0.75616438356164384</v>
      </c>
      <c r="H22" s="906">
        <f t="shared" si="1"/>
        <v>-79.775342465753425</v>
      </c>
      <c r="I22" s="906">
        <f t="shared" si="4"/>
        <v>-6960.3397260273969</v>
      </c>
    </row>
    <row r="23" spans="1:10" ht="15">
      <c r="A23" s="897">
        <f t="shared" si="2"/>
        <v>9</v>
      </c>
      <c r="B23" s="894" t="s">
        <v>76</v>
      </c>
      <c r="C23" s="906">
        <f t="shared" si="3"/>
        <v>-105.5</v>
      </c>
      <c r="D23" s="906">
        <f t="shared" ref="D23:D31" si="5">D22+C23</f>
        <v>-7117</v>
      </c>
      <c r="E23" s="922">
        <v>30</v>
      </c>
      <c r="F23" s="923">
        <v>246</v>
      </c>
      <c r="G23" s="907">
        <f t="shared" si="0"/>
        <v>0.67397260273972603</v>
      </c>
      <c r="H23" s="906">
        <f t="shared" si="1"/>
        <v>-71.104109589041101</v>
      </c>
      <c r="I23" s="906">
        <f t="shared" si="4"/>
        <v>-7031.4438356164383</v>
      </c>
    </row>
    <row r="24" spans="1:10" ht="15">
      <c r="A24" s="897">
        <f t="shared" si="2"/>
        <v>10</v>
      </c>
      <c r="B24" s="894" t="s">
        <v>75</v>
      </c>
      <c r="C24" s="906">
        <f t="shared" si="3"/>
        <v>-105.5</v>
      </c>
      <c r="D24" s="906">
        <f t="shared" si="5"/>
        <v>-7222.5</v>
      </c>
      <c r="E24" s="922">
        <v>31</v>
      </c>
      <c r="F24" s="923">
        <v>215</v>
      </c>
      <c r="G24" s="907">
        <f t="shared" si="0"/>
        <v>0.58904109589041098</v>
      </c>
      <c r="H24" s="906">
        <f t="shared" si="1"/>
        <v>-62.143835616438359</v>
      </c>
      <c r="I24" s="906">
        <f>I23+H24</f>
        <v>-7093.5876712328763</v>
      </c>
    </row>
    <row r="25" spans="1:10" ht="15">
      <c r="A25" s="897">
        <f t="shared" si="2"/>
        <v>11</v>
      </c>
      <c r="B25" s="894" t="s">
        <v>92</v>
      </c>
      <c r="C25" s="906">
        <f t="shared" si="3"/>
        <v>-105.5</v>
      </c>
      <c r="D25" s="906">
        <f t="shared" si="5"/>
        <v>-7328</v>
      </c>
      <c r="E25" s="922">
        <v>30</v>
      </c>
      <c r="F25" s="923">
        <v>185</v>
      </c>
      <c r="G25" s="907">
        <f t="shared" si="0"/>
        <v>0.50684931506849318</v>
      </c>
      <c r="H25" s="906">
        <f t="shared" si="1"/>
        <v>-53.472602739726028</v>
      </c>
      <c r="I25" s="906">
        <f>I24+H25</f>
        <v>-7147.0602739726028</v>
      </c>
    </row>
    <row r="26" spans="1:10" ht="15">
      <c r="A26" s="897">
        <f t="shared" si="2"/>
        <v>12</v>
      </c>
      <c r="B26" s="894" t="s">
        <v>82</v>
      </c>
      <c r="C26" s="906">
        <f t="shared" si="3"/>
        <v>-105.5</v>
      </c>
      <c r="D26" s="906">
        <f t="shared" si="5"/>
        <v>-7433.5</v>
      </c>
      <c r="E26" s="922">
        <v>31</v>
      </c>
      <c r="F26" s="923">
        <v>154</v>
      </c>
      <c r="G26" s="907">
        <f t="shared" si="0"/>
        <v>0.42191780821917807</v>
      </c>
      <c r="H26" s="906">
        <f t="shared" si="1"/>
        <v>-44.512328767123286</v>
      </c>
      <c r="I26" s="906">
        <f t="shared" si="4"/>
        <v>-7191.5726027397259</v>
      </c>
    </row>
    <row r="27" spans="1:10" ht="15">
      <c r="A27" s="897">
        <f t="shared" si="2"/>
        <v>13</v>
      </c>
      <c r="B27" s="894" t="s">
        <v>81</v>
      </c>
      <c r="C27" s="906">
        <f t="shared" si="3"/>
        <v>-105.5</v>
      </c>
      <c r="D27" s="906">
        <f t="shared" si="5"/>
        <v>-7539</v>
      </c>
      <c r="E27" s="922">
        <v>31</v>
      </c>
      <c r="F27" s="923">
        <v>123</v>
      </c>
      <c r="G27" s="907">
        <f t="shared" si="0"/>
        <v>0.33698630136986302</v>
      </c>
      <c r="H27" s="906">
        <f t="shared" si="1"/>
        <v>-35.552054794520551</v>
      </c>
      <c r="I27" s="906">
        <f t="shared" si="4"/>
        <v>-7227.1246575342466</v>
      </c>
    </row>
    <row r="28" spans="1:10" ht="15">
      <c r="A28" s="897">
        <f t="shared" si="2"/>
        <v>14</v>
      </c>
      <c r="B28" s="894" t="s">
        <v>80</v>
      </c>
      <c r="C28" s="906">
        <f t="shared" si="3"/>
        <v>-105.5</v>
      </c>
      <c r="D28" s="906">
        <f t="shared" si="5"/>
        <v>-7644.5</v>
      </c>
      <c r="E28" s="922">
        <v>30</v>
      </c>
      <c r="F28" s="923">
        <v>93</v>
      </c>
      <c r="G28" s="907">
        <f t="shared" si="0"/>
        <v>0.25479452054794521</v>
      </c>
      <c r="H28" s="906">
        <f t="shared" si="1"/>
        <v>-26.88082191780822</v>
      </c>
      <c r="I28" s="906">
        <f t="shared" si="4"/>
        <v>-7254.0054794520547</v>
      </c>
    </row>
    <row r="29" spans="1:10" ht="15">
      <c r="A29" s="897">
        <f t="shared" si="2"/>
        <v>15</v>
      </c>
      <c r="B29" s="894" t="s">
        <v>86</v>
      </c>
      <c r="C29" s="906">
        <f t="shared" si="3"/>
        <v>-105.5</v>
      </c>
      <c r="D29" s="906">
        <f t="shared" si="5"/>
        <v>-7750</v>
      </c>
      <c r="E29" s="922">
        <v>31</v>
      </c>
      <c r="F29" s="923">
        <v>62</v>
      </c>
      <c r="G29" s="907">
        <f t="shared" si="0"/>
        <v>0.16986301369863013</v>
      </c>
      <c r="H29" s="906">
        <f t="shared" si="1"/>
        <v>-17.920547945205477</v>
      </c>
      <c r="I29" s="906">
        <f t="shared" si="4"/>
        <v>-7271.9260273972604</v>
      </c>
    </row>
    <row r="30" spans="1:10" ht="15">
      <c r="A30" s="897">
        <f t="shared" si="2"/>
        <v>16</v>
      </c>
      <c r="B30" s="894" t="s">
        <v>79</v>
      </c>
      <c r="C30" s="906">
        <f t="shared" si="3"/>
        <v>-105.5</v>
      </c>
      <c r="D30" s="906">
        <f t="shared" si="5"/>
        <v>-7855.5</v>
      </c>
      <c r="E30" s="922">
        <v>30</v>
      </c>
      <c r="F30" s="923">
        <v>32</v>
      </c>
      <c r="G30" s="907">
        <f t="shared" si="0"/>
        <v>8.7671232876712329E-2</v>
      </c>
      <c r="H30" s="906">
        <f t="shared" si="1"/>
        <v>-9.24931506849315</v>
      </c>
      <c r="I30" s="906">
        <f t="shared" si="4"/>
        <v>-7281.1753424657536</v>
      </c>
    </row>
    <row r="31" spans="1:10" ht="15">
      <c r="A31" s="897">
        <f t="shared" si="2"/>
        <v>17</v>
      </c>
      <c r="B31" s="894" t="s">
        <v>78</v>
      </c>
      <c r="C31" s="906">
        <f t="shared" si="3"/>
        <v>-105.5</v>
      </c>
      <c r="D31" s="906">
        <f t="shared" si="5"/>
        <v>-7961</v>
      </c>
      <c r="E31" s="922">
        <v>31</v>
      </c>
      <c r="F31" s="923">
        <f>F30-E31</f>
        <v>1</v>
      </c>
      <c r="G31" s="907">
        <f t="shared" si="0"/>
        <v>2.7397260273972603E-3</v>
      </c>
      <c r="H31" s="906">
        <f t="shared" si="1"/>
        <v>-0.28904109589041094</v>
      </c>
      <c r="I31" s="906">
        <f t="shared" si="4"/>
        <v>-7281.4643835616444</v>
      </c>
    </row>
    <row r="32" spans="1:10">
      <c r="A32" s="897"/>
      <c r="B32" s="894"/>
      <c r="C32" s="894"/>
      <c r="D32" s="894"/>
      <c r="E32" s="894"/>
      <c r="F32" s="894"/>
      <c r="G32" s="894"/>
      <c r="H32" s="908"/>
      <c r="I32" s="894"/>
    </row>
    <row r="33" spans="1:9" ht="15">
      <c r="A33" s="897">
        <f>+A31+1</f>
        <v>18</v>
      </c>
      <c r="B33" s="894" t="s">
        <v>764</v>
      </c>
      <c r="C33" s="894"/>
      <c r="D33" s="909">
        <f>+D31</f>
        <v>-7961</v>
      </c>
      <c r="E33" s="894"/>
      <c r="F33" s="894"/>
      <c r="G33" s="894"/>
      <c r="H33" s="894"/>
      <c r="I33" s="909">
        <f>+I31</f>
        <v>-7281.4643835616444</v>
      </c>
    </row>
    <row r="34" spans="1:9">
      <c r="A34" s="897"/>
      <c r="B34" s="910"/>
      <c r="C34" s="910"/>
      <c r="D34" s="910"/>
      <c r="E34" s="910"/>
      <c r="F34" s="910"/>
      <c r="G34" s="910"/>
      <c r="H34" s="910"/>
      <c r="I34" s="910"/>
    </row>
    <row r="35" spans="1:9" ht="15.75" thickBot="1">
      <c r="A35" s="897">
        <f>+A33+1</f>
        <v>19</v>
      </c>
      <c r="B35" s="911" t="str">
        <f>"Proration Adjustment - Line "&amp;A33&amp;" Col. "&amp;I17&amp;" less Col. "&amp;D17</f>
        <v>Proration Adjustment - Line 18 Col. (H) less Col. (C )</v>
      </c>
      <c r="C35" s="911"/>
      <c r="D35" s="911"/>
      <c r="E35" s="911"/>
      <c r="F35" s="911"/>
      <c r="G35" s="911"/>
      <c r="H35" s="911"/>
      <c r="I35" s="927">
        <f>+I33-D33</f>
        <v>679.53561643835565</v>
      </c>
    </row>
    <row r="36" spans="1:9" ht="13.5" thickTop="1">
      <c r="B36" s="910"/>
      <c r="C36" s="910"/>
      <c r="D36" s="910"/>
      <c r="E36" s="910"/>
      <c r="F36" s="910"/>
      <c r="G36" s="910"/>
      <c r="H36" s="910"/>
      <c r="I36" s="910"/>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G7" sqref="G7"/>
    </sheetView>
  </sheetViews>
  <sheetFormatPr defaultColWidth="14" defaultRowHeight="12.75"/>
  <cols>
    <col min="1" max="1" width="5.77734375" style="99" bestFit="1" customWidth="1"/>
    <col min="2" max="2" width="20.88671875" style="321" customWidth="1"/>
    <col min="3" max="3" width="14.33203125" style="321" customWidth="1"/>
    <col min="4" max="4" width="14" style="321" customWidth="1"/>
    <col min="5" max="5" width="12.5546875" style="321" customWidth="1"/>
    <col min="6" max="6" width="13.33203125" style="321" customWidth="1"/>
    <col min="7" max="7" width="12.77734375" style="321" customWidth="1"/>
    <col min="8" max="9" width="8.5546875" style="321" customWidth="1"/>
    <col min="10" max="10" width="13.6640625" style="321" bestFit="1" customWidth="1"/>
    <col min="11" max="11" width="12.5546875" style="321" bestFit="1" customWidth="1"/>
    <col min="12" max="12" width="11.21875" style="321" bestFit="1" customWidth="1"/>
    <col min="13" max="13" width="12.77734375" style="321" customWidth="1"/>
    <col min="14" max="14" width="14" style="321"/>
    <col min="15" max="15" width="10" style="321" bestFit="1" customWidth="1"/>
    <col min="16" max="16384" width="14" style="321"/>
  </cols>
  <sheetData>
    <row r="1" spans="1:15">
      <c r="A1" s="1008" t="s">
        <v>184</v>
      </c>
      <c r="B1" s="1008"/>
      <c r="C1" s="1008"/>
      <c r="D1" s="1008"/>
      <c r="E1" s="1008"/>
      <c r="F1" s="1008"/>
      <c r="G1" s="1008"/>
      <c r="H1" s="1008"/>
      <c r="I1" s="1008"/>
      <c r="J1" s="1008"/>
    </row>
    <row r="2" spans="1:15" ht="15" customHeight="1">
      <c r="A2" s="1026" t="s">
        <v>451</v>
      </c>
      <c r="B2" s="1026"/>
      <c r="C2" s="1026"/>
      <c r="D2" s="1026"/>
      <c r="E2" s="1026"/>
      <c r="F2" s="1026"/>
      <c r="G2" s="1026"/>
      <c r="H2" s="1026"/>
      <c r="I2" s="1026"/>
      <c r="J2" s="1026"/>
    </row>
    <row r="3" spans="1:15">
      <c r="A3" s="1010" t="str">
        <f>+'Attachment H-30A'!$D$5</f>
        <v>Transource Maryland, LLC</v>
      </c>
      <c r="B3" s="1010"/>
      <c r="C3" s="1010"/>
      <c r="D3" s="1010"/>
      <c r="E3" s="1010"/>
      <c r="F3" s="1010"/>
      <c r="G3" s="1010"/>
      <c r="H3" s="1010"/>
      <c r="I3" s="1010"/>
      <c r="J3" s="1010"/>
      <c r="K3" s="543"/>
      <c r="L3" s="543"/>
      <c r="M3" s="543"/>
      <c r="N3" s="543"/>
    </row>
    <row r="4" spans="1:15">
      <c r="B4" s="541"/>
    </row>
    <row r="5" spans="1:15">
      <c r="A5" s="258"/>
      <c r="B5" s="26" t="s">
        <v>437</v>
      </c>
      <c r="C5" s="541"/>
      <c r="F5" s="541"/>
      <c r="G5" s="541"/>
      <c r="H5" s="541"/>
      <c r="I5" s="541"/>
      <c r="J5" s="541"/>
      <c r="K5" s="269"/>
      <c r="L5" s="541"/>
      <c r="N5" s="101"/>
      <c r="O5" s="101"/>
    </row>
    <row r="6" spans="1:15" ht="16.5" thickBot="1">
      <c r="A6" s="258"/>
      <c r="B6" s="26"/>
      <c r="C6" s="541"/>
      <c r="D6" s="270"/>
      <c r="E6" s="270"/>
      <c r="F6" s="393" t="s">
        <v>48</v>
      </c>
      <c r="G6" s="270"/>
      <c r="H6" s="270"/>
      <c r="I6" s="270"/>
      <c r="K6" s="269"/>
      <c r="L6" s="541"/>
      <c r="N6" s="101"/>
      <c r="O6" s="101"/>
    </row>
    <row r="7" spans="1:15" ht="15.75">
      <c r="A7" s="258">
        <v>1</v>
      </c>
      <c r="B7" s="26" t="s">
        <v>724</v>
      </c>
      <c r="C7" s="26"/>
      <c r="F7" s="325">
        <v>301205.5</v>
      </c>
      <c r="G7" s="1039"/>
      <c r="H7" s="270"/>
      <c r="I7" s="270"/>
      <c r="N7" s="102"/>
      <c r="O7" s="102"/>
    </row>
    <row r="8" spans="1:15" ht="15.75">
      <c r="A8" s="258"/>
      <c r="B8" s="26"/>
      <c r="C8" s="26"/>
      <c r="F8" s="158"/>
      <c r="G8" s="270"/>
      <c r="H8" s="270"/>
      <c r="I8" s="270"/>
      <c r="N8" s="102"/>
      <c r="O8" s="102"/>
    </row>
    <row r="9" spans="1:15" ht="15.75">
      <c r="A9" s="258">
        <f>+A7+1</f>
        <v>2</v>
      </c>
      <c r="B9" s="26" t="s">
        <v>275</v>
      </c>
      <c r="C9" s="26"/>
      <c r="F9" s="145">
        <v>0</v>
      </c>
      <c r="G9" s="270"/>
      <c r="H9" s="270"/>
      <c r="I9" s="271"/>
      <c r="N9" s="101"/>
      <c r="O9" s="101"/>
    </row>
    <row r="10" spans="1:15" ht="15.75">
      <c r="A10" s="258"/>
      <c r="B10" s="26"/>
      <c r="C10" s="26"/>
      <c r="F10" s="406"/>
      <c r="G10" s="270"/>
      <c r="H10" s="270"/>
      <c r="I10" s="270"/>
      <c r="N10" s="101"/>
      <c r="O10" s="101"/>
    </row>
    <row r="11" spans="1:15" ht="15.75">
      <c r="A11" s="258">
        <f>+A9+1</f>
        <v>3</v>
      </c>
      <c r="B11" s="106" t="s">
        <v>718</v>
      </c>
      <c r="C11" s="106"/>
      <c r="F11" s="158">
        <f>+E40</f>
        <v>12121153.846153846</v>
      </c>
      <c r="G11" s="270"/>
      <c r="H11" s="270"/>
      <c r="I11" s="270"/>
    </row>
    <row r="12" spans="1:15" ht="15.75">
      <c r="A12" s="258">
        <f t="shared" ref="A12:A22" si="0">+A11+1</f>
        <v>4</v>
      </c>
      <c r="B12" s="106" t="s">
        <v>840</v>
      </c>
      <c r="C12" s="106"/>
      <c r="F12" s="394">
        <f>-D40</f>
        <v>0</v>
      </c>
      <c r="G12" s="270"/>
      <c r="H12" s="270"/>
      <c r="I12" s="270"/>
    </row>
    <row r="13" spans="1:15" ht="15.75">
      <c r="A13" s="258">
        <f t="shared" si="0"/>
        <v>5</v>
      </c>
      <c r="B13" s="106" t="s">
        <v>719</v>
      </c>
      <c r="C13" s="106"/>
      <c r="F13" s="394">
        <f>-F40</f>
        <v>0</v>
      </c>
      <c r="G13" s="270"/>
      <c r="H13" s="270"/>
      <c r="I13" s="270"/>
    </row>
    <row r="14" spans="1:15" ht="16.5" thickBot="1">
      <c r="A14" s="258">
        <f t="shared" si="0"/>
        <v>6</v>
      </c>
      <c r="B14" s="106" t="s">
        <v>720</v>
      </c>
      <c r="C14" s="106"/>
      <c r="F14" s="170">
        <f>-G40</f>
        <v>0</v>
      </c>
      <c r="G14" s="270"/>
      <c r="H14" s="270"/>
      <c r="I14" s="270"/>
    </row>
    <row r="15" spans="1:15" ht="15.75">
      <c r="A15" s="258">
        <f t="shared" si="0"/>
        <v>7</v>
      </c>
      <c r="B15" s="106" t="s">
        <v>277</v>
      </c>
      <c r="C15" s="32" t="s">
        <v>458</v>
      </c>
      <c r="F15" s="545">
        <f>+SUM(F11:F14)</f>
        <v>12121153.846153846</v>
      </c>
      <c r="G15" s="272"/>
      <c r="H15" s="273"/>
      <c r="I15" s="272"/>
    </row>
    <row r="16" spans="1:15">
      <c r="A16" s="258"/>
      <c r="B16" s="106"/>
      <c r="C16" s="502"/>
      <c r="J16" s="406"/>
    </row>
    <row r="17" spans="1:10">
      <c r="A17" s="258"/>
      <c r="B17" s="543"/>
      <c r="C17" s="502"/>
      <c r="F17" s="541"/>
      <c r="G17" s="541"/>
      <c r="I17" s="541"/>
      <c r="J17" s="541"/>
    </row>
    <row r="18" spans="1:10" ht="13.5" thickBot="1">
      <c r="A18" s="258"/>
      <c r="B18" s="543"/>
      <c r="C18" s="502"/>
      <c r="F18" s="31" t="s">
        <v>48</v>
      </c>
      <c r="G18" s="31" t="s">
        <v>58</v>
      </c>
      <c r="H18" s="31" t="s">
        <v>57</v>
      </c>
      <c r="I18" s="31" t="s">
        <v>59</v>
      </c>
      <c r="J18" s="541"/>
    </row>
    <row r="19" spans="1:10">
      <c r="A19" s="258">
        <f>+A15+1</f>
        <v>8</v>
      </c>
      <c r="B19" s="106" t="s">
        <v>227</v>
      </c>
      <c r="C19" s="32" t="s">
        <v>887</v>
      </c>
      <c r="F19" s="194">
        <f>+C40</f>
        <v>8080769.230769231</v>
      </c>
      <c r="G19" s="284">
        <v>0.4</v>
      </c>
      <c r="H19" s="368">
        <f>'8-Construction Debt'!D13</f>
        <v>3.7274359828653021E-2</v>
      </c>
      <c r="I19" s="213">
        <f>G19*H19</f>
        <v>1.490974393146121E-2</v>
      </c>
      <c r="J19" s="193" t="s">
        <v>60</v>
      </c>
    </row>
    <row r="20" spans="1:10">
      <c r="A20" s="258">
        <f t="shared" si="0"/>
        <v>9</v>
      </c>
      <c r="B20" s="106" t="s">
        <v>455</v>
      </c>
      <c r="C20" s="32" t="s">
        <v>888</v>
      </c>
      <c r="F20" s="194">
        <f>+D40</f>
        <v>0</v>
      </c>
      <c r="G20" s="284">
        <v>0</v>
      </c>
      <c r="H20" s="368">
        <f>IFERROR(+F9/F20,0)</f>
        <v>0</v>
      </c>
      <c r="I20" s="213">
        <f>G20*H20</f>
        <v>0</v>
      </c>
      <c r="J20" s="541"/>
    </row>
    <row r="21" spans="1:10" ht="13.5" thickBot="1">
      <c r="A21" s="258">
        <f t="shared" si="0"/>
        <v>10</v>
      </c>
      <c r="B21" s="26" t="s">
        <v>262</v>
      </c>
      <c r="C21" s="34" t="s">
        <v>889</v>
      </c>
      <c r="F21" s="279">
        <f>+F15</f>
        <v>12121153.846153846</v>
      </c>
      <c r="G21" s="284">
        <v>0.6</v>
      </c>
      <c r="H21" s="368">
        <f>+'Attachment H-30A'!G205</f>
        <v>0.10400000000000001</v>
      </c>
      <c r="I21" s="332">
        <f>G21*H21</f>
        <v>6.2400000000000004E-2</v>
      </c>
      <c r="J21" s="541"/>
    </row>
    <row r="22" spans="1:10">
      <c r="A22" s="258">
        <f t="shared" si="0"/>
        <v>11</v>
      </c>
      <c r="B22" s="542" t="s">
        <v>220</v>
      </c>
      <c r="C22" s="34" t="s">
        <v>457</v>
      </c>
      <c r="F22" s="194">
        <f>SUM(F19:F21)</f>
        <v>20201923.076923076</v>
      </c>
      <c r="G22" s="541" t="s">
        <v>2</v>
      </c>
      <c r="H22" s="502"/>
      <c r="I22" s="213">
        <f>SUM(I19:I21)</f>
        <v>7.7309743931461214E-2</v>
      </c>
      <c r="J22" s="193" t="s">
        <v>61</v>
      </c>
    </row>
    <row r="23" spans="1:10">
      <c r="A23" s="258"/>
    </row>
    <row r="24" spans="1:10">
      <c r="A24" s="251"/>
    </row>
    <row r="25" spans="1:10">
      <c r="C25" s="216" t="s">
        <v>190</v>
      </c>
      <c r="D25" s="216" t="s">
        <v>191</v>
      </c>
      <c r="E25" s="378" t="s">
        <v>450</v>
      </c>
      <c r="F25" s="216" t="s">
        <v>193</v>
      </c>
      <c r="G25" s="216" t="s">
        <v>195</v>
      </c>
    </row>
    <row r="26" spans="1:10" ht="45.75" customHeight="1">
      <c r="A26" s="370"/>
      <c r="B26" s="372" t="s">
        <v>446</v>
      </c>
      <c r="C26" s="377" t="s">
        <v>729</v>
      </c>
      <c r="D26" s="800" t="s">
        <v>709</v>
      </c>
      <c r="E26" s="377" t="s">
        <v>276</v>
      </c>
      <c r="F26" s="359" t="s">
        <v>453</v>
      </c>
      <c r="G26" s="359" t="s">
        <v>454</v>
      </c>
    </row>
    <row r="27" spans="1:10">
      <c r="A27" s="371">
        <f>+A22+1</f>
        <v>12</v>
      </c>
      <c r="B27" s="373" t="s">
        <v>447</v>
      </c>
      <c r="C27" s="979">
        <v>6350000</v>
      </c>
      <c r="D27" s="979">
        <v>0</v>
      </c>
      <c r="E27" s="979">
        <v>9525000</v>
      </c>
      <c r="F27" s="979">
        <v>0</v>
      </c>
      <c r="G27" s="979">
        <v>0</v>
      </c>
    </row>
    <row r="28" spans="1:10">
      <c r="A28" s="371">
        <f>+A27+1</f>
        <v>13</v>
      </c>
      <c r="B28" s="374" t="s">
        <v>85</v>
      </c>
      <c r="C28" s="970">
        <v>6850000</v>
      </c>
      <c r="D28" s="970">
        <v>0</v>
      </c>
      <c r="E28" s="970">
        <v>10275000</v>
      </c>
      <c r="F28" s="970">
        <v>0</v>
      </c>
      <c r="G28" s="970">
        <v>0</v>
      </c>
    </row>
    <row r="29" spans="1:10">
      <c r="A29" s="371">
        <f t="shared" ref="A29:A40" si="1">+A28+1</f>
        <v>14</v>
      </c>
      <c r="B29" s="375" t="s">
        <v>84</v>
      </c>
      <c r="C29" s="970">
        <v>6850000</v>
      </c>
      <c r="D29" s="970">
        <v>0</v>
      </c>
      <c r="E29" s="970">
        <v>10275000</v>
      </c>
      <c r="F29" s="970">
        <v>0</v>
      </c>
      <c r="G29" s="970">
        <v>0</v>
      </c>
    </row>
    <row r="30" spans="1:10">
      <c r="A30" s="371">
        <f t="shared" si="1"/>
        <v>15</v>
      </c>
      <c r="B30" s="375" t="s">
        <v>83</v>
      </c>
      <c r="C30" s="970">
        <v>6850000</v>
      </c>
      <c r="D30" s="970">
        <v>0</v>
      </c>
      <c r="E30" s="970">
        <v>10275000</v>
      </c>
      <c r="F30" s="970">
        <v>0</v>
      </c>
      <c r="G30" s="970">
        <v>0</v>
      </c>
    </row>
    <row r="31" spans="1:10">
      <c r="A31" s="371">
        <f t="shared" si="1"/>
        <v>16</v>
      </c>
      <c r="B31" s="374" t="s">
        <v>76</v>
      </c>
      <c r="C31" s="970">
        <v>7350000</v>
      </c>
      <c r="D31" s="970">
        <v>0</v>
      </c>
      <c r="E31" s="970">
        <v>11025000</v>
      </c>
      <c r="F31" s="970">
        <v>0</v>
      </c>
      <c r="G31" s="970">
        <v>0</v>
      </c>
    </row>
    <row r="32" spans="1:10">
      <c r="A32" s="371">
        <f t="shared" si="1"/>
        <v>17</v>
      </c>
      <c r="B32" s="375" t="s">
        <v>75</v>
      </c>
      <c r="C32" s="970">
        <v>7350000</v>
      </c>
      <c r="D32" s="970">
        <v>0</v>
      </c>
      <c r="E32" s="970">
        <v>11025000</v>
      </c>
      <c r="F32" s="970">
        <v>0</v>
      </c>
      <c r="G32" s="970">
        <v>0</v>
      </c>
    </row>
    <row r="33" spans="1:13">
      <c r="A33" s="371">
        <f t="shared" si="1"/>
        <v>18</v>
      </c>
      <c r="B33" s="375" t="s">
        <v>448</v>
      </c>
      <c r="C33" s="970">
        <v>7350000</v>
      </c>
      <c r="D33" s="970">
        <v>0</v>
      </c>
      <c r="E33" s="970">
        <v>11025000</v>
      </c>
      <c r="F33" s="970">
        <v>0</v>
      </c>
      <c r="G33" s="970">
        <v>0</v>
      </c>
    </row>
    <row r="34" spans="1:13">
      <c r="A34" s="371">
        <f t="shared" si="1"/>
        <v>19</v>
      </c>
      <c r="B34" s="374" t="s">
        <v>82</v>
      </c>
      <c r="C34" s="970">
        <v>7850000</v>
      </c>
      <c r="D34" s="970">
        <v>0</v>
      </c>
      <c r="E34" s="970">
        <v>11775000</v>
      </c>
      <c r="F34" s="970">
        <v>0</v>
      </c>
      <c r="G34" s="970">
        <v>0</v>
      </c>
    </row>
    <row r="35" spans="1:13">
      <c r="A35" s="371">
        <f t="shared" si="1"/>
        <v>20</v>
      </c>
      <c r="B35" s="375" t="s">
        <v>81</v>
      </c>
      <c r="C35" s="970">
        <v>8350000</v>
      </c>
      <c r="D35" s="970">
        <v>0</v>
      </c>
      <c r="E35" s="970">
        <v>12525000</v>
      </c>
      <c r="F35" s="970">
        <v>0</v>
      </c>
      <c r="G35" s="970">
        <v>0</v>
      </c>
    </row>
    <row r="36" spans="1:13">
      <c r="A36" s="371">
        <f t="shared" si="1"/>
        <v>21</v>
      </c>
      <c r="B36" s="375" t="s">
        <v>80</v>
      </c>
      <c r="C36" s="970">
        <v>9350000</v>
      </c>
      <c r="D36" s="970">
        <v>0</v>
      </c>
      <c r="E36" s="970">
        <v>14025000</v>
      </c>
      <c r="F36" s="970">
        <v>0</v>
      </c>
      <c r="G36" s="970">
        <v>0</v>
      </c>
    </row>
    <row r="37" spans="1:13">
      <c r="A37" s="371">
        <f t="shared" si="1"/>
        <v>22</v>
      </c>
      <c r="B37" s="374" t="s">
        <v>449</v>
      </c>
      <c r="C37" s="970">
        <v>9850000</v>
      </c>
      <c r="D37" s="970">
        <v>0</v>
      </c>
      <c r="E37" s="970">
        <v>14775000</v>
      </c>
      <c r="F37" s="970">
        <v>0</v>
      </c>
      <c r="G37" s="970">
        <v>0</v>
      </c>
    </row>
    <row r="38" spans="1:13">
      <c r="A38" s="371">
        <f t="shared" si="1"/>
        <v>23</v>
      </c>
      <c r="B38" s="374" t="s">
        <v>79</v>
      </c>
      <c r="C38" s="970">
        <v>9850000</v>
      </c>
      <c r="D38" s="970">
        <v>0</v>
      </c>
      <c r="E38" s="970">
        <v>14775000</v>
      </c>
      <c r="F38" s="970">
        <v>0</v>
      </c>
      <c r="G38" s="970">
        <v>0</v>
      </c>
    </row>
    <row r="39" spans="1:13">
      <c r="A39" s="371">
        <f t="shared" si="1"/>
        <v>24</v>
      </c>
      <c r="B39" s="375" t="s">
        <v>78</v>
      </c>
      <c r="C39" s="969">
        <v>10850000</v>
      </c>
      <c r="D39" s="969">
        <v>0</v>
      </c>
      <c r="E39" s="969">
        <v>16275000</v>
      </c>
      <c r="F39" s="969">
        <v>0</v>
      </c>
      <c r="G39" s="969">
        <v>0</v>
      </c>
    </row>
    <row r="40" spans="1:13">
      <c r="A40" s="371">
        <f t="shared" si="1"/>
        <v>25</v>
      </c>
      <c r="B40" s="376" t="s">
        <v>568</v>
      </c>
      <c r="C40" s="295">
        <f>+SUM(C27:C39)/13</f>
        <v>8080769.230769231</v>
      </c>
      <c r="D40" s="295">
        <f>+SUM(D27:D39)/13</f>
        <v>0</v>
      </c>
      <c r="E40" s="295">
        <f>+SUM(E27:E39)/13</f>
        <v>12121153.846153846</v>
      </c>
      <c r="F40" s="585">
        <f>+SUM(F27:F39)/13</f>
        <v>0</v>
      </c>
      <c r="G40" s="585">
        <f>+SUM(G27:G39)/13</f>
        <v>0</v>
      </c>
    </row>
    <row r="42" spans="1:13">
      <c r="A42" s="652" t="s">
        <v>525</v>
      </c>
    </row>
    <row r="43" spans="1:13" ht="15" customHeight="1">
      <c r="A43" s="259" t="s">
        <v>62</v>
      </c>
      <c r="B43" s="996" t="s">
        <v>456</v>
      </c>
      <c r="C43" s="996"/>
      <c r="D43" s="996"/>
      <c r="E43" s="996"/>
      <c r="F43" s="996"/>
      <c r="G43" s="996"/>
      <c r="H43" s="996"/>
      <c r="I43" s="996"/>
    </row>
    <row r="44" spans="1:13" s="565" customFormat="1">
      <c r="B44" s="996"/>
      <c r="C44" s="996"/>
      <c r="D44" s="996"/>
      <c r="E44" s="996"/>
      <c r="F44" s="996"/>
      <c r="G44" s="996"/>
      <c r="H44" s="996"/>
      <c r="I44" s="996"/>
    </row>
    <row r="45" spans="1:13" s="565" customFormat="1">
      <c r="A45" s="259" t="s">
        <v>63</v>
      </c>
      <c r="B45" s="565" t="s">
        <v>376</v>
      </c>
    </row>
    <row r="46" spans="1:13" s="565" customFormat="1">
      <c r="A46" s="259" t="s">
        <v>64</v>
      </c>
      <c r="B46" s="565" t="s">
        <v>459</v>
      </c>
    </row>
    <row r="47" spans="1:13" s="565" customFormat="1" ht="39.75" customHeight="1">
      <c r="A47" s="324" t="s">
        <v>65</v>
      </c>
      <c r="B47" s="982" t="s">
        <v>829</v>
      </c>
      <c r="C47" s="982"/>
      <c r="D47" s="982"/>
      <c r="E47" s="982"/>
      <c r="F47" s="982"/>
      <c r="G47" s="982"/>
      <c r="H47" s="982"/>
      <c r="I47" s="982"/>
      <c r="J47" s="850"/>
      <c r="K47" s="850"/>
      <c r="L47" s="850"/>
      <c r="M47" s="799"/>
    </row>
    <row r="48" spans="1:13" s="565" customFormat="1">
      <c r="A48" s="324"/>
      <c r="B48" s="653"/>
      <c r="C48" s="653"/>
      <c r="D48" s="653"/>
      <c r="E48" s="653"/>
      <c r="F48" s="653"/>
      <c r="G48" s="653"/>
      <c r="H48" s="653"/>
      <c r="I48" s="653"/>
      <c r="J48" s="653"/>
      <c r="K48" s="653"/>
      <c r="L48" s="653"/>
      <c r="M48" s="653"/>
    </row>
    <row r="49" spans="1:13" s="565" customFormat="1">
      <c r="A49" s="324"/>
      <c r="B49" s="653"/>
      <c r="C49" s="653"/>
      <c r="D49" s="653"/>
      <c r="E49" s="653"/>
      <c r="F49" s="653"/>
      <c r="G49" s="653"/>
      <c r="H49" s="653"/>
      <c r="I49" s="653"/>
      <c r="J49" s="653"/>
      <c r="K49" s="653"/>
      <c r="L49" s="653"/>
      <c r="M49" s="653"/>
    </row>
    <row r="50" spans="1:13" s="565" customFormat="1">
      <c r="A50" s="324"/>
      <c r="B50" s="653"/>
      <c r="C50" s="653"/>
      <c r="D50" s="653"/>
      <c r="E50" s="653"/>
      <c r="F50" s="653"/>
      <c r="G50" s="653"/>
      <c r="H50" s="653"/>
      <c r="I50" s="653"/>
      <c r="J50" s="653"/>
      <c r="K50" s="653"/>
      <c r="L50" s="653"/>
      <c r="M50" s="653"/>
    </row>
    <row r="51" spans="1:13" s="565" customFormat="1">
      <c r="A51" s="324"/>
      <c r="B51" s="653"/>
      <c r="C51" s="653"/>
      <c r="D51" s="653"/>
      <c r="E51" s="653"/>
      <c r="F51" s="653"/>
      <c r="G51" s="653"/>
      <c r="H51" s="653"/>
      <c r="I51" s="653"/>
      <c r="J51" s="653"/>
      <c r="K51" s="653"/>
      <c r="L51" s="653"/>
      <c r="M51" s="653"/>
    </row>
    <row r="52" spans="1:13" s="565" customFormat="1">
      <c r="A52" s="324"/>
      <c r="B52" s="653"/>
      <c r="C52" s="653"/>
      <c r="D52" s="653"/>
      <c r="E52" s="653"/>
      <c r="F52" s="653"/>
      <c r="G52" s="653"/>
      <c r="H52" s="653"/>
      <c r="I52" s="653"/>
      <c r="J52" s="653"/>
      <c r="K52" s="653"/>
      <c r="L52" s="653"/>
      <c r="M52" s="653"/>
    </row>
    <row r="53" spans="1:13" s="565" customFormat="1">
      <c r="A53" s="324"/>
      <c r="B53" s="653"/>
      <c r="C53" s="653"/>
      <c r="D53" s="653"/>
      <c r="E53" s="653"/>
      <c r="F53" s="653"/>
      <c r="G53" s="653"/>
      <c r="H53" s="653"/>
      <c r="I53" s="653"/>
      <c r="J53" s="653"/>
      <c r="K53" s="653"/>
      <c r="L53" s="653"/>
      <c r="M53" s="653"/>
    </row>
    <row r="54" spans="1:13" s="565" customFormat="1">
      <c r="A54" s="324"/>
      <c r="B54" s="653"/>
      <c r="C54" s="653"/>
      <c r="D54" s="653"/>
      <c r="E54" s="653"/>
      <c r="F54" s="653"/>
      <c r="G54" s="653"/>
      <c r="H54" s="653"/>
      <c r="I54" s="653"/>
      <c r="J54" s="653"/>
      <c r="K54" s="653"/>
      <c r="L54" s="653"/>
      <c r="M54" s="653"/>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4"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9" sqref="A9"/>
    </sheetView>
  </sheetViews>
  <sheetFormatPr defaultColWidth="8.88671875" defaultRowHeight="15"/>
  <cols>
    <col min="1" max="1" width="21.77734375" style="610" customWidth="1"/>
    <col min="2" max="2" width="26.33203125" style="610" customWidth="1"/>
    <col min="3" max="3" width="2.33203125" style="610" customWidth="1"/>
    <col min="4" max="4" width="18.77734375" style="610" customWidth="1"/>
    <col min="5" max="5" width="1.77734375" style="610" customWidth="1"/>
    <col min="6" max="6" width="18.6640625" style="610" customWidth="1"/>
    <col min="7" max="7" width="12.77734375" style="610" customWidth="1"/>
    <col min="8" max="8" width="15" style="610" customWidth="1"/>
    <col min="9" max="9" width="15.77734375" style="610" customWidth="1"/>
    <col min="10" max="10" width="1.44140625" style="610" customWidth="1"/>
    <col min="11" max="11" width="22.109375" style="610" bestFit="1" customWidth="1"/>
    <col min="12" max="12" width="8.88671875" style="610"/>
    <col min="13" max="13" width="8.44140625" style="610" bestFit="1" customWidth="1"/>
    <col min="14" max="16384" width="8.88671875" style="610"/>
  </cols>
  <sheetData>
    <row r="1" spans="1:11" s="608" customFormat="1">
      <c r="A1" s="1008" t="s">
        <v>185</v>
      </c>
      <c r="B1" s="1008"/>
      <c r="C1" s="1008"/>
      <c r="D1" s="1008"/>
      <c r="E1" s="1008"/>
      <c r="F1" s="1008"/>
      <c r="G1" s="1008"/>
      <c r="H1" s="1008"/>
      <c r="I1" s="1008"/>
      <c r="J1" s="1008"/>
      <c r="K1" s="1008"/>
    </row>
    <row r="2" spans="1:11" s="608" customFormat="1">
      <c r="A2" s="1009" t="s">
        <v>622</v>
      </c>
      <c r="B2" s="1009"/>
      <c r="C2" s="1009"/>
      <c r="D2" s="1009"/>
      <c r="E2" s="1009"/>
      <c r="F2" s="1009"/>
      <c r="G2" s="1009"/>
      <c r="H2" s="1009"/>
      <c r="I2" s="1009"/>
      <c r="J2" s="1009"/>
      <c r="K2" s="1009"/>
    </row>
    <row r="3" spans="1:11" s="608" customFormat="1" ht="18" customHeight="1">
      <c r="A3" s="1010" t="str">
        <f>+'Attachment H-30A'!D5</f>
        <v>Transource Maryland, LLC</v>
      </c>
      <c r="B3" s="1010"/>
      <c r="C3" s="1010"/>
      <c r="D3" s="1010"/>
      <c r="E3" s="1010"/>
      <c r="F3" s="1010"/>
      <c r="G3" s="1010"/>
      <c r="H3" s="1010"/>
      <c r="I3" s="1010"/>
      <c r="J3" s="1010"/>
      <c r="K3" s="1010"/>
    </row>
    <row r="4" spans="1:11">
      <c r="A4" s="609"/>
      <c r="B4" s="609"/>
      <c r="C4" s="609"/>
      <c r="D4" s="609"/>
      <c r="E4" s="609"/>
      <c r="F4" s="609"/>
      <c r="G4" s="609"/>
      <c r="H4" s="609"/>
      <c r="I4" s="609"/>
      <c r="J4" s="609"/>
      <c r="K4" s="609"/>
    </row>
    <row r="5" spans="1:11">
      <c r="A5" s="609"/>
      <c r="B5" s="609"/>
      <c r="C5" s="609"/>
      <c r="D5" s="609"/>
      <c r="E5" s="609"/>
      <c r="F5" s="609"/>
      <c r="G5" s="609"/>
      <c r="H5" s="609"/>
      <c r="I5" s="609"/>
      <c r="J5" s="609"/>
      <c r="K5" s="609"/>
    </row>
    <row r="6" spans="1:11" s="564" customFormat="1" ht="13.5" thickBot="1">
      <c r="A6" s="619">
        <v>2018</v>
      </c>
      <c r="B6" s="620"/>
      <c r="C6" s="620"/>
      <c r="D6" s="787">
        <f>+A6</f>
        <v>2018</v>
      </c>
      <c r="E6" s="621"/>
      <c r="F6" s="621"/>
      <c r="G6" s="621"/>
      <c r="H6" s="621"/>
      <c r="J6" s="621"/>
      <c r="K6" s="621"/>
    </row>
    <row r="7" spans="1:11" s="564" customFormat="1" ht="25.5">
      <c r="A7" s="622" t="s">
        <v>696</v>
      </c>
      <c r="B7" s="621"/>
      <c r="C7" s="621"/>
      <c r="D7" s="622" t="s">
        <v>695</v>
      </c>
      <c r="E7" s="621"/>
      <c r="F7" s="621"/>
      <c r="G7" s="622" t="s">
        <v>605</v>
      </c>
      <c r="J7" s="621"/>
      <c r="K7" s="621"/>
    </row>
    <row r="8" spans="1:11" s="564" customFormat="1" ht="12.75">
      <c r="A8" s="623"/>
      <c r="B8" s="621"/>
      <c r="C8" s="621"/>
      <c r="D8" s="623"/>
      <c r="E8" s="621"/>
      <c r="F8" s="621"/>
      <c r="G8" s="624"/>
      <c r="J8" s="621"/>
      <c r="K8" s="621"/>
    </row>
    <row r="9" spans="1:11" s="564" customFormat="1" ht="13.5" thickBot="1">
      <c r="A9" s="784">
        <f>+'3-Project True-up'!E19</f>
        <v>1161652.3931471431</v>
      </c>
      <c r="B9" s="626" t="s">
        <v>606</v>
      </c>
      <c r="C9" s="627"/>
      <c r="D9" s="625">
        <f>+'3-Project True-up'!H29</f>
        <v>902885.39604596689</v>
      </c>
      <c r="E9" s="628"/>
      <c r="F9" s="626" t="s">
        <v>607</v>
      </c>
      <c r="G9" s="629">
        <f>IF(D9=0,0,A9-D9)</f>
        <v>258766.99710117618</v>
      </c>
      <c r="J9" s="621"/>
      <c r="K9" s="621"/>
    </row>
    <row r="10" spans="1:11" s="564" customFormat="1" ht="12.75">
      <c r="A10" s="628"/>
      <c r="B10" s="627"/>
      <c r="C10" s="627"/>
      <c r="D10" s="628"/>
      <c r="E10" s="628"/>
      <c r="F10" s="627"/>
      <c r="G10" s="628"/>
      <c r="H10" s="621"/>
      <c r="I10" s="621"/>
      <c r="J10" s="621"/>
      <c r="K10" s="621"/>
    </row>
    <row r="11" spans="1:11" s="564" customFormat="1" ht="12.75">
      <c r="A11" s="628" t="s">
        <v>885</v>
      </c>
      <c r="B11" s="627"/>
      <c r="C11" s="627"/>
      <c r="D11" s="628"/>
      <c r="E11" s="628"/>
      <c r="F11" s="627"/>
      <c r="G11" s="628"/>
      <c r="H11" s="621"/>
      <c r="I11" s="621"/>
      <c r="J11" s="621"/>
      <c r="K11" s="621"/>
    </row>
    <row r="12" spans="1:11" s="564" customFormat="1" ht="12.75">
      <c r="A12" s="628" t="s">
        <v>886</v>
      </c>
      <c r="B12" s="627"/>
      <c r="C12" s="627"/>
      <c r="D12" s="628"/>
      <c r="E12" s="628"/>
      <c r="F12" s="627"/>
      <c r="G12" s="628"/>
      <c r="H12" s="621"/>
      <c r="I12" s="621"/>
      <c r="J12" s="621"/>
      <c r="K12" s="621"/>
    </row>
    <row r="13" spans="1:11" s="564" customFormat="1" ht="12.75">
      <c r="A13" s="628"/>
      <c r="B13" s="627"/>
      <c r="C13" s="627"/>
      <c r="D13" s="628"/>
      <c r="E13" s="628"/>
      <c r="F13" s="627"/>
      <c r="G13" s="628"/>
      <c r="H13" s="621"/>
      <c r="I13" s="621"/>
      <c r="J13" s="621"/>
      <c r="K13" s="621"/>
    </row>
    <row r="14" spans="1:11" s="564" customFormat="1" ht="13.5" thickBot="1">
      <c r="A14" s="630"/>
      <c r="B14" s="631"/>
      <c r="C14" s="631"/>
      <c r="D14" s="630"/>
      <c r="E14" s="630"/>
      <c r="F14" s="631"/>
      <c r="G14" s="630"/>
      <c r="H14" s="632"/>
      <c r="I14" s="632"/>
      <c r="J14" s="632"/>
      <c r="K14" s="632"/>
    </row>
    <row r="15" spans="1:11" s="564" customFormat="1" ht="8.25" customHeight="1">
      <c r="A15" s="633"/>
      <c r="B15" s="627"/>
      <c r="C15" s="627"/>
      <c r="D15" s="628"/>
      <c r="E15" s="628"/>
      <c r="F15" s="627"/>
      <c r="G15" s="628"/>
      <c r="H15" s="621"/>
      <c r="I15" s="621"/>
      <c r="J15" s="621"/>
      <c r="K15" s="621"/>
    </row>
    <row r="16" spans="1:11" s="564" customFormat="1" ht="53.25" customHeight="1">
      <c r="A16" s="634" t="s">
        <v>608</v>
      </c>
      <c r="B16" s="627"/>
      <c r="C16" s="627"/>
      <c r="D16" s="635" t="s">
        <v>609</v>
      </c>
      <c r="E16" s="628"/>
      <c r="F16" s="635" t="s">
        <v>678</v>
      </c>
      <c r="G16" s="626" t="s">
        <v>610</v>
      </c>
      <c r="H16" s="636" t="s">
        <v>611</v>
      </c>
      <c r="I16" s="635" t="s">
        <v>612</v>
      </c>
      <c r="J16" s="637"/>
      <c r="K16" s="635" t="s">
        <v>613</v>
      </c>
    </row>
    <row r="17" spans="1:11" s="564" customFormat="1" ht="12.75">
      <c r="A17" s="634"/>
      <c r="B17" s="627"/>
      <c r="C17" s="627"/>
      <c r="D17" s="621"/>
      <c r="E17" s="638"/>
      <c r="F17" s="639">
        <f>+'6a - True-up Interest Rate'!E33</f>
        <v>4.0833333333333329E-3</v>
      </c>
      <c r="G17" s="628"/>
      <c r="H17" s="621"/>
      <c r="I17" s="621"/>
      <c r="J17" s="621"/>
      <c r="K17" s="621"/>
    </row>
    <row r="18" spans="1:11" s="564" customFormat="1" ht="12.75">
      <c r="A18" s="634"/>
      <c r="B18" s="627"/>
      <c r="C18" s="627"/>
      <c r="D18" s="621"/>
      <c r="E18" s="638"/>
      <c r="F18" s="638"/>
      <c r="G18" s="628"/>
      <c r="H18" s="621"/>
      <c r="I18" s="621"/>
      <c r="J18" s="621"/>
      <c r="K18" s="621"/>
    </row>
    <row r="19" spans="1:11" s="564" customFormat="1" ht="12.75">
      <c r="A19" s="634" t="s">
        <v>614</v>
      </c>
      <c r="B19" s="627"/>
      <c r="C19" s="627"/>
      <c r="D19" s="621"/>
      <c r="E19" s="638"/>
      <c r="F19" s="638"/>
      <c r="G19" s="628"/>
      <c r="H19" s="621"/>
      <c r="I19" s="621"/>
      <c r="J19" s="621"/>
      <c r="K19" s="621"/>
    </row>
    <row r="20" spans="1:11" s="564" customFormat="1" ht="12.75">
      <c r="A20" s="640" t="s">
        <v>2</v>
      </c>
      <c r="B20" s="627"/>
      <c r="C20" s="627"/>
      <c r="D20" s="627"/>
      <c r="E20" s="627"/>
      <c r="F20" s="627" t="s">
        <v>2</v>
      </c>
      <c r="G20" s="621"/>
      <c r="H20" s="621"/>
      <c r="I20" s="621"/>
      <c r="J20" s="621"/>
      <c r="K20" s="621"/>
    </row>
    <row r="21" spans="1:11" s="564" customFormat="1" ht="12.75">
      <c r="A21" s="641"/>
      <c r="B21" s="627"/>
      <c r="C21" s="627"/>
      <c r="D21" s="627"/>
      <c r="E21" s="627"/>
      <c r="F21" s="621"/>
      <c r="G21" s="621"/>
      <c r="H21" s="626"/>
      <c r="I21" s="627"/>
      <c r="J21" s="627"/>
      <c r="K21" s="627"/>
    </row>
    <row r="22" spans="1:11" s="564" customFormat="1" ht="12.75">
      <c r="A22" s="641" t="s">
        <v>615</v>
      </c>
      <c r="B22" s="627"/>
      <c r="C22" s="627"/>
      <c r="D22" s="627"/>
      <c r="E22" s="627"/>
      <c r="F22" s="621"/>
      <c r="G22" s="621"/>
      <c r="H22" s="626" t="s">
        <v>616</v>
      </c>
      <c r="I22" s="627"/>
      <c r="J22" s="627"/>
      <c r="K22" s="627"/>
    </row>
    <row r="23" spans="1:11" s="564" customFormat="1" ht="12.75">
      <c r="A23" s="621" t="s">
        <v>85</v>
      </c>
      <c r="B23" s="642" t="str">
        <f>"Year "&amp;A6</f>
        <v>Year 2018</v>
      </c>
      <c r="C23" s="621"/>
      <c r="D23" s="819">
        <f>+G9/12</f>
        <v>21563.916425098014</v>
      </c>
      <c r="E23" s="643"/>
      <c r="F23" s="644">
        <f>+F17</f>
        <v>4.0833333333333329E-3</v>
      </c>
      <c r="G23" s="643">
        <v>12</v>
      </c>
      <c r="H23" s="819">
        <f>F23*D23*G23*-1</f>
        <v>-1056.6319048298026</v>
      </c>
      <c r="I23" s="819"/>
      <c r="J23" s="819"/>
      <c r="K23" s="819">
        <f>(-H23+D23)*-1</f>
        <v>-22620.548329927817</v>
      </c>
    </row>
    <row r="24" spans="1:11" s="564" customFormat="1" ht="12.75">
      <c r="A24" s="621" t="s">
        <v>84</v>
      </c>
      <c r="B24" s="642" t="str">
        <f>+B23</f>
        <v>Year 2018</v>
      </c>
      <c r="C24" s="621"/>
      <c r="D24" s="819">
        <f>+D23</f>
        <v>21563.916425098014</v>
      </c>
      <c r="E24" s="643"/>
      <c r="F24" s="644">
        <f>+F23</f>
        <v>4.0833333333333329E-3</v>
      </c>
      <c r="G24" s="363">
        <f t="shared" ref="G24:G34" si="0">+G23-1</f>
        <v>11</v>
      </c>
      <c r="H24" s="819">
        <f t="shared" ref="H24:H34" si="1">F24*D24*G24*-1</f>
        <v>-968.5792460939856</v>
      </c>
      <c r="I24" s="819"/>
      <c r="J24" s="819"/>
      <c r="K24" s="819">
        <f t="shared" ref="K24:K34" si="2">(-H24+D24)*-1</f>
        <v>-22532.495671191999</v>
      </c>
    </row>
    <row r="25" spans="1:11" s="564" customFormat="1" ht="12.75">
      <c r="A25" s="621" t="s">
        <v>83</v>
      </c>
      <c r="B25" s="642" t="str">
        <f t="shared" ref="B25:B34" si="3">+B24</f>
        <v>Year 2018</v>
      </c>
      <c r="C25" s="621"/>
      <c r="D25" s="819">
        <f t="shared" ref="D25:D34" si="4">+D24</f>
        <v>21563.916425098014</v>
      </c>
      <c r="E25" s="643"/>
      <c r="F25" s="644">
        <f t="shared" ref="F25:F34" si="5">+F24</f>
        <v>4.0833333333333329E-3</v>
      </c>
      <c r="G25" s="363">
        <f t="shared" si="0"/>
        <v>10</v>
      </c>
      <c r="H25" s="819">
        <f t="shared" si="1"/>
        <v>-880.52658735816874</v>
      </c>
      <c r="I25" s="819"/>
      <c r="J25" s="819"/>
      <c r="K25" s="819">
        <f t="shared" si="2"/>
        <v>-22444.443012456184</v>
      </c>
    </row>
    <row r="26" spans="1:11" s="564" customFormat="1" ht="12.75">
      <c r="A26" s="621" t="s">
        <v>76</v>
      </c>
      <c r="B26" s="642" t="str">
        <f t="shared" si="3"/>
        <v>Year 2018</v>
      </c>
      <c r="C26" s="621"/>
      <c r="D26" s="819">
        <f t="shared" si="4"/>
        <v>21563.916425098014</v>
      </c>
      <c r="E26" s="643"/>
      <c r="F26" s="644">
        <f t="shared" si="5"/>
        <v>4.0833333333333329E-3</v>
      </c>
      <c r="G26" s="363">
        <f t="shared" si="0"/>
        <v>9</v>
      </c>
      <c r="H26" s="819">
        <f t="shared" si="1"/>
        <v>-792.47392862235188</v>
      </c>
      <c r="I26" s="819"/>
      <c r="J26" s="819"/>
      <c r="K26" s="819">
        <f t="shared" si="2"/>
        <v>-22356.390353720366</v>
      </c>
    </row>
    <row r="27" spans="1:11" s="564" customFormat="1" ht="12.75">
      <c r="A27" s="621" t="s">
        <v>75</v>
      </c>
      <c r="B27" s="642" t="str">
        <f t="shared" si="3"/>
        <v>Year 2018</v>
      </c>
      <c r="C27" s="621"/>
      <c r="D27" s="819">
        <f t="shared" si="4"/>
        <v>21563.916425098014</v>
      </c>
      <c r="E27" s="643"/>
      <c r="F27" s="644">
        <f t="shared" si="5"/>
        <v>4.0833333333333329E-3</v>
      </c>
      <c r="G27" s="363">
        <f t="shared" si="0"/>
        <v>8</v>
      </c>
      <c r="H27" s="819">
        <f t="shared" si="1"/>
        <v>-704.42126988653501</v>
      </c>
      <c r="I27" s="819"/>
      <c r="J27" s="819"/>
      <c r="K27" s="819">
        <f t="shared" si="2"/>
        <v>-22268.337694984548</v>
      </c>
    </row>
    <row r="28" spans="1:11" s="564" customFormat="1" ht="12.75">
      <c r="A28" s="621" t="s">
        <v>92</v>
      </c>
      <c r="B28" s="642" t="str">
        <f t="shared" si="3"/>
        <v>Year 2018</v>
      </c>
      <c r="C28" s="621"/>
      <c r="D28" s="819">
        <f t="shared" si="4"/>
        <v>21563.916425098014</v>
      </c>
      <c r="E28" s="643"/>
      <c r="F28" s="644">
        <f t="shared" si="5"/>
        <v>4.0833333333333329E-3</v>
      </c>
      <c r="G28" s="363">
        <f t="shared" si="0"/>
        <v>7</v>
      </c>
      <c r="H28" s="819">
        <f t="shared" si="1"/>
        <v>-616.36861115071815</v>
      </c>
      <c r="I28" s="819"/>
      <c r="J28" s="819"/>
      <c r="K28" s="819">
        <f t="shared" si="2"/>
        <v>-22180.285036248733</v>
      </c>
    </row>
    <row r="29" spans="1:11" s="564" customFormat="1" ht="12.75">
      <c r="A29" s="621" t="s">
        <v>82</v>
      </c>
      <c r="B29" s="642" t="str">
        <f t="shared" si="3"/>
        <v>Year 2018</v>
      </c>
      <c r="C29" s="621"/>
      <c r="D29" s="819">
        <f t="shared" si="4"/>
        <v>21563.916425098014</v>
      </c>
      <c r="E29" s="643"/>
      <c r="F29" s="644">
        <f t="shared" si="5"/>
        <v>4.0833333333333329E-3</v>
      </c>
      <c r="G29" s="363">
        <f t="shared" si="0"/>
        <v>6</v>
      </c>
      <c r="H29" s="819">
        <f t="shared" si="1"/>
        <v>-528.31595241490129</v>
      </c>
      <c r="I29" s="819"/>
      <c r="J29" s="819"/>
      <c r="K29" s="819">
        <f t="shared" si="2"/>
        <v>-22092.232377512915</v>
      </c>
    </row>
    <row r="30" spans="1:11" s="564" customFormat="1" ht="12.75">
      <c r="A30" s="621" t="s">
        <v>81</v>
      </c>
      <c r="B30" s="642" t="str">
        <f t="shared" si="3"/>
        <v>Year 2018</v>
      </c>
      <c r="C30" s="621"/>
      <c r="D30" s="819">
        <f t="shared" si="4"/>
        <v>21563.916425098014</v>
      </c>
      <c r="E30" s="643"/>
      <c r="F30" s="644">
        <f t="shared" si="5"/>
        <v>4.0833333333333329E-3</v>
      </c>
      <c r="G30" s="363">
        <f t="shared" si="0"/>
        <v>5</v>
      </c>
      <c r="H30" s="819">
        <f t="shared" si="1"/>
        <v>-440.26329367908437</v>
      </c>
      <c r="I30" s="819"/>
      <c r="J30" s="819"/>
      <c r="K30" s="819">
        <f t="shared" si="2"/>
        <v>-22004.179718777097</v>
      </c>
    </row>
    <row r="31" spans="1:11" s="564" customFormat="1" ht="12.75">
      <c r="A31" s="621" t="s">
        <v>80</v>
      </c>
      <c r="B31" s="642" t="str">
        <f t="shared" si="3"/>
        <v>Year 2018</v>
      </c>
      <c r="C31" s="621"/>
      <c r="D31" s="819">
        <f t="shared" si="4"/>
        <v>21563.916425098014</v>
      </c>
      <c r="E31" s="643"/>
      <c r="F31" s="644">
        <f t="shared" si="5"/>
        <v>4.0833333333333329E-3</v>
      </c>
      <c r="G31" s="363">
        <f t="shared" si="0"/>
        <v>4</v>
      </c>
      <c r="H31" s="819">
        <f t="shared" si="1"/>
        <v>-352.21063494326751</v>
      </c>
      <c r="I31" s="819"/>
      <c r="J31" s="819"/>
      <c r="K31" s="819">
        <f t="shared" si="2"/>
        <v>-21916.127060041283</v>
      </c>
    </row>
    <row r="32" spans="1:11" s="564" customFormat="1" ht="12.75">
      <c r="A32" s="621" t="s">
        <v>86</v>
      </c>
      <c r="B32" s="642" t="str">
        <f t="shared" si="3"/>
        <v>Year 2018</v>
      </c>
      <c r="C32" s="621"/>
      <c r="D32" s="819">
        <f t="shared" si="4"/>
        <v>21563.916425098014</v>
      </c>
      <c r="E32" s="643"/>
      <c r="F32" s="644">
        <f t="shared" si="5"/>
        <v>4.0833333333333329E-3</v>
      </c>
      <c r="G32" s="363">
        <f t="shared" si="0"/>
        <v>3</v>
      </c>
      <c r="H32" s="819">
        <f t="shared" si="1"/>
        <v>-264.15797620745064</v>
      </c>
      <c r="I32" s="819"/>
      <c r="J32" s="819"/>
      <c r="K32" s="819">
        <f t="shared" si="2"/>
        <v>-21828.074401305465</v>
      </c>
    </row>
    <row r="33" spans="1:13" s="564" customFormat="1" ht="12.75">
      <c r="A33" s="621" t="s">
        <v>79</v>
      </c>
      <c r="B33" s="642" t="str">
        <f t="shared" si="3"/>
        <v>Year 2018</v>
      </c>
      <c r="C33" s="621"/>
      <c r="D33" s="819">
        <f t="shared" si="4"/>
        <v>21563.916425098014</v>
      </c>
      <c r="E33" s="643"/>
      <c r="F33" s="644">
        <f t="shared" si="5"/>
        <v>4.0833333333333329E-3</v>
      </c>
      <c r="G33" s="363">
        <f t="shared" si="0"/>
        <v>2</v>
      </c>
      <c r="H33" s="819">
        <f t="shared" si="1"/>
        <v>-176.10531747163375</v>
      </c>
      <c r="I33" s="819"/>
      <c r="J33" s="819"/>
      <c r="K33" s="819">
        <f t="shared" si="2"/>
        <v>-21740.021742569646</v>
      </c>
    </row>
    <row r="34" spans="1:13" s="564" customFormat="1" ht="12.75">
      <c r="A34" s="621" t="s">
        <v>78</v>
      </c>
      <c r="B34" s="642" t="str">
        <f t="shared" si="3"/>
        <v>Year 2018</v>
      </c>
      <c r="C34" s="621"/>
      <c r="D34" s="819">
        <f t="shared" si="4"/>
        <v>21563.916425098014</v>
      </c>
      <c r="E34" s="643"/>
      <c r="F34" s="644">
        <f t="shared" si="5"/>
        <v>4.0833333333333329E-3</v>
      </c>
      <c r="G34" s="363">
        <f t="shared" si="0"/>
        <v>1</v>
      </c>
      <c r="H34" s="821">
        <f t="shared" si="1"/>
        <v>-88.052658735816877</v>
      </c>
      <c r="I34" s="819"/>
      <c r="J34" s="819"/>
      <c r="K34" s="819">
        <f t="shared" si="2"/>
        <v>-21651.969083833832</v>
      </c>
    </row>
    <row r="35" spans="1:13" s="564" customFormat="1" ht="12.75">
      <c r="A35" s="621"/>
      <c r="B35" s="621"/>
      <c r="C35" s="621"/>
      <c r="D35" s="819"/>
      <c r="E35" s="643"/>
      <c r="F35" s="644"/>
      <c r="G35" s="363"/>
      <c r="H35" s="819">
        <f>SUM(H23:H34)</f>
        <v>-6868.1073813937164</v>
      </c>
      <c r="I35" s="819"/>
      <c r="J35" s="819"/>
      <c r="K35" s="820">
        <f>SUM(K23:K34)</f>
        <v>-265635.10448256991</v>
      </c>
    </row>
    <row r="36" spans="1:13" s="564" customFormat="1" ht="12.75">
      <c r="A36" s="621"/>
      <c r="B36" s="621"/>
      <c r="C36" s="621"/>
      <c r="D36" s="819"/>
      <c r="E36" s="643"/>
      <c r="F36" s="644"/>
      <c r="G36" s="643"/>
      <c r="H36" s="643"/>
      <c r="I36" s="643" t="s">
        <v>2</v>
      </c>
      <c r="J36" s="643"/>
      <c r="K36" s="566"/>
    </row>
    <row r="37" spans="1:13" s="564" customFormat="1" ht="12.75">
      <c r="A37" s="621"/>
      <c r="B37" s="621"/>
      <c r="C37" s="621"/>
      <c r="D37" s="819"/>
      <c r="E37" s="628"/>
      <c r="F37" s="644"/>
      <c r="G37" s="643"/>
      <c r="H37" s="646" t="s">
        <v>617</v>
      </c>
      <c r="I37" s="643"/>
      <c r="J37" s="643"/>
      <c r="K37" s="643"/>
    </row>
    <row r="38" spans="1:13" s="564" customFormat="1" ht="12.75">
      <c r="A38" s="621" t="s">
        <v>711</v>
      </c>
      <c r="B38" s="642" t="str">
        <f>"Year "&amp;$A$6+1</f>
        <v>Year 2019</v>
      </c>
      <c r="C38" s="621"/>
      <c r="D38" s="819">
        <f>K35</f>
        <v>-265635.10448256991</v>
      </c>
      <c r="E38" s="628"/>
      <c r="F38" s="644">
        <f>+F34</f>
        <v>4.0833333333333329E-3</v>
      </c>
      <c r="G38" s="643">
        <v>12</v>
      </c>
      <c r="H38" s="643">
        <f>+G38*F38*D38</f>
        <v>-13016.120119645924</v>
      </c>
      <c r="I38" s="643"/>
      <c r="J38" s="643"/>
      <c r="K38" s="645">
        <f>+D38+H38</f>
        <v>-278651.22460221581</v>
      </c>
    </row>
    <row r="39" spans="1:13" s="564" customFormat="1" ht="12.75">
      <c r="A39" s="621"/>
      <c r="B39" s="621"/>
      <c r="C39" s="621"/>
      <c r="D39" s="819"/>
      <c r="E39" s="628"/>
      <c r="F39" s="644"/>
      <c r="G39" s="621"/>
      <c r="H39" s="643"/>
      <c r="I39" s="643"/>
      <c r="J39" s="643"/>
      <c r="K39" s="643"/>
    </row>
    <row r="40" spans="1:13" s="564" customFormat="1" ht="12.75">
      <c r="A40" s="647" t="s">
        <v>618</v>
      </c>
      <c r="B40" s="621"/>
      <c r="C40" s="621"/>
      <c r="D40" s="819"/>
      <c r="E40" s="643"/>
      <c r="F40" s="644"/>
      <c r="G40" s="621"/>
      <c r="H40" s="646" t="s">
        <v>616</v>
      </c>
      <c r="I40" s="643"/>
      <c r="J40" s="643"/>
      <c r="K40" s="643"/>
    </row>
    <row r="41" spans="1:13" s="564" customFormat="1" ht="12.75">
      <c r="A41" s="621" t="s">
        <v>85</v>
      </c>
      <c r="B41" s="642" t="str">
        <f>"Year "&amp;$A$6+2</f>
        <v>Year 2020</v>
      </c>
      <c r="C41" s="621"/>
      <c r="D41" s="820">
        <f>-K38</f>
        <v>278651.22460221581</v>
      </c>
      <c r="E41" s="628"/>
      <c r="F41" s="644">
        <f>+F34</f>
        <v>4.0833333333333329E-3</v>
      </c>
      <c r="G41" s="621"/>
      <c r="H41" s="819">
        <f xml:space="preserve"> -F41*D41</f>
        <v>-1137.825833792381</v>
      </c>
      <c r="I41" s="819">
        <f>PMT(F41,12,K$38)</f>
        <v>23841.861988409528</v>
      </c>
      <c r="J41" s="819"/>
      <c r="K41" s="819">
        <f>(+D41+D41*F41-I41)*-1</f>
        <v>-255947.18844759866</v>
      </c>
      <c r="L41" s="648"/>
      <c r="M41" s="649"/>
    </row>
    <row r="42" spans="1:13" s="564" customFormat="1" ht="12.75">
      <c r="A42" s="621" t="s">
        <v>84</v>
      </c>
      <c r="B42" s="642" t="str">
        <f>+B41</f>
        <v>Year 2020</v>
      </c>
      <c r="C42" s="621"/>
      <c r="D42" s="819">
        <f>-K41</f>
        <v>255947.18844759866</v>
      </c>
      <c r="E42" s="628"/>
      <c r="F42" s="644">
        <f>+F41</f>
        <v>4.0833333333333329E-3</v>
      </c>
      <c r="G42" s="621"/>
      <c r="H42" s="819">
        <f t="shared" ref="H42:H52" si="6" xml:space="preserve"> -F42*D42</f>
        <v>-1045.1176861610277</v>
      </c>
      <c r="I42" s="819">
        <f>I41</f>
        <v>23841.861988409528</v>
      </c>
      <c r="J42" s="819"/>
      <c r="K42" s="819">
        <f t="shared" ref="K42:K52" si="7">(+D42+D42*F42-I42)*-1</f>
        <v>-233150.44414535013</v>
      </c>
      <c r="L42" s="648"/>
      <c r="M42" s="649"/>
    </row>
    <row r="43" spans="1:13" s="564" customFormat="1" ht="12.75">
      <c r="A43" s="621" t="s">
        <v>83</v>
      </c>
      <c r="B43" s="642" t="str">
        <f>+B42</f>
        <v>Year 2020</v>
      </c>
      <c r="C43" s="621"/>
      <c r="D43" s="819">
        <f t="shared" ref="D43:D52" si="8">-K42</f>
        <v>233150.44414535013</v>
      </c>
      <c r="E43" s="628"/>
      <c r="F43" s="644">
        <f t="shared" ref="F43:F52" si="9">+F42</f>
        <v>4.0833333333333329E-3</v>
      </c>
      <c r="G43" s="621"/>
      <c r="H43" s="819">
        <f t="shared" si="6"/>
        <v>-952.0309802601796</v>
      </c>
      <c r="I43" s="819">
        <f t="shared" ref="I43:I52" si="10">I42</f>
        <v>23841.861988409528</v>
      </c>
      <c r="J43" s="819"/>
      <c r="K43" s="819">
        <f t="shared" si="7"/>
        <v>-210260.61313720077</v>
      </c>
      <c r="L43" s="648"/>
      <c r="M43" s="649"/>
    </row>
    <row r="44" spans="1:13" s="564" customFormat="1" ht="12.75">
      <c r="A44" s="621" t="s">
        <v>76</v>
      </c>
      <c r="B44" s="642" t="str">
        <f>+B43</f>
        <v>Year 2020</v>
      </c>
      <c r="C44" s="621"/>
      <c r="D44" s="819">
        <f t="shared" si="8"/>
        <v>210260.61313720077</v>
      </c>
      <c r="E44" s="628"/>
      <c r="F44" s="644">
        <f t="shared" si="9"/>
        <v>4.0833333333333329E-3</v>
      </c>
      <c r="G44" s="621"/>
      <c r="H44" s="819">
        <f t="shared" si="6"/>
        <v>-858.56417031023636</v>
      </c>
      <c r="I44" s="819">
        <f t="shared" si="10"/>
        <v>23841.861988409528</v>
      </c>
      <c r="J44" s="819"/>
      <c r="K44" s="819">
        <f t="shared" si="7"/>
        <v>-187277.31531910147</v>
      </c>
      <c r="L44" s="648"/>
      <c r="M44" s="649"/>
    </row>
    <row r="45" spans="1:13" s="564" customFormat="1" ht="12.75">
      <c r="A45" s="621" t="s">
        <v>75</v>
      </c>
      <c r="B45" s="642" t="str">
        <f>+B44</f>
        <v>Year 2020</v>
      </c>
      <c r="C45" s="621"/>
      <c r="D45" s="819">
        <f t="shared" si="8"/>
        <v>187277.31531910147</v>
      </c>
      <c r="E45" s="628"/>
      <c r="F45" s="644">
        <f t="shared" si="9"/>
        <v>4.0833333333333329E-3</v>
      </c>
      <c r="G45" s="621"/>
      <c r="H45" s="819">
        <f t="shared" si="6"/>
        <v>-764.7157042196643</v>
      </c>
      <c r="I45" s="819">
        <f t="shared" si="10"/>
        <v>23841.861988409528</v>
      </c>
      <c r="J45" s="819"/>
      <c r="K45" s="819">
        <f t="shared" si="7"/>
        <v>-164200.16903491161</v>
      </c>
      <c r="L45" s="648"/>
      <c r="M45" s="649"/>
    </row>
    <row r="46" spans="1:13" s="564" customFormat="1" ht="12.75">
      <c r="A46" s="621" t="s">
        <v>92</v>
      </c>
      <c r="B46" s="642" t="str">
        <f>B45</f>
        <v>Year 2020</v>
      </c>
      <c r="C46" s="621"/>
      <c r="D46" s="819">
        <f t="shared" si="8"/>
        <v>164200.16903491161</v>
      </c>
      <c r="E46" s="628"/>
      <c r="F46" s="644">
        <f t="shared" si="9"/>
        <v>4.0833333333333329E-3</v>
      </c>
      <c r="G46" s="621"/>
      <c r="H46" s="819">
        <f t="shared" si="6"/>
        <v>-670.48402355922235</v>
      </c>
      <c r="I46" s="819">
        <f t="shared" si="10"/>
        <v>23841.861988409528</v>
      </c>
      <c r="J46" s="819"/>
      <c r="K46" s="819">
        <f t="shared" si="7"/>
        <v>-141028.7910700613</v>
      </c>
      <c r="L46" s="648"/>
      <c r="M46" s="649"/>
    </row>
    <row r="47" spans="1:13" s="564" customFormat="1" ht="12.75">
      <c r="A47" s="621" t="s">
        <v>82</v>
      </c>
      <c r="B47" s="642" t="str">
        <f t="shared" ref="B47:B52" si="11">+B46</f>
        <v>Year 2020</v>
      </c>
      <c r="C47" s="621"/>
      <c r="D47" s="819">
        <f t="shared" si="8"/>
        <v>141028.7910700613</v>
      </c>
      <c r="E47" s="628"/>
      <c r="F47" s="644">
        <f t="shared" si="9"/>
        <v>4.0833333333333329E-3</v>
      </c>
      <c r="G47" s="621"/>
      <c r="H47" s="819">
        <f t="shared" si="6"/>
        <v>-575.86756353608359</v>
      </c>
      <c r="I47" s="819">
        <f t="shared" si="10"/>
        <v>23841.861988409528</v>
      </c>
      <c r="J47" s="819"/>
      <c r="K47" s="819">
        <f t="shared" si="7"/>
        <v>-117762.79664518785</v>
      </c>
      <c r="L47" s="648"/>
      <c r="M47" s="649"/>
    </row>
    <row r="48" spans="1:13" s="564" customFormat="1" ht="12.75">
      <c r="A48" s="621" t="s">
        <v>81</v>
      </c>
      <c r="B48" s="642" t="str">
        <f t="shared" si="11"/>
        <v>Year 2020</v>
      </c>
      <c r="C48" s="621"/>
      <c r="D48" s="819">
        <f t="shared" si="8"/>
        <v>117762.79664518785</v>
      </c>
      <c r="E48" s="628"/>
      <c r="F48" s="644">
        <f t="shared" si="9"/>
        <v>4.0833333333333329E-3</v>
      </c>
      <c r="G48" s="621"/>
      <c r="H48" s="819">
        <f t="shared" si="6"/>
        <v>-480.86475296785034</v>
      </c>
      <c r="I48" s="819">
        <f t="shared" si="10"/>
        <v>23841.861988409528</v>
      </c>
      <c r="J48" s="819"/>
      <c r="K48" s="819">
        <f t="shared" si="7"/>
        <v>-94401.799409746178</v>
      </c>
      <c r="L48" s="648"/>
      <c r="M48" s="649"/>
    </row>
    <row r="49" spans="1:13" s="564" customFormat="1" ht="12.75">
      <c r="A49" s="621" t="s">
        <v>80</v>
      </c>
      <c r="B49" s="642" t="str">
        <f t="shared" si="11"/>
        <v>Year 2020</v>
      </c>
      <c r="C49" s="621"/>
      <c r="D49" s="819">
        <f t="shared" si="8"/>
        <v>94401.799409746178</v>
      </c>
      <c r="E49" s="628"/>
      <c r="F49" s="644">
        <f t="shared" si="9"/>
        <v>4.0833333333333329E-3</v>
      </c>
      <c r="G49" s="621"/>
      <c r="H49" s="819">
        <f t="shared" si="6"/>
        <v>-385.47401425646353</v>
      </c>
      <c r="I49" s="819">
        <f t="shared" si="10"/>
        <v>23841.861988409528</v>
      </c>
      <c r="J49" s="819"/>
      <c r="K49" s="819">
        <f t="shared" si="7"/>
        <v>-70945.411435593123</v>
      </c>
      <c r="L49" s="648"/>
      <c r="M49" s="649"/>
    </row>
    <row r="50" spans="1:13" s="564" customFormat="1" ht="12.75">
      <c r="A50" s="621" t="s">
        <v>86</v>
      </c>
      <c r="B50" s="642" t="str">
        <f t="shared" si="11"/>
        <v>Year 2020</v>
      </c>
      <c r="C50" s="621"/>
      <c r="D50" s="819">
        <f t="shared" si="8"/>
        <v>70945.411435593123</v>
      </c>
      <c r="E50" s="628"/>
      <c r="F50" s="644">
        <f t="shared" si="9"/>
        <v>4.0833333333333329E-3</v>
      </c>
      <c r="G50" s="621"/>
      <c r="H50" s="819">
        <f t="shared" si="6"/>
        <v>-289.6937633620052</v>
      </c>
      <c r="I50" s="819">
        <f t="shared" si="10"/>
        <v>23841.861988409528</v>
      </c>
      <c r="J50" s="819"/>
      <c r="K50" s="819">
        <f t="shared" si="7"/>
        <v>-47393.24321054561</v>
      </c>
      <c r="L50" s="648"/>
      <c r="M50" s="649"/>
    </row>
    <row r="51" spans="1:13" s="564" customFormat="1" ht="12.75">
      <c r="A51" s="621" t="s">
        <v>79</v>
      </c>
      <c r="B51" s="642" t="str">
        <f t="shared" si="11"/>
        <v>Year 2020</v>
      </c>
      <c r="C51" s="621"/>
      <c r="D51" s="819">
        <f t="shared" si="8"/>
        <v>47393.24321054561</v>
      </c>
      <c r="E51" s="628"/>
      <c r="F51" s="644">
        <f t="shared" si="9"/>
        <v>4.0833333333333329E-3</v>
      </c>
      <c r="G51" s="621"/>
      <c r="H51" s="819">
        <f t="shared" si="6"/>
        <v>-193.52240977639457</v>
      </c>
      <c r="I51" s="819">
        <f t="shared" si="10"/>
        <v>23841.861988409528</v>
      </c>
      <c r="J51" s="819"/>
      <c r="K51" s="819">
        <f t="shared" si="7"/>
        <v>-23744.903631912475</v>
      </c>
      <c r="L51" s="648"/>
      <c r="M51" s="649"/>
    </row>
    <row r="52" spans="1:13" s="564" customFormat="1" ht="12.75">
      <c r="A52" s="621" t="s">
        <v>78</v>
      </c>
      <c r="B52" s="642" t="str">
        <f t="shared" si="11"/>
        <v>Year 2020</v>
      </c>
      <c r="C52" s="621"/>
      <c r="D52" s="819">
        <f t="shared" si="8"/>
        <v>23744.903631912475</v>
      </c>
      <c r="E52" s="628"/>
      <c r="F52" s="644">
        <f t="shared" si="9"/>
        <v>4.0833333333333329E-3</v>
      </c>
      <c r="G52" s="621"/>
      <c r="H52" s="821">
        <f t="shared" si="6"/>
        <v>-96.958356496975924</v>
      </c>
      <c r="I52" s="819">
        <f t="shared" si="10"/>
        <v>23841.861988409528</v>
      </c>
      <c r="J52" s="819"/>
      <c r="K52" s="819">
        <f t="shared" si="7"/>
        <v>7.6397554948925972E-11</v>
      </c>
      <c r="L52" s="648"/>
      <c r="M52" s="649"/>
    </row>
    <row r="53" spans="1:13" s="564" customFormat="1" ht="12.75">
      <c r="A53" s="621"/>
      <c r="B53" s="621"/>
      <c r="C53" s="621"/>
      <c r="D53" s="628"/>
      <c r="E53" s="628"/>
      <c r="F53" s="650"/>
      <c r="G53" s="621"/>
      <c r="H53" s="819">
        <f>SUM(H41:H52)</f>
        <v>-7451.1192586984853</v>
      </c>
      <c r="I53" s="819"/>
      <c r="J53" s="819"/>
      <c r="K53" s="819"/>
      <c r="L53" s="648"/>
      <c r="M53" s="649"/>
    </row>
    <row r="54" spans="1:13" s="564" customFormat="1" ht="12.75">
      <c r="A54" s="566"/>
      <c r="B54" s="566"/>
      <c r="C54" s="566"/>
      <c r="D54" s="566"/>
      <c r="E54" s="566"/>
      <c r="F54" s="566"/>
      <c r="G54" s="566"/>
      <c r="H54" s="566"/>
      <c r="I54" s="566"/>
      <c r="J54" s="566"/>
      <c r="K54" s="566"/>
    </row>
    <row r="55" spans="1:13" s="564" customFormat="1" ht="12.75">
      <c r="A55" s="621" t="s">
        <v>619</v>
      </c>
      <c r="B55" s="566"/>
      <c r="C55" s="566"/>
      <c r="D55" s="566"/>
      <c r="E55" s="566"/>
      <c r="F55" s="566"/>
      <c r="G55" s="566"/>
      <c r="H55" s="566"/>
      <c r="I55" s="651">
        <f>SUM(I41:I52)*-1</f>
        <v>-286102.34386091441</v>
      </c>
      <c r="J55" s="566"/>
      <c r="K55" s="566"/>
    </row>
    <row r="56" spans="1:13" s="564" customFormat="1" ht="12.75">
      <c r="A56" s="621" t="s">
        <v>620</v>
      </c>
      <c r="B56" s="566"/>
      <c r="C56" s="566"/>
      <c r="D56" s="566"/>
      <c r="E56" s="566"/>
      <c r="F56" s="566"/>
      <c r="G56" s="566"/>
      <c r="H56" s="566"/>
      <c r="I56" s="651">
        <f>+G9</f>
        <v>258766.99710117618</v>
      </c>
      <c r="J56" s="566"/>
      <c r="K56" s="566"/>
    </row>
    <row r="57" spans="1:13" s="564" customFormat="1" ht="12.75">
      <c r="A57" s="621" t="s">
        <v>621</v>
      </c>
      <c r="B57" s="566"/>
      <c r="C57" s="566"/>
      <c r="D57" s="566"/>
      <c r="E57" s="566"/>
      <c r="F57" s="566"/>
      <c r="G57" s="566"/>
      <c r="H57" s="566"/>
      <c r="I57" s="651">
        <f>(I55+I56)</f>
        <v>-27335.346759738226</v>
      </c>
      <c r="J57" s="566"/>
      <c r="K57" s="566"/>
    </row>
    <row r="59" spans="1:13" ht="16.5">
      <c r="A59" s="612"/>
      <c r="B59" s="601"/>
      <c r="C59" s="601"/>
      <c r="D59" s="601"/>
      <c r="E59" s="601"/>
      <c r="F59" s="613"/>
      <c r="G59" s="601"/>
      <c r="H59" s="601"/>
      <c r="I59" s="614"/>
      <c r="J59" s="601"/>
      <c r="K59" s="601"/>
    </row>
    <row r="60" spans="1:13" ht="15.75">
      <c r="A60" s="611"/>
      <c r="B60" s="601"/>
      <c r="C60" s="601"/>
      <c r="D60" s="601"/>
      <c r="E60" s="601"/>
      <c r="F60" s="601"/>
      <c r="G60" s="601"/>
      <c r="H60" s="601"/>
      <c r="I60" s="601"/>
      <c r="J60" s="601"/>
      <c r="K60" s="601"/>
    </row>
    <row r="61" spans="1:13" ht="15.75">
      <c r="A61" s="615"/>
      <c r="F61" s="616"/>
      <c r="I61" s="617"/>
    </row>
    <row r="62" spans="1:13">
      <c r="D62" s="618"/>
      <c r="F62" s="616"/>
      <c r="I62" s="617"/>
    </row>
    <row r="63" spans="1:13">
      <c r="I63" s="618"/>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59"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zoomScaleNormal="75" zoomScaleSheetLayoutView="100" workbookViewId="0">
      <selection activeCell="G28" sqref="G28"/>
    </sheetView>
  </sheetViews>
  <sheetFormatPr defaultColWidth="8.88671875" defaultRowHeight="12.75"/>
  <cols>
    <col min="1" max="1" width="8.77734375" style="577" customWidth="1"/>
    <col min="2" max="2" width="9.109375" style="577" bestFit="1" customWidth="1"/>
    <col min="3" max="3" width="8.88671875" style="577"/>
    <col min="4" max="4" width="16.33203125" style="577" customWidth="1"/>
    <col min="5" max="5" width="8.88671875" style="577"/>
    <col min="6" max="6" width="9.33203125" style="577" bestFit="1" customWidth="1"/>
    <col min="7" max="7" width="14.21875" style="577" bestFit="1" customWidth="1"/>
    <col min="8" max="8" width="9.88671875" style="577" customWidth="1"/>
    <col min="9" max="9" width="20.44140625" style="577" bestFit="1" customWidth="1"/>
    <col min="10" max="16384" width="8.88671875" style="577"/>
  </cols>
  <sheetData>
    <row r="1" spans="1:8">
      <c r="D1" s="701" t="s">
        <v>623</v>
      </c>
    </row>
    <row r="2" spans="1:8">
      <c r="D2" s="701" t="s">
        <v>424</v>
      </c>
    </row>
    <row r="3" spans="1:8">
      <c r="D3" s="701" t="str">
        <f>+'Attachment H-30A'!D5</f>
        <v>Transource Maryland, LLC</v>
      </c>
    </row>
    <row r="4" spans="1:8">
      <c r="A4" s="716"/>
    </row>
    <row r="6" spans="1:8" ht="32.25" customHeight="1">
      <c r="A6" s="1027" t="s">
        <v>470</v>
      </c>
      <c r="B6" s="1027"/>
      <c r="C6" s="1027"/>
      <c r="D6" s="1027"/>
      <c r="E6" s="1027"/>
      <c r="F6" s="1027"/>
      <c r="G6" s="1027"/>
      <c r="H6" s="717"/>
    </row>
    <row r="7" spans="1:8">
      <c r="A7" s="718"/>
      <c r="B7" s="717"/>
      <c r="C7" s="717"/>
      <c r="D7" s="717"/>
      <c r="E7" s="717"/>
      <c r="F7" s="717"/>
      <c r="G7" s="719"/>
      <c r="H7" s="717"/>
    </row>
    <row r="8" spans="1:8">
      <c r="A8" s="718"/>
      <c r="B8" s="717"/>
      <c r="C8" s="717"/>
      <c r="D8" s="717"/>
      <c r="E8" s="717"/>
      <c r="F8" s="717"/>
      <c r="G8" s="719"/>
      <c r="H8" s="717"/>
    </row>
    <row r="9" spans="1:8">
      <c r="G9" s="720"/>
    </row>
    <row r="10" spans="1:8">
      <c r="A10" s="721"/>
      <c r="B10" s="722" t="s">
        <v>469</v>
      </c>
    </row>
    <row r="11" spans="1:8">
      <c r="A11" s="758">
        <v>1</v>
      </c>
      <c r="C11" s="722" t="s">
        <v>425</v>
      </c>
      <c r="D11" s="321"/>
      <c r="E11" s="803">
        <v>4.2500000000000003E-2</v>
      </c>
      <c r="F11" s="412"/>
      <c r="G11" s="412"/>
      <c r="H11" s="412"/>
    </row>
    <row r="12" spans="1:8">
      <c r="A12" s="758">
        <v>2</v>
      </c>
      <c r="C12" s="722" t="s">
        <v>426</v>
      </c>
      <c r="D12" s="321"/>
      <c r="E12" s="803">
        <v>4.2500000000000003E-2</v>
      </c>
      <c r="F12" s="412"/>
      <c r="G12" s="412"/>
      <c r="H12" s="412"/>
    </row>
    <row r="13" spans="1:8">
      <c r="A13" s="758">
        <v>3</v>
      </c>
      <c r="C13" s="722" t="s">
        <v>427</v>
      </c>
      <c r="D13" s="321"/>
      <c r="E13" s="803">
        <v>4.2500000000000003E-2</v>
      </c>
      <c r="F13" s="412"/>
      <c r="G13" s="412"/>
      <c r="H13" s="412"/>
    </row>
    <row r="14" spans="1:8">
      <c r="A14" s="758">
        <v>4</v>
      </c>
      <c r="C14" s="722" t="s">
        <v>428</v>
      </c>
      <c r="D14" s="321"/>
      <c r="E14" s="803">
        <v>4.4699999999999997E-2</v>
      </c>
      <c r="F14" s="412"/>
      <c r="G14" s="412"/>
      <c r="H14" s="412"/>
    </row>
    <row r="15" spans="1:8">
      <c r="A15" s="758">
        <v>5</v>
      </c>
      <c r="C15" s="722" t="s">
        <v>429</v>
      </c>
      <c r="D15" s="321"/>
      <c r="E15" s="803">
        <v>4.4699999999999997E-2</v>
      </c>
      <c r="F15" s="412"/>
      <c r="G15" s="412"/>
      <c r="H15" s="412"/>
    </row>
    <row r="16" spans="1:8">
      <c r="A16" s="758">
        <v>6</v>
      </c>
      <c r="C16" s="722" t="s">
        <v>430</v>
      </c>
      <c r="D16" s="321"/>
      <c r="E16" s="803">
        <v>4.4699999999999997E-2</v>
      </c>
      <c r="F16" s="412"/>
      <c r="G16" s="412"/>
      <c r="H16" s="412"/>
    </row>
    <row r="17" spans="1:8">
      <c r="A17" s="758">
        <v>7</v>
      </c>
      <c r="C17" s="722" t="s">
        <v>431</v>
      </c>
      <c r="D17" s="321"/>
      <c r="E17" s="803">
        <v>4.6899999999999997E-2</v>
      </c>
      <c r="F17" s="412"/>
      <c r="G17" s="412"/>
      <c r="H17" s="412"/>
    </row>
    <row r="18" spans="1:8">
      <c r="A18" s="758">
        <v>8</v>
      </c>
      <c r="C18" s="722" t="s">
        <v>432</v>
      </c>
      <c r="D18" s="321"/>
      <c r="E18" s="803">
        <v>4.6899999999999997E-2</v>
      </c>
      <c r="F18" s="412"/>
      <c r="G18" s="412"/>
      <c r="H18" s="412"/>
    </row>
    <row r="19" spans="1:8">
      <c r="A19" s="758">
        <v>9</v>
      </c>
      <c r="C19" s="722" t="s">
        <v>433</v>
      </c>
      <c r="D19" s="321"/>
      <c r="E19" s="803">
        <v>4.6899999999999997E-2</v>
      </c>
      <c r="F19" s="412"/>
      <c r="G19" s="412"/>
      <c r="H19" s="412"/>
    </row>
    <row r="20" spans="1:8">
      <c r="A20" s="758">
        <v>10</v>
      </c>
      <c r="C20" s="722" t="s">
        <v>434</v>
      </c>
      <c r="D20" s="321"/>
      <c r="E20" s="803">
        <v>4.9599999999999998E-2</v>
      </c>
      <c r="F20" s="412"/>
      <c r="G20" s="412"/>
      <c r="H20" s="412"/>
    </row>
    <row r="21" spans="1:8">
      <c r="A21" s="758">
        <v>11</v>
      </c>
      <c r="C21" s="722" t="s">
        <v>435</v>
      </c>
      <c r="D21" s="321"/>
      <c r="E21" s="803">
        <v>4.9599999999999998E-2</v>
      </c>
      <c r="F21" s="412"/>
      <c r="G21" s="412"/>
      <c r="H21" s="412"/>
    </row>
    <row r="22" spans="1:8">
      <c r="A22" s="758">
        <v>12</v>
      </c>
      <c r="C22" s="722" t="s">
        <v>436</v>
      </c>
      <c r="D22" s="321"/>
      <c r="E22" s="803">
        <v>4.9599999999999998E-2</v>
      </c>
      <c r="F22" s="412"/>
      <c r="G22" s="412"/>
      <c r="H22" s="412"/>
    </row>
    <row r="23" spans="1:8">
      <c r="A23" s="758">
        <f>+A22+1</f>
        <v>13</v>
      </c>
      <c r="C23" s="722" t="s">
        <v>571</v>
      </c>
      <c r="D23" s="321"/>
      <c r="E23" s="803">
        <v>5.1799999999999999E-2</v>
      </c>
      <c r="F23" s="412"/>
      <c r="G23" s="412"/>
      <c r="H23" s="412"/>
    </row>
    <row r="24" spans="1:8">
      <c r="A24" s="758">
        <f t="shared" ref="A24:A30" si="0">+A23+1</f>
        <v>14</v>
      </c>
      <c r="C24" s="722" t="s">
        <v>572</v>
      </c>
      <c r="D24" s="321"/>
      <c r="E24" s="803">
        <v>5.1799999999999999E-2</v>
      </c>
      <c r="F24" s="412"/>
      <c r="G24" s="412"/>
      <c r="H24" s="412"/>
    </row>
    <row r="25" spans="1:8">
      <c r="A25" s="758">
        <f t="shared" si="0"/>
        <v>15</v>
      </c>
      <c r="C25" s="722" t="s">
        <v>573</v>
      </c>
      <c r="D25" s="321"/>
      <c r="E25" s="803">
        <v>5.1799999999999999E-2</v>
      </c>
      <c r="F25" s="412"/>
      <c r="G25" s="412"/>
      <c r="H25" s="412"/>
    </row>
    <row r="26" spans="1:8">
      <c r="A26" s="758">
        <f t="shared" si="0"/>
        <v>16</v>
      </c>
      <c r="C26" s="722" t="s">
        <v>574</v>
      </c>
      <c r="D26" s="321"/>
      <c r="E26" s="803">
        <v>5.45E-2</v>
      </c>
      <c r="F26" s="412"/>
      <c r="G26" s="412"/>
      <c r="H26" s="412"/>
    </row>
    <row r="27" spans="1:8">
      <c r="A27" s="758">
        <f t="shared" si="0"/>
        <v>17</v>
      </c>
      <c r="C27" s="722" t="s">
        <v>575</v>
      </c>
      <c r="D27" s="321"/>
      <c r="E27" s="803">
        <v>5.45E-2</v>
      </c>
      <c r="F27" s="412"/>
      <c r="G27" s="412"/>
      <c r="H27" s="412"/>
    </row>
    <row r="28" spans="1:8">
      <c r="A28" s="758">
        <f t="shared" si="0"/>
        <v>18</v>
      </c>
      <c r="C28" s="722" t="s">
        <v>752</v>
      </c>
      <c r="D28" s="321"/>
      <c r="E28" s="803">
        <v>5.45E-2</v>
      </c>
      <c r="F28" s="412"/>
      <c r="G28" s="412"/>
      <c r="H28" s="412"/>
    </row>
    <row r="29" spans="1:8">
      <c r="A29" s="758">
        <f t="shared" si="0"/>
        <v>19</v>
      </c>
      <c r="C29" s="722" t="s">
        <v>753</v>
      </c>
      <c r="D29" s="321"/>
      <c r="E29" s="803">
        <v>5.5E-2</v>
      </c>
      <c r="F29" s="412"/>
      <c r="G29" s="412"/>
      <c r="H29" s="412"/>
    </row>
    <row r="30" spans="1:8">
      <c r="A30" s="758">
        <f t="shared" si="0"/>
        <v>20</v>
      </c>
      <c r="C30" s="722" t="s">
        <v>754</v>
      </c>
      <c r="D30" s="321"/>
      <c r="E30" s="803">
        <v>5.5E-2</v>
      </c>
      <c r="F30" s="412"/>
      <c r="G30" s="412"/>
      <c r="H30" s="412"/>
    </row>
    <row r="31" spans="1:8">
      <c r="A31" s="758"/>
      <c r="C31" s="718"/>
      <c r="D31" s="723"/>
      <c r="E31" s="723"/>
      <c r="F31" s="412"/>
      <c r="G31" s="412"/>
      <c r="H31" s="321"/>
    </row>
    <row r="32" spans="1:8">
      <c r="A32" s="758">
        <f>+A30+1</f>
        <v>21</v>
      </c>
      <c r="B32" s="724" t="s">
        <v>570</v>
      </c>
      <c r="C32" s="717"/>
      <c r="D32" s="723"/>
      <c r="E32" s="725">
        <f>+AVERAGE(E11:E30)</f>
        <v>4.8999999999999995E-2</v>
      </c>
      <c r="F32" s="412"/>
      <c r="G32" s="412"/>
      <c r="H32" s="321"/>
    </row>
    <row r="33" spans="1:8">
      <c r="A33" s="758">
        <f>+A32+1</f>
        <v>22</v>
      </c>
      <c r="B33" s="577" t="s">
        <v>473</v>
      </c>
      <c r="E33" s="213">
        <f>+E32/12</f>
        <v>4.0833333333333329E-3</v>
      </c>
    </row>
    <row r="34" spans="1:8">
      <c r="E34" s="726"/>
    </row>
    <row r="35" spans="1:8" ht="36" customHeight="1">
      <c r="A35" s="1028" t="s">
        <v>755</v>
      </c>
      <c r="B35" s="1028"/>
      <c r="C35" s="1028"/>
      <c r="D35" s="1028"/>
      <c r="E35" s="1028"/>
      <c r="F35" s="1028"/>
      <c r="G35" s="1028"/>
      <c r="H35" s="806"/>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7"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E14" sqref="E14"/>
    </sheetView>
  </sheetViews>
  <sheetFormatPr defaultColWidth="8.88671875" defaultRowHeight="15.75"/>
  <cols>
    <col min="1" max="1" width="8.88671875" style="225"/>
    <col min="2" max="2" width="43.77734375" style="225" customWidth="1"/>
    <col min="3" max="3" width="20.6640625" style="225" bestFit="1" customWidth="1"/>
    <col min="4" max="5" width="16.88671875" style="225" bestFit="1" customWidth="1"/>
    <col min="6" max="6" width="12.109375" style="225" customWidth="1"/>
    <col min="7" max="8" width="11.88671875" style="225" bestFit="1" customWidth="1"/>
    <col min="9" max="16384" width="8.88671875" style="225"/>
  </cols>
  <sheetData>
    <row r="1" spans="1:9">
      <c r="A1" s="1026" t="s">
        <v>186</v>
      </c>
      <c r="B1" s="1026"/>
      <c r="C1" s="1026"/>
      <c r="D1" s="1026"/>
      <c r="E1" s="1026"/>
      <c r="F1" s="1026"/>
    </row>
    <row r="2" spans="1:9">
      <c r="A2" s="1029" t="s">
        <v>384</v>
      </c>
      <c r="B2" s="1029"/>
      <c r="C2" s="1029"/>
      <c r="D2" s="1029"/>
      <c r="E2" s="1029"/>
      <c r="F2" s="1029"/>
    </row>
    <row r="3" spans="1:9">
      <c r="A3" s="1026" t="str">
        <f>+'Attachment H-30A'!D5</f>
        <v>Transource Maryland, LLC</v>
      </c>
      <c r="B3" s="1026"/>
      <c r="C3" s="1026"/>
      <c r="D3" s="1026"/>
      <c r="E3" s="1026"/>
      <c r="F3" s="1026"/>
      <c r="G3" s="694"/>
      <c r="H3" s="694"/>
    </row>
    <row r="4" spans="1:9">
      <c r="A4" s="695"/>
      <c r="C4" s="696"/>
      <c r="G4" s="694"/>
      <c r="H4" s="694"/>
    </row>
    <row r="5" spans="1:9">
      <c r="A5" s="302"/>
      <c r="B5" s="308" t="s">
        <v>263</v>
      </c>
      <c r="C5" s="309"/>
      <c r="D5" s="302"/>
      <c r="E5" s="310"/>
      <c r="F5" s="321"/>
      <c r="G5" s="697"/>
      <c r="H5" s="697"/>
    </row>
    <row r="6" spans="1:9" s="692" customFormat="1">
      <c r="A6" s="302"/>
      <c r="B6" s="308"/>
      <c r="C6" s="309"/>
      <c r="D6" s="311" t="s">
        <v>314</v>
      </c>
      <c r="E6" s="792" t="s">
        <v>315</v>
      </c>
      <c r="F6" s="312" t="s">
        <v>13</v>
      </c>
      <c r="G6" s="698"/>
      <c r="H6" s="698"/>
      <c r="I6" s="698"/>
    </row>
    <row r="7" spans="1:9">
      <c r="A7" s="493" t="s">
        <v>148</v>
      </c>
      <c r="B7" s="313"/>
      <c r="C7" s="313"/>
      <c r="D7" s="312" t="s">
        <v>190</v>
      </c>
      <c r="E7" s="793" t="s">
        <v>191</v>
      </c>
      <c r="F7" s="312" t="s">
        <v>640</v>
      </c>
      <c r="G7" s="699"/>
      <c r="H7" s="699"/>
      <c r="I7" s="693"/>
    </row>
    <row r="8" spans="1:9" ht="26.25">
      <c r="A8" s="302">
        <v>1</v>
      </c>
      <c r="B8" s="321"/>
      <c r="C8" s="303"/>
      <c r="D8" s="304" t="s">
        <v>742</v>
      </c>
      <c r="E8" s="794" t="s">
        <v>742</v>
      </c>
      <c r="F8" s="702"/>
      <c r="G8" s="319"/>
      <c r="H8" s="319"/>
      <c r="I8" s="319"/>
    </row>
    <row r="9" spans="1:9">
      <c r="A9" s="302">
        <v>2</v>
      </c>
      <c r="B9" s="305" t="s">
        <v>523</v>
      </c>
      <c r="C9" s="305" t="s">
        <v>295</v>
      </c>
      <c r="D9" s="498">
        <f>-98328251+5994383</f>
        <v>-92333868</v>
      </c>
      <c r="E9" s="498">
        <v>8386137</v>
      </c>
      <c r="F9" s="321"/>
      <c r="G9" s="295"/>
      <c r="H9" s="295"/>
      <c r="I9" s="278"/>
    </row>
    <row r="10" spans="1:9">
      <c r="A10" s="302">
        <v>3</v>
      </c>
      <c r="B10" s="305" t="s">
        <v>316</v>
      </c>
      <c r="C10" s="305" t="s">
        <v>295</v>
      </c>
      <c r="D10" s="498">
        <f>+D9*((16980+297)/(16980+17214+48+297))</f>
        <v>-46186983.91487883</v>
      </c>
      <c r="E10" s="498">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8">
        <v>1573181281</v>
      </c>
      <c r="E12" s="498">
        <f>243676962-51943652</f>
        <v>191733310</v>
      </c>
      <c r="F12" s="321"/>
      <c r="G12" s="318"/>
      <c r="H12" s="318"/>
      <c r="I12" s="545"/>
    </row>
    <row r="13" spans="1:9">
      <c r="A13" s="302">
        <v>6</v>
      </c>
      <c r="B13" s="305" t="s">
        <v>320</v>
      </c>
      <c r="C13" s="305" t="s">
        <v>321</v>
      </c>
      <c r="D13" s="315">
        <f>IFERROR(D11/D12,0)</f>
        <v>-2.9333481552607649E-2</v>
      </c>
      <c r="E13" s="315">
        <f>IFERROR(E11/E12,0)</f>
        <v>2.5642232015562511E-2</v>
      </c>
      <c r="F13" s="316"/>
      <c r="G13" s="48"/>
      <c r="H13" s="48"/>
      <c r="I13" s="545"/>
    </row>
    <row r="14" spans="1:9">
      <c r="A14" s="302">
        <v>7</v>
      </c>
      <c r="B14" s="305" t="s">
        <v>524</v>
      </c>
      <c r="C14" s="305" t="s">
        <v>374</v>
      </c>
      <c r="D14" s="980">
        <v>170654.61111051519</v>
      </c>
      <c r="E14" s="980">
        <v>0</v>
      </c>
      <c r="F14" s="316"/>
      <c r="G14" s="539"/>
      <c r="H14" s="539"/>
      <c r="I14" s="278"/>
    </row>
    <row r="15" spans="1:9">
      <c r="A15" s="302">
        <v>8</v>
      </c>
      <c r="B15" s="305" t="s">
        <v>381</v>
      </c>
      <c r="C15" s="305" t="s">
        <v>322</v>
      </c>
      <c r="D15" s="703">
        <f>D13*D14</f>
        <v>-5005.8938868777295</v>
      </c>
      <c r="E15" s="703">
        <f>E13*E14</f>
        <v>0</v>
      </c>
      <c r="F15" s="536">
        <f>SUM(D15:E15)</f>
        <v>-5005.8938868777295</v>
      </c>
      <c r="G15" s="278"/>
      <c r="H15" s="278"/>
      <c r="I15" s="278"/>
    </row>
    <row r="16" spans="1:9">
      <c r="A16" s="302">
        <v>9</v>
      </c>
      <c r="B16" s="317"/>
      <c r="C16" s="305"/>
      <c r="D16" s="305"/>
      <c r="E16" s="577"/>
      <c r="F16" s="316"/>
      <c r="G16" s="278"/>
      <c r="H16" s="278"/>
      <c r="I16" s="545"/>
    </row>
    <row r="17" spans="1:17">
      <c r="A17" s="353"/>
      <c r="B17" s="321"/>
      <c r="C17" s="321"/>
      <c r="D17" s="321"/>
      <c r="E17" s="321"/>
      <c r="F17" s="316"/>
      <c r="G17" s="693"/>
      <c r="H17" s="693"/>
      <c r="I17" s="693"/>
    </row>
    <row r="18" spans="1:17">
      <c r="A18" s="214">
        <v>10</v>
      </c>
      <c r="B18" s="317" t="s">
        <v>698</v>
      </c>
      <c r="C18" s="321"/>
      <c r="D18" s="788"/>
      <c r="E18" s="788"/>
      <c r="F18" s="789">
        <v>0</v>
      </c>
      <c r="G18" s="539"/>
      <c r="H18" s="539"/>
      <c r="I18" s="539"/>
      <c r="J18" s="539"/>
      <c r="K18" s="539"/>
      <c r="L18" s="539"/>
      <c r="M18" s="539"/>
      <c r="N18" s="539"/>
      <c r="O18" s="539"/>
      <c r="P18" s="539"/>
      <c r="Q18" s="539"/>
    </row>
    <row r="19" spans="1:17">
      <c r="A19" s="494"/>
      <c r="B19" s="321"/>
      <c r="C19" s="321"/>
      <c r="D19" s="321"/>
      <c r="E19" s="321"/>
      <c r="F19" s="321"/>
      <c r="G19" s="539"/>
      <c r="H19" s="539"/>
      <c r="I19" s="539"/>
      <c r="J19" s="539"/>
      <c r="K19" s="539"/>
      <c r="L19" s="539"/>
      <c r="M19" s="539"/>
      <c r="N19" s="539"/>
      <c r="O19" s="539"/>
      <c r="P19" s="539"/>
      <c r="Q19" s="539"/>
    </row>
    <row r="20" spans="1:17">
      <c r="B20" s="539"/>
      <c r="C20" s="321"/>
      <c r="D20" s="321"/>
      <c r="E20" s="321"/>
      <c r="F20" s="321"/>
      <c r="G20" s="307"/>
      <c r="H20" s="307"/>
      <c r="I20" s="307"/>
      <c r="J20" s="307"/>
      <c r="K20" s="307"/>
      <c r="L20" s="307"/>
      <c r="M20" s="307"/>
      <c r="N20" s="307"/>
      <c r="O20" s="307"/>
      <c r="P20" s="307"/>
      <c r="Q20" s="307"/>
    </row>
    <row r="21" spans="1:17">
      <c r="A21" s="495" t="s">
        <v>525</v>
      </c>
      <c r="B21" s="539"/>
      <c r="C21" s="321"/>
      <c r="D21" s="321"/>
      <c r="E21" s="321"/>
      <c r="F21" s="321"/>
      <c r="G21" s="693"/>
      <c r="H21" s="693"/>
      <c r="I21" s="693"/>
    </row>
    <row r="22" spans="1:17" ht="26.25" customHeight="1">
      <c r="A22" s="561" t="s">
        <v>62</v>
      </c>
      <c r="B22" s="994" t="s">
        <v>766</v>
      </c>
      <c r="C22" s="994"/>
      <c r="D22" s="994"/>
      <c r="E22" s="994"/>
      <c r="F22" s="994"/>
      <c r="G22" s="693"/>
      <c r="H22" s="693"/>
      <c r="I22" s="693"/>
    </row>
    <row r="23" spans="1:17">
      <c r="A23" s="707"/>
      <c r="B23" s="707"/>
      <c r="C23" s="798"/>
      <c r="D23" s="798"/>
      <c r="E23" s="798"/>
      <c r="F23" s="798"/>
      <c r="G23" s="693"/>
      <c r="H23" s="693"/>
      <c r="I23" s="693"/>
    </row>
    <row r="24" spans="1:17" ht="27.75" customHeight="1">
      <c r="A24" s="822" t="s">
        <v>63</v>
      </c>
      <c r="B24" s="993" t="s">
        <v>832</v>
      </c>
      <c r="C24" s="993"/>
      <c r="D24" s="993"/>
      <c r="E24" s="993"/>
      <c r="F24" s="993"/>
      <c r="G24" s="693"/>
      <c r="H24" s="693"/>
      <c r="I24" s="693"/>
    </row>
    <row r="25" spans="1:17">
      <c r="A25" s="707"/>
      <c r="B25" s="707"/>
      <c r="C25" s="707"/>
      <c r="D25" s="707"/>
      <c r="E25" s="707"/>
      <c r="F25" s="707"/>
      <c r="G25" s="693"/>
      <c r="H25" s="693"/>
      <c r="I25" s="693"/>
    </row>
    <row r="26" spans="1:17">
      <c r="A26" s="822" t="s">
        <v>64</v>
      </c>
      <c r="B26" s="799" t="s">
        <v>732</v>
      </c>
      <c r="C26" s="823"/>
      <c r="D26" s="823"/>
      <c r="E26" s="707"/>
      <c r="F26" s="707"/>
      <c r="G26" s="693"/>
      <c r="H26" s="693"/>
      <c r="I26" s="693"/>
    </row>
    <row r="27" spans="1:17">
      <c r="G27" s="693"/>
      <c r="H27" s="693"/>
      <c r="I27" s="693"/>
    </row>
    <row r="28" spans="1:17">
      <c r="G28" s="693"/>
      <c r="H28" s="693"/>
      <c r="I28" s="693"/>
    </row>
    <row r="29" spans="1:17" s="692" customFormat="1">
      <c r="B29" s="700"/>
      <c r="C29" s="700"/>
      <c r="D29" s="700"/>
      <c r="G29" s="693"/>
      <c r="H29" s="693"/>
      <c r="I29" s="693"/>
    </row>
    <row r="30" spans="1:17" s="692" customFormat="1">
      <c r="B30" s="700"/>
      <c r="C30" s="700"/>
      <c r="D30" s="700"/>
      <c r="G30" s="693"/>
      <c r="H30" s="693"/>
      <c r="I30" s="693"/>
    </row>
    <row r="31" spans="1:17" s="692" customFormat="1">
      <c r="B31" s="700"/>
      <c r="C31" s="700"/>
      <c r="D31" s="700"/>
    </row>
    <row r="32" spans="1:17" s="692" customFormat="1">
      <c r="B32" s="700"/>
      <c r="C32" s="700"/>
      <c r="D32" s="700"/>
    </row>
    <row r="33" spans="2:4" s="692" customFormat="1">
      <c r="B33" s="700"/>
      <c r="C33" s="700"/>
      <c r="D33" s="700"/>
    </row>
    <row r="34" spans="2:4" s="692"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5" zoomScaleNormal="90" zoomScaleSheetLayoutView="85" workbookViewId="0">
      <selection activeCell="D13" sqref="D13"/>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11.6640625" style="347" customWidth="1"/>
    <col min="6" max="6" width="14.21875" style="347" customWidth="1"/>
    <col min="7" max="7" width="13" style="347" bestFit="1" customWidth="1"/>
    <col min="8" max="8" width="11.109375" style="347" bestFit="1" customWidth="1"/>
    <col min="9" max="9" width="11.77734375" style="347" customWidth="1"/>
    <col min="10" max="10" width="11.886718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15" customHeight="1">
      <c r="A1" s="1031" t="s">
        <v>382</v>
      </c>
      <c r="B1" s="1031"/>
      <c r="C1" s="1031"/>
      <c r="D1" s="1031"/>
      <c r="E1" s="1031"/>
      <c r="F1" s="1031"/>
      <c r="G1" s="1031"/>
      <c r="H1" s="358"/>
      <c r="I1" s="358"/>
      <c r="J1" s="358"/>
      <c r="K1" s="358"/>
    </row>
    <row r="2" spans="1:12" s="333" customFormat="1">
      <c r="A2" s="1031" t="s">
        <v>703</v>
      </c>
      <c r="B2" s="1031"/>
      <c r="C2" s="1031"/>
      <c r="D2" s="1031"/>
      <c r="E2" s="1031"/>
      <c r="F2" s="1031"/>
      <c r="G2" s="1031"/>
      <c r="H2" s="358"/>
      <c r="I2" s="358"/>
      <c r="J2" s="358"/>
      <c r="K2" s="358"/>
    </row>
    <row r="3" spans="1:12" s="333" customFormat="1" ht="15" customHeight="1">
      <c r="A3" s="1010" t="str">
        <f>+'Attachment H-30A'!D5</f>
        <v>Transource Maryland, LLC</v>
      </c>
      <c r="B3" s="1010"/>
      <c r="C3" s="1010"/>
      <c r="D3" s="1010"/>
      <c r="E3" s="1010"/>
      <c r="F3" s="1010"/>
      <c r="G3" s="1010"/>
      <c r="H3" s="38"/>
      <c r="I3" s="38"/>
      <c r="J3" s="38"/>
      <c r="K3" s="38"/>
      <c r="L3" s="334"/>
    </row>
    <row r="4" spans="1:12" s="333" customFormat="1">
      <c r="A4" s="382"/>
      <c r="L4" s="334"/>
    </row>
    <row r="5" spans="1:12" s="333" customFormat="1" ht="35.25" customHeight="1">
      <c r="A5" s="997" t="s">
        <v>884</v>
      </c>
      <c r="B5" s="997"/>
      <c r="C5" s="997"/>
      <c r="D5" s="997"/>
      <c r="E5" s="997"/>
      <c r="F5" s="997"/>
      <c r="G5" s="997"/>
      <c r="H5" s="997"/>
      <c r="I5" s="997"/>
      <c r="J5" s="334"/>
      <c r="K5" s="334"/>
      <c r="L5" s="334"/>
    </row>
    <row r="6" spans="1:12" s="333" customFormat="1" ht="27" customHeight="1">
      <c r="A6" s="997" t="s">
        <v>725</v>
      </c>
      <c r="B6" s="997"/>
      <c r="C6" s="997"/>
      <c r="D6" s="997"/>
      <c r="E6" s="997"/>
      <c r="F6" s="997"/>
      <c r="G6" s="997"/>
      <c r="H6" s="997"/>
      <c r="I6" s="997"/>
      <c r="J6" s="334"/>
      <c r="K6" s="334"/>
      <c r="L6" s="334"/>
    </row>
    <row r="7" spans="1:12" s="333" customFormat="1" ht="31.5" customHeight="1">
      <c r="A7" s="1032" t="s">
        <v>726</v>
      </c>
      <c r="B7" s="1032"/>
      <c r="C7" s="1032"/>
      <c r="D7" s="1032"/>
      <c r="E7" s="1032"/>
      <c r="F7" s="1032"/>
      <c r="G7" s="1032"/>
      <c r="H7" s="1032"/>
      <c r="I7" s="1032"/>
      <c r="J7" s="348"/>
      <c r="K7" s="348"/>
      <c r="L7" s="383"/>
    </row>
    <row r="8" spans="1:12" s="333" customFormat="1" ht="18.75" customHeight="1">
      <c r="A8" s="997" t="s">
        <v>699</v>
      </c>
      <c r="B8" s="997"/>
      <c r="C8" s="997"/>
      <c r="D8" s="997"/>
      <c r="E8" s="997"/>
      <c r="F8" s="997"/>
      <c r="G8" s="997"/>
      <c r="H8" s="997"/>
      <c r="I8" s="997"/>
      <c r="J8" s="348"/>
      <c r="K8" s="348"/>
      <c r="L8" s="383"/>
    </row>
    <row r="9" spans="1:12" s="333" customFormat="1" ht="31.5" customHeight="1">
      <c r="A9" s="997" t="s">
        <v>710</v>
      </c>
      <c r="B9" s="997"/>
      <c r="C9" s="997"/>
      <c r="D9" s="997"/>
      <c r="E9" s="997"/>
      <c r="F9" s="997"/>
      <c r="G9" s="997"/>
      <c r="H9" s="997"/>
      <c r="I9" s="997"/>
      <c r="J9" s="348"/>
      <c r="K9" s="348"/>
      <c r="L9" s="710"/>
    </row>
    <row r="10" spans="1:12" s="333" customFormat="1" ht="29.25" customHeight="1">
      <c r="A10" s="219" t="s">
        <v>189</v>
      </c>
      <c r="C10" s="334"/>
      <c r="D10" s="334"/>
      <c r="E10" s="334"/>
      <c r="F10" s="334"/>
      <c r="G10" s="336"/>
      <c r="H10" s="334"/>
      <c r="I10" s="334"/>
      <c r="J10" s="334"/>
      <c r="K10" s="334"/>
      <c r="L10" s="334"/>
    </row>
    <row r="11" spans="1:12" s="333" customFormat="1" ht="16.5" customHeight="1">
      <c r="A11" s="384">
        <v>1</v>
      </c>
      <c r="B11" s="333" t="s">
        <v>596</v>
      </c>
      <c r="C11" s="379"/>
      <c r="D11" s="350">
        <f>I33</f>
        <v>3.356184198000952E-2</v>
      </c>
      <c r="E11" s="379"/>
      <c r="F11" s="379"/>
      <c r="H11" s="334"/>
      <c r="I11" s="334"/>
      <c r="J11" s="334"/>
      <c r="K11" s="334"/>
      <c r="L11" s="334"/>
    </row>
    <row r="12" spans="1:12" s="333" customFormat="1" ht="16.5" customHeight="1">
      <c r="A12" s="384">
        <f>+A11+1</f>
        <v>2</v>
      </c>
      <c r="B12" s="333" t="s">
        <v>471</v>
      </c>
      <c r="C12" s="379"/>
      <c r="D12" s="350">
        <f>+G53</f>
        <v>3.7125178486435034E-3</v>
      </c>
      <c r="E12" s="379"/>
      <c r="F12" s="379"/>
      <c r="H12" s="334"/>
      <c r="I12" s="334"/>
      <c r="J12" s="334"/>
      <c r="K12" s="334"/>
      <c r="L12" s="334"/>
    </row>
    <row r="13" spans="1:12" s="333" customFormat="1" ht="16.5" customHeight="1">
      <c r="A13" s="384">
        <f>+A12+1</f>
        <v>3</v>
      </c>
      <c r="B13" s="355" t="s">
        <v>398</v>
      </c>
      <c r="C13" s="379"/>
      <c r="D13" s="356">
        <f>+D11+D12</f>
        <v>3.7274359828653021E-2</v>
      </c>
      <c r="E13" s="379"/>
      <c r="F13" s="379"/>
      <c r="H13" s="334"/>
      <c r="I13" s="334"/>
      <c r="J13" s="334"/>
      <c r="K13" s="334"/>
      <c r="L13" s="334"/>
    </row>
    <row r="14" spans="1:12" s="333" customFormat="1" ht="6" customHeight="1">
      <c r="A14" s="384"/>
      <c r="B14" s="337"/>
      <c r="C14" s="379"/>
      <c r="D14" s="366"/>
      <c r="E14" s="379"/>
      <c r="F14" s="379"/>
      <c r="H14" s="334"/>
      <c r="I14" s="334"/>
      <c r="J14" s="334"/>
      <c r="K14" s="334"/>
      <c r="L14" s="334"/>
    </row>
    <row r="15" spans="1:12" s="333" customFormat="1" ht="16.5" customHeight="1">
      <c r="A15" s="384"/>
      <c r="B15" s="337" t="s">
        <v>462</v>
      </c>
      <c r="C15" s="379"/>
      <c r="D15" s="366"/>
      <c r="E15" s="379"/>
      <c r="F15" s="379"/>
      <c r="H15" s="334"/>
      <c r="I15" s="334"/>
      <c r="J15" s="334"/>
      <c r="K15" s="334"/>
      <c r="L15" s="334"/>
    </row>
    <row r="16" spans="1:12" s="333" customFormat="1" ht="16.5" customHeight="1">
      <c r="A16" s="384">
        <f>A13+1</f>
        <v>4</v>
      </c>
      <c r="B16" s="334" t="s">
        <v>463</v>
      </c>
      <c r="C16" s="379"/>
      <c r="D16" s="965">
        <v>7.5000000000000002E-4</v>
      </c>
      <c r="E16" s="379"/>
      <c r="F16" s="379"/>
      <c r="H16" s="334"/>
      <c r="I16" s="334"/>
      <c r="J16" s="334"/>
      <c r="K16" s="334"/>
      <c r="L16" s="334"/>
    </row>
    <row r="17" spans="1:13" s="333" customFormat="1" ht="16.5" customHeight="1">
      <c r="A17" s="384">
        <f>A16+1</f>
        <v>5</v>
      </c>
      <c r="B17" s="334" t="s">
        <v>468</v>
      </c>
      <c r="C17" s="379"/>
      <c r="D17" s="967">
        <v>3.057E-2</v>
      </c>
      <c r="E17" s="379"/>
      <c r="F17" s="379"/>
      <c r="H17" s="334"/>
      <c r="I17" s="334"/>
      <c r="J17" s="334"/>
      <c r="K17" s="334"/>
      <c r="L17" s="334"/>
    </row>
    <row r="18" spans="1:13" s="333" customFormat="1" ht="60.75" customHeight="1">
      <c r="A18" s="384"/>
      <c r="B18" s="3" t="s">
        <v>411</v>
      </c>
      <c r="C18" s="379"/>
      <c r="D18" s="364" t="s">
        <v>727</v>
      </c>
      <c r="E18" s="364" t="s">
        <v>464</v>
      </c>
      <c r="F18" s="397" t="s">
        <v>465</v>
      </c>
      <c r="G18" s="397" t="s">
        <v>723</v>
      </c>
      <c r="H18" s="397" t="s">
        <v>466</v>
      </c>
      <c r="I18" s="397" t="s">
        <v>467</v>
      </c>
      <c r="J18" s="334"/>
      <c r="K18" s="334"/>
      <c r="L18" s="334"/>
      <c r="M18" s="334"/>
    </row>
    <row r="19" spans="1:13" s="333" customFormat="1" ht="21" customHeight="1">
      <c r="A19" s="384"/>
      <c r="B19" s="380" t="s">
        <v>190</v>
      </c>
      <c r="C19" s="379"/>
      <c r="D19" s="365" t="s">
        <v>191</v>
      </c>
      <c r="E19" s="365" t="s">
        <v>192</v>
      </c>
      <c r="F19" s="365" t="s">
        <v>193</v>
      </c>
      <c r="G19" s="365" t="s">
        <v>195</v>
      </c>
      <c r="H19" s="365" t="s">
        <v>194</v>
      </c>
      <c r="I19" s="365" t="s">
        <v>196</v>
      </c>
      <c r="J19" s="334"/>
      <c r="K19" s="334"/>
      <c r="L19" s="334"/>
      <c r="M19" s="334"/>
    </row>
    <row r="20" spans="1:13" s="333" customFormat="1" ht="16.5" customHeight="1">
      <c r="A20" s="384">
        <f>A17+1</f>
        <v>6</v>
      </c>
      <c r="B20" s="5" t="s">
        <v>187</v>
      </c>
      <c r="C20" s="379"/>
      <c r="D20" s="970">
        <v>12500</v>
      </c>
      <c r="E20" s="970">
        <v>6350</v>
      </c>
      <c r="F20" s="295">
        <f>D20-E20</f>
        <v>6150</v>
      </c>
      <c r="G20" s="828">
        <f>($D$16/12)*F20</f>
        <v>0.38437500000000002</v>
      </c>
      <c r="H20" s="295">
        <f>($D$17/12)*E20</f>
        <v>16.176624999999998</v>
      </c>
      <c r="I20" s="334"/>
      <c r="J20" s="334"/>
      <c r="K20" s="334"/>
      <c r="L20" s="334"/>
      <c r="M20" s="334"/>
    </row>
    <row r="21" spans="1:13" s="333" customFormat="1" ht="16.5" customHeight="1">
      <c r="A21" s="384">
        <f>+A20+1</f>
        <v>7</v>
      </c>
      <c r="B21" s="5" t="s">
        <v>85</v>
      </c>
      <c r="C21" s="379"/>
      <c r="D21" s="970">
        <v>12500</v>
      </c>
      <c r="E21" s="970">
        <v>6850</v>
      </c>
      <c r="F21" s="295">
        <f t="shared" ref="F21:F32" si="0">D21-E21</f>
        <v>5650</v>
      </c>
      <c r="G21" s="828">
        <f t="shared" ref="G21:G32" si="1">($D$16/12)*F21</f>
        <v>0.35312500000000002</v>
      </c>
      <c r="H21" s="295">
        <f t="shared" ref="H21:H32" si="2">($D$17/12)*E21</f>
        <v>17.450374999999998</v>
      </c>
      <c r="I21" s="334"/>
      <c r="J21" s="334"/>
      <c r="K21" s="334"/>
      <c r="L21" s="334"/>
      <c r="M21" s="334"/>
    </row>
    <row r="22" spans="1:13" s="333" customFormat="1" ht="16.5" customHeight="1">
      <c r="A22" s="384">
        <f t="shared" ref="A22:A33" si="3">+A21+1</f>
        <v>8</v>
      </c>
      <c r="B22" s="1" t="s">
        <v>84</v>
      </c>
      <c r="C22" s="379"/>
      <c r="D22" s="970">
        <v>12500</v>
      </c>
      <c r="E22" s="970">
        <v>6850</v>
      </c>
      <c r="F22" s="295">
        <f t="shared" si="0"/>
        <v>5650</v>
      </c>
      <c r="G22" s="828">
        <f t="shared" si="1"/>
        <v>0.35312500000000002</v>
      </c>
      <c r="H22" s="295">
        <f t="shared" si="2"/>
        <v>17.450374999999998</v>
      </c>
      <c r="I22" s="334"/>
      <c r="J22" s="334"/>
      <c r="K22" s="334"/>
      <c r="L22" s="334"/>
      <c r="M22" s="334"/>
    </row>
    <row r="23" spans="1:13" s="333" customFormat="1" ht="16.5" customHeight="1">
      <c r="A23" s="384">
        <f t="shared" si="3"/>
        <v>9</v>
      </c>
      <c r="B23" s="1" t="s">
        <v>164</v>
      </c>
      <c r="C23" s="379"/>
      <c r="D23" s="970">
        <v>12500</v>
      </c>
      <c r="E23" s="970">
        <v>6850</v>
      </c>
      <c r="F23" s="295">
        <f t="shared" si="0"/>
        <v>5650</v>
      </c>
      <c r="G23" s="828">
        <f>($D$16/12)*F23</f>
        <v>0.35312500000000002</v>
      </c>
      <c r="H23" s="295">
        <f t="shared" si="2"/>
        <v>17.450374999999998</v>
      </c>
      <c r="I23" s="334"/>
      <c r="J23" s="334"/>
      <c r="K23" s="334"/>
      <c r="L23" s="334"/>
      <c r="M23" s="334"/>
    </row>
    <row r="24" spans="1:13" s="333" customFormat="1" ht="16.5" customHeight="1">
      <c r="A24" s="384">
        <f t="shared" si="3"/>
        <v>10</v>
      </c>
      <c r="B24" s="1" t="s">
        <v>76</v>
      </c>
      <c r="C24" s="379"/>
      <c r="D24" s="970">
        <v>12500</v>
      </c>
      <c r="E24" s="970">
        <v>7350</v>
      </c>
      <c r="F24" s="295">
        <f t="shared" si="0"/>
        <v>5150</v>
      </c>
      <c r="G24" s="828">
        <f t="shared" si="1"/>
        <v>0.32187500000000002</v>
      </c>
      <c r="H24" s="295">
        <f>($D$17/12)*E24</f>
        <v>18.724124999999997</v>
      </c>
      <c r="I24" s="334"/>
      <c r="J24" s="334"/>
      <c r="K24" s="334"/>
      <c r="L24" s="334"/>
      <c r="M24" s="334"/>
    </row>
    <row r="25" spans="1:13" s="333" customFormat="1" ht="16.5" customHeight="1">
      <c r="A25" s="384">
        <f t="shared" si="3"/>
        <v>11</v>
      </c>
      <c r="B25" s="1" t="s">
        <v>75</v>
      </c>
      <c r="C25" s="379"/>
      <c r="D25" s="970">
        <v>12500</v>
      </c>
      <c r="E25" s="970">
        <v>7350</v>
      </c>
      <c r="F25" s="295">
        <f t="shared" si="0"/>
        <v>5150</v>
      </c>
      <c r="G25" s="828">
        <f t="shared" si="1"/>
        <v>0.32187500000000002</v>
      </c>
      <c r="H25" s="295">
        <f t="shared" si="2"/>
        <v>18.724124999999997</v>
      </c>
      <c r="I25" s="334"/>
      <c r="J25" s="334"/>
      <c r="K25" s="334"/>
      <c r="L25" s="334"/>
      <c r="M25" s="334"/>
    </row>
    <row r="26" spans="1:13" s="333" customFormat="1" ht="16.5" customHeight="1">
      <c r="A26" s="384">
        <f t="shared" si="3"/>
        <v>12</v>
      </c>
      <c r="B26" s="1" t="s">
        <v>92</v>
      </c>
      <c r="C26" s="379"/>
      <c r="D26" s="970">
        <v>12500</v>
      </c>
      <c r="E26" s="970">
        <v>7350</v>
      </c>
      <c r="F26" s="295">
        <f t="shared" si="0"/>
        <v>5150</v>
      </c>
      <c r="G26" s="828">
        <f t="shared" si="1"/>
        <v>0.32187500000000002</v>
      </c>
      <c r="H26" s="295">
        <f t="shared" si="2"/>
        <v>18.724124999999997</v>
      </c>
      <c r="I26" s="334"/>
      <c r="J26" s="334"/>
      <c r="K26" s="334"/>
      <c r="L26" s="334"/>
      <c r="M26" s="334"/>
    </row>
    <row r="27" spans="1:13" s="333" customFormat="1" ht="16.5" customHeight="1">
      <c r="A27" s="384">
        <f t="shared" si="3"/>
        <v>13</v>
      </c>
      <c r="B27" s="1" t="s">
        <v>82</v>
      </c>
      <c r="C27" s="379"/>
      <c r="D27" s="970">
        <v>12500</v>
      </c>
      <c r="E27" s="970">
        <v>7850</v>
      </c>
      <c r="F27" s="295">
        <f t="shared" si="0"/>
        <v>4650</v>
      </c>
      <c r="G27" s="828">
        <f t="shared" si="1"/>
        <v>0.29062500000000002</v>
      </c>
      <c r="H27" s="295">
        <f t="shared" si="2"/>
        <v>19.997875000000001</v>
      </c>
      <c r="I27" s="334"/>
      <c r="J27" s="334"/>
      <c r="K27" s="334"/>
      <c r="L27" s="334"/>
      <c r="M27" s="334"/>
    </row>
    <row r="28" spans="1:13" s="333" customFormat="1" ht="16.5" customHeight="1">
      <c r="A28" s="384">
        <f t="shared" si="3"/>
        <v>14</v>
      </c>
      <c r="B28" s="1" t="s">
        <v>165</v>
      </c>
      <c r="C28" s="379"/>
      <c r="D28" s="970">
        <v>12500</v>
      </c>
      <c r="E28" s="970">
        <v>8350</v>
      </c>
      <c r="F28" s="295">
        <f t="shared" si="0"/>
        <v>4150</v>
      </c>
      <c r="G28" s="828">
        <f>($D$16/12)*F28</f>
        <v>0.25937500000000002</v>
      </c>
      <c r="H28" s="295">
        <f t="shared" si="2"/>
        <v>21.271625</v>
      </c>
      <c r="I28" s="334"/>
      <c r="J28" s="334"/>
      <c r="K28" s="334"/>
      <c r="L28" s="334"/>
      <c r="M28" s="334"/>
    </row>
    <row r="29" spans="1:13" s="333" customFormat="1" ht="16.5" customHeight="1">
      <c r="A29" s="384">
        <f t="shared" si="3"/>
        <v>15</v>
      </c>
      <c r="B29" s="1" t="s">
        <v>80</v>
      </c>
      <c r="C29" s="379"/>
      <c r="D29" s="970">
        <v>12500</v>
      </c>
      <c r="E29" s="970">
        <v>9350</v>
      </c>
      <c r="F29" s="295">
        <f t="shared" si="0"/>
        <v>3150</v>
      </c>
      <c r="G29" s="828">
        <f t="shared" si="1"/>
        <v>0.19687499999999999</v>
      </c>
      <c r="H29" s="295">
        <f t="shared" si="2"/>
        <v>23.819125</v>
      </c>
      <c r="I29" s="334"/>
      <c r="J29" s="334"/>
      <c r="K29" s="334"/>
      <c r="L29" s="334"/>
      <c r="M29" s="334"/>
    </row>
    <row r="30" spans="1:13" s="333" customFormat="1" ht="16.5" customHeight="1">
      <c r="A30" s="384">
        <f t="shared" si="3"/>
        <v>16</v>
      </c>
      <c r="B30" s="1" t="s">
        <v>86</v>
      </c>
      <c r="C30" s="379"/>
      <c r="D30" s="970">
        <v>12500</v>
      </c>
      <c r="E30" s="970">
        <v>9850</v>
      </c>
      <c r="F30" s="295">
        <f t="shared" si="0"/>
        <v>2650</v>
      </c>
      <c r="G30" s="828">
        <f t="shared" si="1"/>
        <v>0.16562499999999999</v>
      </c>
      <c r="H30" s="295">
        <f t="shared" si="2"/>
        <v>25.092874999999999</v>
      </c>
      <c r="I30" s="334"/>
      <c r="J30" s="334"/>
      <c r="K30" s="334"/>
      <c r="L30" s="334"/>
      <c r="M30" s="334"/>
    </row>
    <row r="31" spans="1:13" s="333" customFormat="1" ht="16.5" customHeight="1">
      <c r="A31" s="384">
        <f t="shared" si="3"/>
        <v>17</v>
      </c>
      <c r="B31" s="1" t="s">
        <v>79</v>
      </c>
      <c r="C31" s="379"/>
      <c r="D31" s="970">
        <v>12500</v>
      </c>
      <c r="E31" s="970">
        <v>9850</v>
      </c>
      <c r="F31" s="295">
        <f t="shared" si="0"/>
        <v>2650</v>
      </c>
      <c r="G31" s="828">
        <f t="shared" si="1"/>
        <v>0.16562499999999999</v>
      </c>
      <c r="H31" s="295">
        <f t="shared" si="2"/>
        <v>25.092874999999999</v>
      </c>
      <c r="I31" s="334"/>
      <c r="J31" s="334"/>
      <c r="K31" s="334"/>
      <c r="L31" s="334"/>
      <c r="M31" s="334"/>
    </row>
    <row r="32" spans="1:13" s="333" customFormat="1" ht="16.5" customHeight="1">
      <c r="A32" s="384">
        <f t="shared" si="3"/>
        <v>18</v>
      </c>
      <c r="B32" s="1" t="s">
        <v>188</v>
      </c>
      <c r="C32" s="379"/>
      <c r="D32" s="970">
        <v>12500</v>
      </c>
      <c r="E32" s="970">
        <v>10850</v>
      </c>
      <c r="F32" s="830">
        <f t="shared" si="0"/>
        <v>1650</v>
      </c>
      <c r="G32" s="829">
        <f t="shared" si="1"/>
        <v>0.10312500000000001</v>
      </c>
      <c r="H32" s="830">
        <f t="shared" si="2"/>
        <v>27.640374999999999</v>
      </c>
      <c r="I32" s="398"/>
      <c r="J32" s="334"/>
      <c r="K32" s="334"/>
      <c r="L32" s="334"/>
      <c r="M32" s="334"/>
    </row>
    <row r="33" spans="1:13" s="333" customFormat="1" ht="16.5" customHeight="1">
      <c r="A33" s="384">
        <f t="shared" si="3"/>
        <v>19</v>
      </c>
      <c r="B33" s="7" t="s">
        <v>242</v>
      </c>
      <c r="C33" s="379"/>
      <c r="D33" s="831"/>
      <c r="E33" s="399">
        <f>SUM(E20:E32)/13</f>
        <v>8080.7692307692305</v>
      </c>
      <c r="F33" s="831"/>
      <c r="G33" s="828">
        <f>SUM(G20:G32)</f>
        <v>3.5906249999999993</v>
      </c>
      <c r="H33" s="295">
        <f>SUM(H20:H32)</f>
        <v>267.61487499999998</v>
      </c>
      <c r="I33" s="350">
        <f>(G33+H33)/E33</f>
        <v>3.356184198000952E-2</v>
      </c>
      <c r="J33" s="334"/>
      <c r="K33" s="334"/>
      <c r="L33" s="334"/>
      <c r="M33" s="334"/>
    </row>
    <row r="34" spans="1:13" s="333" customFormat="1" ht="21" customHeight="1">
      <c r="A34" s="384"/>
      <c r="B34" s="400"/>
      <c r="C34" s="334"/>
      <c r="D34" s="334"/>
      <c r="E34" s="334"/>
      <c r="F34" s="334"/>
      <c r="G34" s="336"/>
      <c r="H34" s="340"/>
      <c r="I34" s="334"/>
      <c r="J34" s="334"/>
      <c r="K34" s="334"/>
      <c r="L34" s="334"/>
    </row>
    <row r="35" spans="1:13" s="333" customFormat="1" ht="15.75" customHeight="1">
      <c r="A35" s="384"/>
      <c r="B35" s="997" t="s">
        <v>663</v>
      </c>
      <c r="C35" s="997"/>
      <c r="D35" s="997"/>
      <c r="E35" s="997"/>
      <c r="F35" s="997"/>
      <c r="G35" s="997"/>
      <c r="H35" s="997"/>
      <c r="I35" s="997"/>
      <c r="J35" s="334"/>
      <c r="K35" s="334"/>
      <c r="L35" s="334"/>
    </row>
    <row r="36" spans="1:13" s="333" customFormat="1">
      <c r="A36" s="384"/>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4"/>
      <c r="B37" s="337" t="s">
        <v>386</v>
      </c>
      <c r="C37" s="357" t="s">
        <v>387</v>
      </c>
      <c r="D37" s="294" t="s">
        <v>401</v>
      </c>
      <c r="E37" s="359" t="s">
        <v>406</v>
      </c>
      <c r="F37" s="359" t="s">
        <v>403</v>
      </c>
      <c r="G37" s="359" t="s">
        <v>412</v>
      </c>
      <c r="H37" s="359" t="s">
        <v>407</v>
      </c>
      <c r="I37" s="359" t="s">
        <v>408</v>
      </c>
      <c r="J37" s="334"/>
      <c r="K37" s="334"/>
      <c r="L37" s="334"/>
    </row>
    <row r="38" spans="1:13" s="333" customFormat="1">
      <c r="A38" s="384">
        <f>+A33+1</f>
        <v>20</v>
      </c>
      <c r="B38" s="334" t="s">
        <v>388</v>
      </c>
      <c r="C38" s="966"/>
      <c r="D38" s="978">
        <v>0</v>
      </c>
      <c r="E38" s="981">
        <v>2017</v>
      </c>
      <c r="F38" s="978">
        <v>1</v>
      </c>
      <c r="G38" s="363">
        <f t="shared" ref="G38:G43" si="4">+D38/F38</f>
        <v>0</v>
      </c>
      <c r="H38" s="824">
        <v>0</v>
      </c>
      <c r="I38" s="363">
        <f t="shared" ref="I38:I43" si="5">MAX(+D38-G38-H38,0)</f>
        <v>0</v>
      </c>
      <c r="J38" s="353"/>
      <c r="K38" s="340"/>
      <c r="L38" s="334"/>
    </row>
    <row r="39" spans="1:13" s="333" customFormat="1">
      <c r="A39" s="384">
        <f>+A38+1</f>
        <v>21</v>
      </c>
      <c r="B39" s="334" t="s">
        <v>389</v>
      </c>
      <c r="C39" s="966"/>
      <c r="D39" s="978">
        <v>25</v>
      </c>
      <c r="E39" s="981">
        <v>2017</v>
      </c>
      <c r="F39" s="978">
        <v>3</v>
      </c>
      <c r="G39" s="363">
        <f t="shared" si="4"/>
        <v>8.3333333333333339</v>
      </c>
      <c r="H39" s="824">
        <v>0</v>
      </c>
      <c r="I39" s="363">
        <f t="shared" si="5"/>
        <v>16.666666666666664</v>
      </c>
      <c r="J39" s="341"/>
      <c r="K39" s="334"/>
      <c r="L39" s="334"/>
      <c r="M39" s="342"/>
    </row>
    <row r="40" spans="1:13" s="333" customFormat="1">
      <c r="A40" s="384">
        <f t="shared" ref="A40:A53" si="6">+A39+1</f>
        <v>22</v>
      </c>
      <c r="B40" s="334" t="s">
        <v>390</v>
      </c>
      <c r="C40" s="966"/>
      <c r="D40" s="978">
        <v>50</v>
      </c>
      <c r="E40" s="981">
        <v>2017</v>
      </c>
      <c r="F40" s="978">
        <v>3</v>
      </c>
      <c r="G40" s="363">
        <f t="shared" si="4"/>
        <v>16.666666666666668</v>
      </c>
      <c r="H40" s="824">
        <v>0</v>
      </c>
      <c r="I40" s="363">
        <f t="shared" si="5"/>
        <v>33.333333333333329</v>
      </c>
      <c r="J40" s="341"/>
      <c r="K40" s="343"/>
      <c r="L40" s="334"/>
    </row>
    <row r="41" spans="1:13" s="333" customFormat="1">
      <c r="A41" s="384">
        <f t="shared" si="6"/>
        <v>23</v>
      </c>
      <c r="B41" s="334" t="s">
        <v>391</v>
      </c>
      <c r="C41" s="966"/>
      <c r="D41" s="978">
        <v>0</v>
      </c>
      <c r="E41" s="981">
        <v>2017</v>
      </c>
      <c r="F41" s="978">
        <v>1</v>
      </c>
      <c r="G41" s="363">
        <f t="shared" si="4"/>
        <v>0</v>
      </c>
      <c r="H41" s="824">
        <v>0</v>
      </c>
      <c r="I41" s="363">
        <f t="shared" si="5"/>
        <v>0</v>
      </c>
      <c r="J41" s="334"/>
      <c r="K41" s="334"/>
      <c r="L41" s="334"/>
    </row>
    <row r="42" spans="1:13" s="333" customFormat="1">
      <c r="A42" s="384">
        <f t="shared" si="6"/>
        <v>24</v>
      </c>
      <c r="B42" s="334" t="s">
        <v>392</v>
      </c>
      <c r="C42" s="966"/>
      <c r="D42" s="978">
        <v>0</v>
      </c>
      <c r="E42" s="981">
        <v>2017</v>
      </c>
      <c r="F42" s="978">
        <v>1</v>
      </c>
      <c r="G42" s="363">
        <f t="shared" si="4"/>
        <v>0</v>
      </c>
      <c r="H42" s="824">
        <v>0</v>
      </c>
      <c r="I42" s="363">
        <f t="shared" si="5"/>
        <v>0</v>
      </c>
      <c r="J42" s="341"/>
      <c r="K42" s="334"/>
      <c r="L42" s="334"/>
    </row>
    <row r="43" spans="1:13" s="333" customFormat="1">
      <c r="A43" s="384">
        <f t="shared" si="6"/>
        <v>25</v>
      </c>
      <c r="B43" s="334" t="s">
        <v>404</v>
      </c>
      <c r="C43" s="966"/>
      <c r="D43" s="978">
        <v>0</v>
      </c>
      <c r="E43" s="981">
        <v>0</v>
      </c>
      <c r="F43" s="978">
        <v>1</v>
      </c>
      <c r="G43" s="363">
        <f t="shared" si="4"/>
        <v>0</v>
      </c>
      <c r="H43" s="824">
        <v>0</v>
      </c>
      <c r="I43" s="363">
        <f t="shared" si="5"/>
        <v>0</v>
      </c>
      <c r="J43" s="341"/>
      <c r="K43" s="334"/>
      <c r="L43" s="334"/>
    </row>
    <row r="44" spans="1:13" s="333" customFormat="1">
      <c r="A44" s="384">
        <f t="shared" si="6"/>
        <v>26</v>
      </c>
      <c r="B44" s="351" t="s">
        <v>413</v>
      </c>
      <c r="C44" s="354"/>
      <c r="D44" s="585">
        <f>SUM(D38:D43)</f>
        <v>75</v>
      </c>
      <c r="E44" s="360"/>
      <c r="F44" s="351"/>
      <c r="G44" s="585">
        <f>SUM(G38:G43)</f>
        <v>25</v>
      </c>
      <c r="H44" s="825">
        <f>SUM(H38:H43)</f>
        <v>0</v>
      </c>
      <c r="I44" s="585">
        <f>SUM(I38:I43)</f>
        <v>49.999999999999993</v>
      </c>
      <c r="J44" s="334"/>
      <c r="K44" s="334"/>
      <c r="L44" s="334"/>
    </row>
    <row r="45" spans="1:13" s="333" customFormat="1">
      <c r="A45" s="384">
        <f t="shared" si="6"/>
        <v>27</v>
      </c>
      <c r="B45" s="334"/>
      <c r="C45" s="341"/>
      <c r="D45" s="295"/>
      <c r="E45" s="295"/>
      <c r="G45" s="826"/>
      <c r="H45" s="826"/>
      <c r="I45" s="826"/>
      <c r="J45" s="334"/>
      <c r="K45" s="340"/>
      <c r="L45" s="334"/>
    </row>
    <row r="46" spans="1:13" s="333" customFormat="1">
      <c r="A46" s="384">
        <f t="shared" si="6"/>
        <v>28</v>
      </c>
      <c r="B46" s="337" t="s">
        <v>409</v>
      </c>
      <c r="C46" s="341"/>
      <c r="D46" s="295"/>
      <c r="E46" s="295"/>
      <c r="G46" s="826"/>
      <c r="H46" s="827"/>
      <c r="I46" s="827"/>
      <c r="J46" s="334"/>
      <c r="K46" s="344"/>
      <c r="L46" s="334"/>
    </row>
    <row r="47" spans="1:13" s="333" customFormat="1">
      <c r="A47" s="384">
        <f t="shared" si="6"/>
        <v>29</v>
      </c>
      <c r="B47" s="334" t="s">
        <v>393</v>
      </c>
      <c r="C47" s="966"/>
      <c r="D47" s="978">
        <v>0</v>
      </c>
      <c r="E47" s="981">
        <v>2017</v>
      </c>
      <c r="F47" s="173" t="s">
        <v>410</v>
      </c>
      <c r="G47" s="363">
        <f>D47</f>
        <v>0</v>
      </c>
      <c r="H47" s="827" t="s">
        <v>410</v>
      </c>
      <c r="I47" s="827" t="s">
        <v>410</v>
      </c>
      <c r="J47" s="334"/>
      <c r="K47" s="344"/>
      <c r="L47" s="334"/>
    </row>
    <row r="48" spans="1:13" s="333" customFormat="1">
      <c r="A48" s="384">
        <f t="shared" si="6"/>
        <v>30</v>
      </c>
      <c r="B48" s="334" t="s">
        <v>394</v>
      </c>
      <c r="C48" s="966"/>
      <c r="D48" s="978">
        <v>5</v>
      </c>
      <c r="E48" s="981">
        <v>2017</v>
      </c>
      <c r="F48" s="173" t="s">
        <v>410</v>
      </c>
      <c r="G48" s="363">
        <f>D48</f>
        <v>5</v>
      </c>
      <c r="H48" s="827" t="s">
        <v>410</v>
      </c>
      <c r="I48" s="827" t="s">
        <v>410</v>
      </c>
      <c r="J48" s="334"/>
      <c r="K48" s="344"/>
      <c r="L48" s="334"/>
    </row>
    <row r="49" spans="1:12" s="333" customFormat="1">
      <c r="A49" s="384">
        <f t="shared" si="6"/>
        <v>31</v>
      </c>
      <c r="B49" s="334" t="s">
        <v>395</v>
      </c>
      <c r="C49" s="976"/>
      <c r="D49" s="978">
        <v>0</v>
      </c>
      <c r="E49" s="981">
        <v>2017</v>
      </c>
      <c r="F49" s="173" t="s">
        <v>410</v>
      </c>
      <c r="G49" s="363">
        <f>D49</f>
        <v>0</v>
      </c>
      <c r="H49" s="827" t="s">
        <v>410</v>
      </c>
      <c r="I49" s="827" t="s">
        <v>410</v>
      </c>
      <c r="J49" s="341"/>
      <c r="L49" s="334"/>
    </row>
    <row r="50" spans="1:12" s="333" customFormat="1">
      <c r="A50" s="384">
        <f t="shared" si="6"/>
        <v>32</v>
      </c>
      <c r="B50" s="334" t="s">
        <v>397</v>
      </c>
      <c r="C50" s="977"/>
      <c r="D50" s="970"/>
      <c r="E50" s="970"/>
      <c r="F50" s="173" t="s">
        <v>410</v>
      </c>
      <c r="G50" s="363">
        <f>D50</f>
        <v>0</v>
      </c>
      <c r="H50" s="827" t="s">
        <v>410</v>
      </c>
      <c r="I50" s="827" t="s">
        <v>410</v>
      </c>
      <c r="J50" s="334"/>
      <c r="K50" s="334"/>
      <c r="L50" s="334"/>
    </row>
    <row r="51" spans="1:12" s="333" customFormat="1">
      <c r="A51" s="384">
        <f t="shared" si="6"/>
        <v>33</v>
      </c>
      <c r="B51" s="351" t="s">
        <v>396</v>
      </c>
      <c r="C51" s="361"/>
      <c r="D51" s="585">
        <f>+SUM(D44:D50)</f>
        <v>80</v>
      </c>
      <c r="E51" s="360"/>
      <c r="F51" s="351"/>
      <c r="G51" s="585">
        <f>+SUM(G44:G50)</f>
        <v>30</v>
      </c>
      <c r="H51" s="825">
        <f>+SUM(H44:H50)</f>
        <v>0</v>
      </c>
      <c r="I51" s="585">
        <f>+SUM(I44:I50)</f>
        <v>49.999999999999993</v>
      </c>
      <c r="J51" s="334"/>
      <c r="K51" s="334"/>
      <c r="L51" s="334"/>
    </row>
    <row r="52" spans="1:12" s="333" customFormat="1">
      <c r="A52" s="384">
        <f t="shared" si="6"/>
        <v>34</v>
      </c>
      <c r="B52" s="334" t="s">
        <v>597</v>
      </c>
      <c r="C52" s="345"/>
      <c r="G52" s="295">
        <f>+E33</f>
        <v>8080.7692307692305</v>
      </c>
      <c r="H52" s="381"/>
      <c r="I52" s="334"/>
      <c r="J52" s="334"/>
      <c r="K52" s="334"/>
      <c r="L52" s="334"/>
    </row>
    <row r="53" spans="1:12" s="333" customFormat="1">
      <c r="A53" s="384">
        <f t="shared" si="6"/>
        <v>35</v>
      </c>
      <c r="B53" s="334" t="s">
        <v>405</v>
      </c>
      <c r="C53" s="345"/>
      <c r="G53" s="350">
        <f>G51/G52</f>
        <v>3.7125178486435034E-3</v>
      </c>
      <c r="H53" s="381"/>
      <c r="I53" s="334"/>
      <c r="J53" s="334"/>
      <c r="K53" s="334"/>
      <c r="L53" s="334"/>
    </row>
    <row r="54" spans="1:12" s="333" customFormat="1">
      <c r="A54" s="214">
        <f>+A53+1</f>
        <v>36</v>
      </c>
      <c r="B54" s="334" t="s">
        <v>728</v>
      </c>
      <c r="C54" s="345"/>
      <c r="E54" s="791">
        <v>2.98E-2</v>
      </c>
      <c r="H54" s="603"/>
      <c r="I54" s="334"/>
      <c r="J54" s="334"/>
      <c r="K54" s="334"/>
      <c r="L54" s="334"/>
    </row>
    <row r="55" spans="1:12" s="333" customFormat="1">
      <c r="A55" s="214"/>
      <c r="B55" s="337"/>
      <c r="C55" s="345"/>
      <c r="D55" s="336"/>
      <c r="E55" s="336"/>
      <c r="H55" s="603"/>
      <c r="I55" s="334"/>
      <c r="J55" s="334"/>
      <c r="K55" s="334"/>
      <c r="L55" s="334"/>
    </row>
    <row r="56" spans="1:12" s="333" customFormat="1">
      <c r="A56" s="357" t="s">
        <v>525</v>
      </c>
      <c r="B56" s="337"/>
      <c r="C56" s="345"/>
      <c r="D56" s="336"/>
      <c r="E56" s="336"/>
      <c r="H56" s="603"/>
      <c r="I56" s="334"/>
      <c r="J56" s="334"/>
      <c r="K56" s="334"/>
      <c r="L56" s="334"/>
    </row>
    <row r="57" spans="1:12" s="333" customFormat="1" ht="30" customHeight="1">
      <c r="A57" s="805" t="s">
        <v>62</v>
      </c>
      <c r="B57" s="1030" t="s">
        <v>722</v>
      </c>
      <c r="C57" s="1030"/>
      <c r="D57" s="1030"/>
      <c r="E57" s="1030"/>
      <c r="F57" s="1030"/>
      <c r="G57" s="1030"/>
      <c r="H57" s="1030"/>
      <c r="I57" s="1030"/>
    </row>
    <row r="58" spans="1:12" s="333" customFormat="1">
      <c r="A58" s="346"/>
      <c r="B58" s="333" t="s">
        <v>700</v>
      </c>
      <c r="C58" s="791">
        <v>2.1819999999999999E-2</v>
      </c>
      <c r="J58" s="347"/>
      <c r="K58" s="347"/>
    </row>
    <row r="59" spans="1:12" s="333" customFormat="1">
      <c r="A59" s="346"/>
      <c r="B59" s="333" t="s">
        <v>701</v>
      </c>
      <c r="C59" s="791">
        <v>8.7500000000000008E-3</v>
      </c>
      <c r="J59" s="347"/>
      <c r="K59" s="347"/>
    </row>
    <row r="60" spans="1:12" s="333" customFormat="1">
      <c r="A60" s="346"/>
      <c r="B60" s="333" t="s">
        <v>13</v>
      </c>
      <c r="C60" s="790">
        <f>+C58+C59</f>
        <v>3.057E-2</v>
      </c>
      <c r="J60" s="347"/>
      <c r="K60" s="347"/>
    </row>
    <row r="133" spans="2:3">
      <c r="B133" s="333"/>
      <c r="C133" s="333"/>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371475</xdr:colOff>
                <xdr:row>4</xdr:row>
                <xdr:rowOff>9525</xdr:rowOff>
              </from>
              <to>
                <xdr:col>1</xdr:col>
                <xdr:colOff>1019175</xdr:colOff>
                <xdr:row>4</xdr:row>
                <xdr:rowOff>9525</xdr:rowOff>
              </to>
            </anchor>
          </objectPr>
        </oleObject>
      </mc:Choice>
      <mc:Fallback>
        <oleObject progId="Equation.3" shapeId="98305"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10" zoomScale="80" zoomScaleNormal="90" zoomScaleSheetLayoutView="80" workbookViewId="0">
      <selection activeCell="D35" sqref="D35"/>
    </sheetView>
  </sheetViews>
  <sheetFormatPr defaultColWidth="8.88671875" defaultRowHeight="12.75"/>
  <cols>
    <col min="1" max="1" width="5.21875" style="346" bestFit="1" customWidth="1"/>
    <col min="2" max="2" width="41.88671875" style="347" customWidth="1"/>
    <col min="3" max="3" width="14.6640625" style="347" customWidth="1"/>
    <col min="4" max="4" width="14.33203125" style="347" customWidth="1"/>
    <col min="5" max="5" width="9.88671875" style="347" customWidth="1"/>
    <col min="6" max="6" width="15.6640625" style="347" customWidth="1"/>
    <col min="7" max="9" width="13.5546875" style="347" customWidth="1"/>
    <col min="10" max="10" width="14.77734375" style="347" customWidth="1"/>
    <col min="11" max="11" width="13.5546875" style="347" customWidth="1"/>
    <col min="12" max="12" width="7.21875" style="347" customWidth="1"/>
    <col min="13" max="13" width="12.21875" style="347" customWidth="1"/>
    <col min="14" max="14" width="8.109375" style="347" customWidth="1"/>
    <col min="15" max="15" width="7.6640625" style="347" bestFit="1" customWidth="1"/>
    <col min="16" max="16" width="11.6640625" style="347" bestFit="1" customWidth="1"/>
    <col min="17" max="17" width="10.88671875" style="347" bestFit="1" customWidth="1"/>
    <col min="18" max="16384" width="8.88671875" style="347"/>
  </cols>
  <sheetData>
    <row r="1" spans="1:12" s="333" customFormat="1" ht="25.5" customHeight="1">
      <c r="A1" s="1031" t="s">
        <v>383</v>
      </c>
      <c r="B1" s="1031"/>
      <c r="C1" s="1031"/>
      <c r="D1" s="1031"/>
      <c r="E1" s="1031"/>
      <c r="F1" s="1031"/>
      <c r="G1" s="1031"/>
      <c r="H1" s="358"/>
      <c r="I1" s="358"/>
      <c r="J1" s="358"/>
      <c r="K1" s="358"/>
    </row>
    <row r="2" spans="1:12" s="333" customFormat="1">
      <c r="A2" s="1031" t="s">
        <v>702</v>
      </c>
      <c r="B2" s="1031"/>
      <c r="C2" s="1031"/>
      <c r="D2" s="1031"/>
      <c r="E2" s="1031"/>
      <c r="F2" s="1031"/>
      <c r="G2" s="1031"/>
      <c r="H2" s="358"/>
      <c r="I2" s="358"/>
      <c r="J2" s="358"/>
      <c r="K2" s="358"/>
    </row>
    <row r="3" spans="1:12" s="333" customFormat="1" ht="15" customHeight="1">
      <c r="A3" s="1010" t="str">
        <f>+'Attachment H-30A'!D5</f>
        <v>Transource Maryland, LLC</v>
      </c>
      <c r="B3" s="1010"/>
      <c r="C3" s="1010"/>
      <c r="D3" s="1010"/>
      <c r="E3" s="1010"/>
      <c r="F3" s="1010"/>
      <c r="G3" s="1010"/>
      <c r="H3" s="38"/>
      <c r="I3" s="38"/>
      <c r="J3" s="38"/>
      <c r="K3" s="38"/>
      <c r="L3" s="334"/>
    </row>
    <row r="4" spans="1:12" s="333" customFormat="1">
      <c r="A4" s="382"/>
      <c r="L4" s="334"/>
    </row>
    <row r="5" spans="1:12" s="333" customFormat="1">
      <c r="A5" s="335"/>
      <c r="B5" s="334"/>
      <c r="C5" s="334"/>
      <c r="D5" s="334"/>
      <c r="E5" s="334"/>
      <c r="F5" s="813"/>
      <c r="G5" s="813"/>
      <c r="H5" s="813"/>
      <c r="I5" s="334"/>
      <c r="J5" s="334"/>
      <c r="K5" s="334"/>
      <c r="L5" s="334"/>
    </row>
    <row r="6" spans="1:12" s="333" customFormat="1" ht="54" customHeight="1">
      <c r="A6" s="335"/>
      <c r="B6" s="997" t="s">
        <v>883</v>
      </c>
      <c r="C6" s="997"/>
      <c r="D6" s="997"/>
      <c r="E6" s="997"/>
      <c r="F6" s="997"/>
      <c r="G6" s="349"/>
      <c r="H6" s="349"/>
      <c r="I6" s="349"/>
      <c r="J6" s="334"/>
      <c r="K6" s="334"/>
      <c r="L6" s="334"/>
    </row>
    <row r="7" spans="1:12" s="333" customFormat="1" ht="18.75" customHeight="1">
      <c r="A7" s="335"/>
      <c r="B7" s="1033" t="s">
        <v>667</v>
      </c>
      <c r="C7" s="1033"/>
      <c r="D7" s="1033"/>
      <c r="E7" s="1033"/>
      <c r="F7" s="1033"/>
      <c r="G7" s="288"/>
      <c r="H7" s="383"/>
      <c r="I7" s="383"/>
      <c r="J7" s="348"/>
      <c r="K7" s="348"/>
      <c r="L7" s="383"/>
    </row>
    <row r="8" spans="1:12" s="333" customFormat="1" ht="33.75" customHeight="1">
      <c r="A8" s="335"/>
      <c r="B8" s="997" t="s">
        <v>710</v>
      </c>
      <c r="C8" s="997"/>
      <c r="D8" s="997"/>
      <c r="E8" s="997"/>
      <c r="F8" s="997"/>
      <c r="G8" s="349"/>
      <c r="H8" s="383"/>
      <c r="I8" s="383"/>
      <c r="J8" s="348"/>
      <c r="K8" s="348"/>
      <c r="L8" s="383"/>
    </row>
    <row r="9" spans="1:12" s="333" customFormat="1">
      <c r="A9" s="335"/>
      <c r="B9" s="381"/>
      <c r="C9" s="381"/>
      <c r="D9" s="381"/>
      <c r="E9" s="381"/>
      <c r="F9" s="381"/>
      <c r="G9" s="381"/>
      <c r="H9" s="383"/>
      <c r="I9" s="383"/>
      <c r="J9" s="348"/>
      <c r="K9" s="348"/>
      <c r="L9" s="383"/>
    </row>
    <row r="10" spans="1:12" s="333" customFormat="1" ht="25.5">
      <c r="A10" s="219" t="s">
        <v>148</v>
      </c>
      <c r="B10" s="381"/>
      <c r="C10" s="381"/>
      <c r="D10" s="381"/>
      <c r="E10" s="381"/>
      <c r="F10" s="381"/>
      <c r="G10" s="381"/>
      <c r="H10" s="383"/>
      <c r="I10" s="383"/>
      <c r="J10" s="348"/>
      <c r="K10" s="348"/>
      <c r="L10" s="383"/>
    </row>
    <row r="11" spans="1:12" s="333" customFormat="1" ht="18.75" customHeight="1" thickBot="1">
      <c r="C11" s="334"/>
      <c r="D11" s="385" t="s">
        <v>48</v>
      </c>
      <c r="E11" s="334"/>
      <c r="F11" s="334"/>
      <c r="G11" s="336"/>
      <c r="H11" s="334"/>
      <c r="I11" s="334"/>
      <c r="J11" s="334"/>
      <c r="K11" s="334"/>
      <c r="L11" s="334"/>
    </row>
    <row r="12" spans="1:12" s="333" customFormat="1" ht="16.5" customHeight="1">
      <c r="A12" s="258">
        <v>1</v>
      </c>
      <c r="B12" s="26" t="s">
        <v>831</v>
      </c>
      <c r="D12" s="968">
        <v>0</v>
      </c>
      <c r="E12" s="334"/>
      <c r="F12" s="334"/>
      <c r="G12" s="336"/>
      <c r="H12" s="334"/>
      <c r="I12" s="334"/>
      <c r="J12" s="334"/>
      <c r="K12" s="334"/>
      <c r="L12" s="334"/>
    </row>
    <row r="13" spans="1:12" s="333" customFormat="1" ht="16.5" customHeight="1">
      <c r="A13" s="395">
        <f>+A12+1</f>
        <v>2</v>
      </c>
      <c r="B13" s="396" t="s">
        <v>460</v>
      </c>
      <c r="C13" s="334"/>
      <c r="D13" s="969">
        <v>0</v>
      </c>
      <c r="E13" s="334"/>
      <c r="F13" s="334"/>
      <c r="G13" s="336"/>
      <c r="H13" s="334"/>
      <c r="I13" s="334"/>
      <c r="J13" s="334"/>
      <c r="K13" s="334"/>
      <c r="L13" s="334"/>
    </row>
    <row r="14" spans="1:12" s="333" customFormat="1" ht="16.5" customHeight="1">
      <c r="A14" s="258">
        <f>+A13+1</f>
        <v>3</v>
      </c>
      <c r="B14" s="26" t="s">
        <v>461</v>
      </c>
      <c r="D14" s="295">
        <f>SUM(D12:D13)</f>
        <v>0</v>
      </c>
      <c r="E14" s="334"/>
      <c r="F14" s="334"/>
      <c r="G14" s="336"/>
      <c r="H14" s="334"/>
      <c r="I14" s="334"/>
      <c r="J14" s="334"/>
      <c r="K14" s="334"/>
      <c r="L14" s="334"/>
    </row>
    <row r="15" spans="1:12" s="333" customFormat="1" ht="16.5" customHeight="1">
      <c r="A15" s="384"/>
      <c r="B15" s="337"/>
      <c r="C15" s="379"/>
      <c r="D15" s="832"/>
      <c r="E15" s="379"/>
      <c r="F15" s="379"/>
      <c r="H15" s="334"/>
      <c r="I15" s="334"/>
      <c r="J15" s="334"/>
      <c r="K15" s="334"/>
      <c r="L15" s="334"/>
    </row>
    <row r="16" spans="1:12" s="333" customFormat="1" ht="16.5" customHeight="1">
      <c r="A16" s="384"/>
      <c r="B16" s="337"/>
      <c r="C16" s="379"/>
      <c r="D16" s="832"/>
      <c r="E16" s="379"/>
      <c r="F16" s="379"/>
      <c r="H16" s="334"/>
      <c r="I16" s="334"/>
      <c r="J16" s="334"/>
      <c r="K16" s="334"/>
      <c r="L16" s="334"/>
    </row>
    <row r="17" spans="1:12" s="333" customFormat="1" ht="16.5" customHeight="1">
      <c r="A17" s="384"/>
      <c r="B17" s="334" t="s">
        <v>830</v>
      </c>
      <c r="C17" s="379"/>
      <c r="D17" s="832"/>
      <c r="E17" s="379"/>
      <c r="F17" s="379"/>
      <c r="H17" s="334"/>
      <c r="I17" s="334"/>
      <c r="J17" s="334"/>
      <c r="K17" s="334"/>
      <c r="L17" s="334"/>
    </row>
    <row r="18" spans="1:12" s="333" customFormat="1" ht="26.25" customHeight="1">
      <c r="A18" s="384"/>
      <c r="B18" s="401" t="s">
        <v>411</v>
      </c>
      <c r="C18" s="379"/>
      <c r="D18" s="833" t="s">
        <v>472</v>
      </c>
      <c r="E18" s="379"/>
      <c r="F18" s="379"/>
      <c r="H18" s="334"/>
      <c r="I18" s="334"/>
      <c r="J18" s="334"/>
      <c r="K18" s="334"/>
      <c r="L18" s="334"/>
    </row>
    <row r="19" spans="1:12" s="333" customFormat="1" ht="21" customHeight="1">
      <c r="A19" s="384"/>
      <c r="B19" s="380" t="s">
        <v>190</v>
      </c>
      <c r="C19" s="379"/>
      <c r="D19" s="834" t="s">
        <v>193</v>
      </c>
      <c r="E19" s="379"/>
      <c r="F19" s="379"/>
      <c r="H19" s="334"/>
      <c r="I19" s="334"/>
      <c r="J19" s="334"/>
      <c r="K19" s="334"/>
      <c r="L19" s="334"/>
    </row>
    <row r="20" spans="1:12" s="333" customFormat="1" ht="16.5" customHeight="1">
      <c r="A20" s="386">
        <f>+A14+1</f>
        <v>4</v>
      </c>
      <c r="B20" s="5" t="s">
        <v>187</v>
      </c>
      <c r="C20" s="379"/>
      <c r="D20" s="970">
        <v>0</v>
      </c>
      <c r="E20" s="379"/>
      <c r="F20" s="379"/>
      <c r="H20" s="334"/>
      <c r="I20" s="334"/>
      <c r="J20" s="334"/>
      <c r="K20" s="334"/>
      <c r="L20" s="334"/>
    </row>
    <row r="21" spans="1:12" s="333" customFormat="1" ht="16.5" customHeight="1">
      <c r="A21" s="384">
        <f>+A20+1</f>
        <v>5</v>
      </c>
      <c r="B21" s="5" t="s">
        <v>85</v>
      </c>
      <c r="C21" s="379"/>
      <c r="D21" s="970">
        <v>0</v>
      </c>
      <c r="E21" s="379"/>
      <c r="F21" s="379"/>
      <c r="H21" s="334"/>
      <c r="I21" s="334"/>
      <c r="J21" s="334"/>
      <c r="K21" s="334"/>
      <c r="L21" s="334"/>
    </row>
    <row r="22" spans="1:12" s="333" customFormat="1" ht="16.5" customHeight="1">
      <c r="A22" s="384">
        <f t="shared" ref="A22:A33" si="0">+A21+1</f>
        <v>6</v>
      </c>
      <c r="B22" s="1" t="s">
        <v>84</v>
      </c>
      <c r="C22" s="379"/>
      <c r="D22" s="970">
        <v>0</v>
      </c>
      <c r="E22" s="379"/>
      <c r="F22" s="379"/>
      <c r="H22" s="334"/>
      <c r="I22" s="334"/>
      <c r="J22" s="334"/>
      <c r="K22" s="334"/>
      <c r="L22" s="334"/>
    </row>
    <row r="23" spans="1:12" s="333" customFormat="1" ht="16.5" customHeight="1">
      <c r="A23" s="384">
        <f t="shared" si="0"/>
        <v>7</v>
      </c>
      <c r="B23" s="1" t="s">
        <v>164</v>
      </c>
      <c r="C23" s="379"/>
      <c r="D23" s="970">
        <v>0</v>
      </c>
      <c r="E23" s="379"/>
      <c r="F23" s="379"/>
      <c r="H23" s="334"/>
      <c r="I23" s="334"/>
      <c r="J23" s="334"/>
      <c r="K23" s="334"/>
      <c r="L23" s="334"/>
    </row>
    <row r="24" spans="1:12" s="333" customFormat="1" ht="16.5" customHeight="1">
      <c r="A24" s="384">
        <f t="shared" si="0"/>
        <v>8</v>
      </c>
      <c r="B24" s="1" t="s">
        <v>76</v>
      </c>
      <c r="C24" s="379"/>
      <c r="D24" s="970">
        <v>0</v>
      </c>
      <c r="E24" s="379"/>
      <c r="F24" s="379"/>
      <c r="H24" s="334"/>
      <c r="I24" s="334"/>
      <c r="J24" s="334"/>
      <c r="K24" s="334"/>
      <c r="L24" s="334"/>
    </row>
    <row r="25" spans="1:12" s="333" customFormat="1" ht="16.5" customHeight="1">
      <c r="A25" s="384">
        <f t="shared" si="0"/>
        <v>9</v>
      </c>
      <c r="B25" s="1" t="s">
        <v>75</v>
      </c>
      <c r="C25" s="379"/>
      <c r="D25" s="970">
        <v>0</v>
      </c>
      <c r="E25" s="379"/>
      <c r="F25" s="379"/>
      <c r="H25" s="334"/>
      <c r="I25" s="334"/>
      <c r="J25" s="334"/>
      <c r="K25" s="334"/>
      <c r="L25" s="334"/>
    </row>
    <row r="26" spans="1:12" s="333" customFormat="1" ht="16.5" customHeight="1">
      <c r="A26" s="384">
        <f t="shared" si="0"/>
        <v>10</v>
      </c>
      <c r="B26" s="1" t="s">
        <v>92</v>
      </c>
      <c r="C26" s="379"/>
      <c r="D26" s="970">
        <v>0</v>
      </c>
      <c r="E26" s="379"/>
      <c r="F26" s="379"/>
      <c r="H26" s="334"/>
      <c r="I26" s="334"/>
      <c r="J26" s="334"/>
      <c r="K26" s="334"/>
      <c r="L26" s="334"/>
    </row>
    <row r="27" spans="1:12" s="333" customFormat="1" ht="16.5" customHeight="1">
      <c r="A27" s="384">
        <f t="shared" si="0"/>
        <v>11</v>
      </c>
      <c r="B27" s="1" t="s">
        <v>82</v>
      </c>
      <c r="C27" s="379"/>
      <c r="D27" s="970">
        <v>0</v>
      </c>
      <c r="E27" s="379"/>
      <c r="F27" s="379"/>
      <c r="H27" s="334"/>
      <c r="I27" s="334"/>
      <c r="J27" s="334"/>
      <c r="K27" s="334"/>
      <c r="L27" s="334"/>
    </row>
    <row r="28" spans="1:12" s="333" customFormat="1" ht="16.5" customHeight="1">
      <c r="A28" s="384">
        <f t="shared" si="0"/>
        <v>12</v>
      </c>
      <c r="B28" s="1" t="s">
        <v>165</v>
      </c>
      <c r="C28" s="379"/>
      <c r="D28" s="970">
        <v>0</v>
      </c>
      <c r="E28" s="379"/>
      <c r="F28" s="379"/>
      <c r="H28" s="334"/>
      <c r="I28" s="334"/>
      <c r="J28" s="334"/>
      <c r="K28" s="334"/>
      <c r="L28" s="334"/>
    </row>
    <row r="29" spans="1:12" s="333" customFormat="1" ht="16.5" customHeight="1">
      <c r="A29" s="384">
        <f t="shared" si="0"/>
        <v>13</v>
      </c>
      <c r="B29" s="1" t="s">
        <v>80</v>
      </c>
      <c r="C29" s="379"/>
      <c r="D29" s="970">
        <v>0</v>
      </c>
      <c r="E29" s="379"/>
      <c r="F29" s="379"/>
      <c r="H29" s="334"/>
      <c r="I29" s="334"/>
      <c r="J29" s="334"/>
      <c r="K29" s="334"/>
      <c r="L29" s="334"/>
    </row>
    <row r="30" spans="1:12" s="333" customFormat="1" ht="16.5" customHeight="1">
      <c r="A30" s="384">
        <f t="shared" si="0"/>
        <v>14</v>
      </c>
      <c r="B30" s="1" t="s">
        <v>86</v>
      </c>
      <c r="C30" s="379"/>
      <c r="D30" s="970">
        <v>0</v>
      </c>
      <c r="E30" s="379"/>
      <c r="F30" s="379"/>
      <c r="H30" s="334"/>
      <c r="I30" s="334"/>
      <c r="J30" s="334"/>
      <c r="K30" s="334"/>
      <c r="L30" s="334"/>
    </row>
    <row r="31" spans="1:12" s="333" customFormat="1" ht="16.5" customHeight="1">
      <c r="A31" s="384">
        <f t="shared" si="0"/>
        <v>15</v>
      </c>
      <c r="B31" s="1" t="s">
        <v>79</v>
      </c>
      <c r="C31" s="379"/>
      <c r="D31" s="970">
        <v>0</v>
      </c>
      <c r="E31" s="379"/>
      <c r="F31" s="379"/>
      <c r="H31" s="334"/>
      <c r="I31" s="334"/>
      <c r="J31" s="334"/>
      <c r="K31" s="334"/>
      <c r="L31" s="334"/>
    </row>
    <row r="32" spans="1:12" s="333" customFormat="1" ht="16.5" customHeight="1">
      <c r="A32" s="384">
        <f t="shared" si="0"/>
        <v>16</v>
      </c>
      <c r="B32" s="1" t="s">
        <v>188</v>
      </c>
      <c r="C32" s="379"/>
      <c r="D32" s="970">
        <v>0</v>
      </c>
      <c r="E32" s="379"/>
      <c r="F32" s="379"/>
      <c r="H32" s="334"/>
      <c r="I32" s="334"/>
      <c r="J32" s="334"/>
      <c r="K32" s="334"/>
      <c r="L32" s="334"/>
    </row>
    <row r="33" spans="1:12" s="333" customFormat="1" ht="16.5" customHeight="1">
      <c r="A33" s="384">
        <f t="shared" si="0"/>
        <v>17</v>
      </c>
      <c r="B33" s="7" t="s">
        <v>242</v>
      </c>
      <c r="C33" s="379"/>
      <c r="D33" s="584">
        <f>SUM(D20:D32)/13</f>
        <v>0</v>
      </c>
      <c r="E33" s="379"/>
      <c r="F33" s="379"/>
      <c r="H33" s="334"/>
      <c r="I33" s="334"/>
      <c r="J33" s="334"/>
      <c r="K33" s="334"/>
      <c r="L33" s="334"/>
    </row>
    <row r="34" spans="1:12" s="333" customFormat="1" ht="21" customHeight="1">
      <c r="A34" s="384"/>
      <c r="C34" s="334"/>
      <c r="D34" s="334"/>
      <c r="E34" s="334"/>
      <c r="F34" s="334"/>
      <c r="G34" s="336"/>
      <c r="H34" s="334"/>
      <c r="I34" s="334"/>
      <c r="J34" s="334"/>
      <c r="K34" s="334"/>
      <c r="L34" s="334"/>
    </row>
    <row r="35" spans="1:12" s="333" customFormat="1" ht="16.5" customHeight="1">
      <c r="A35" s="384">
        <f>+A33+1</f>
        <v>18</v>
      </c>
      <c r="B35" s="333" t="s">
        <v>595</v>
      </c>
      <c r="C35" s="379"/>
      <c r="D35" s="350" t="e">
        <f>D14/D33</f>
        <v>#DIV/0!</v>
      </c>
      <c r="E35" s="379"/>
      <c r="F35" s="379"/>
      <c r="H35" s="334"/>
      <c r="I35" s="334"/>
      <c r="J35" s="334"/>
      <c r="K35" s="334"/>
      <c r="L35" s="334"/>
    </row>
    <row r="36" spans="1:12" s="333" customFormat="1" ht="16.5" customHeight="1">
      <c r="A36" s="384"/>
      <c r="B36" s="337"/>
      <c r="C36" s="379"/>
      <c r="D36" s="366"/>
      <c r="E36" s="379"/>
      <c r="F36" s="379"/>
      <c r="H36" s="334"/>
      <c r="I36" s="334"/>
      <c r="J36" s="334"/>
      <c r="K36" s="334"/>
      <c r="L36" s="334"/>
    </row>
    <row r="37" spans="1:12" s="333" customFormat="1" ht="16.5" customHeight="1">
      <c r="A37" s="668" t="s">
        <v>525</v>
      </c>
      <c r="B37" s="337"/>
      <c r="C37" s="537"/>
      <c r="D37" s="366"/>
      <c r="E37" s="537"/>
      <c r="F37" s="537"/>
      <c r="H37" s="334"/>
      <c r="I37" s="334"/>
      <c r="J37" s="334"/>
      <c r="K37" s="334"/>
      <c r="L37" s="334"/>
    </row>
    <row r="38" spans="1:12" s="333" customFormat="1" ht="48" customHeight="1">
      <c r="A38" s="704" t="s">
        <v>62</v>
      </c>
      <c r="B38" s="982" t="s">
        <v>829</v>
      </c>
      <c r="C38" s="982"/>
      <c r="D38" s="982"/>
      <c r="E38" s="982"/>
      <c r="F38" s="982"/>
      <c r="G38" s="402"/>
      <c r="H38" s="334"/>
      <c r="I38" s="338"/>
      <c r="J38" s="339"/>
      <c r="K38" s="334"/>
      <c r="L38" s="334"/>
    </row>
    <row r="39" spans="1:12" s="333" customFormat="1" ht="31.5" customHeight="1">
      <c r="A39" s="704" t="s">
        <v>63</v>
      </c>
      <c r="B39" s="982" t="s">
        <v>735</v>
      </c>
      <c r="C39" s="982"/>
      <c r="D39" s="982"/>
      <c r="E39" s="982"/>
      <c r="F39" s="982"/>
      <c r="G39" s="850"/>
      <c r="H39" s="850"/>
      <c r="I39" s="850"/>
      <c r="J39" s="347"/>
      <c r="K39" s="347"/>
    </row>
    <row r="40" spans="1:12" s="333" customFormat="1">
      <c r="A40" s="346"/>
      <c r="J40" s="347"/>
      <c r="K40" s="347"/>
    </row>
    <row r="41" spans="1:12" s="333" customFormat="1">
      <c r="A41" s="346"/>
      <c r="J41" s="347"/>
      <c r="K41" s="347"/>
    </row>
    <row r="114" spans="2:3">
      <c r="B114" s="333"/>
      <c r="C114" s="333"/>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6"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361950</xdr:colOff>
                <xdr:row>3</xdr:row>
                <xdr:rowOff>152400</xdr:rowOff>
              </from>
              <to>
                <xdr:col>2</xdr:col>
                <xdr:colOff>1000125</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I57" sqref="I57"/>
      <selection pane="bottomLeft" activeCell="I57" sqref="I57"/>
    </sheetView>
  </sheetViews>
  <sheetFormatPr defaultColWidth="9.6640625" defaultRowHeight="12.75"/>
  <cols>
    <col min="1" max="1" width="7.6640625" style="727" customWidth="1"/>
    <col min="2" max="2" width="32.88671875" style="727" customWidth="1"/>
    <col min="3" max="7" width="12.109375" style="727" customWidth="1"/>
    <col min="8" max="8" width="13.44140625" style="727" customWidth="1"/>
    <col min="9" max="9" width="12.6640625" style="727" customWidth="1"/>
    <col min="10" max="10" width="13.6640625" style="727" customWidth="1"/>
    <col min="11" max="256" width="9.6640625" style="727"/>
    <col min="257" max="257" width="7.6640625" style="727" customWidth="1"/>
    <col min="258" max="258" width="32.88671875" style="727" customWidth="1"/>
    <col min="259" max="259" width="9.21875" style="727" customWidth="1"/>
    <col min="260" max="260" width="6.5546875" style="727" customWidth="1"/>
    <col min="261" max="261" width="7.88671875" style="727" customWidth="1"/>
    <col min="262" max="262" width="8.109375" style="727" customWidth="1"/>
    <col min="263" max="263" width="9" style="727" customWidth="1"/>
    <col min="264" max="264" width="11.5546875" style="727" customWidth="1"/>
    <col min="265" max="265" width="12.6640625" style="727" customWidth="1"/>
    <col min="266" max="266" width="13.6640625" style="727" customWidth="1"/>
    <col min="267" max="512" width="9.6640625" style="727"/>
    <col min="513" max="513" width="7.6640625" style="727" customWidth="1"/>
    <col min="514" max="514" width="32.88671875" style="727" customWidth="1"/>
    <col min="515" max="515" width="9.21875" style="727" customWidth="1"/>
    <col min="516" max="516" width="6.5546875" style="727" customWidth="1"/>
    <col min="517" max="517" width="7.88671875" style="727" customWidth="1"/>
    <col min="518" max="518" width="8.109375" style="727" customWidth="1"/>
    <col min="519" max="519" width="9" style="727" customWidth="1"/>
    <col min="520" max="520" width="11.5546875" style="727" customWidth="1"/>
    <col min="521" max="521" width="12.6640625" style="727" customWidth="1"/>
    <col min="522" max="522" width="13.6640625" style="727" customWidth="1"/>
    <col min="523" max="768" width="9.6640625" style="727"/>
    <col min="769" max="769" width="7.6640625" style="727" customWidth="1"/>
    <col min="770" max="770" width="32.88671875" style="727" customWidth="1"/>
    <col min="771" max="771" width="9.21875" style="727" customWidth="1"/>
    <col min="772" max="772" width="6.5546875" style="727" customWidth="1"/>
    <col min="773" max="773" width="7.88671875" style="727" customWidth="1"/>
    <col min="774" max="774" width="8.109375" style="727" customWidth="1"/>
    <col min="775" max="775" width="9" style="727" customWidth="1"/>
    <col min="776" max="776" width="11.5546875" style="727" customWidth="1"/>
    <col min="777" max="777" width="12.6640625" style="727" customWidth="1"/>
    <col min="778" max="778" width="13.6640625" style="727" customWidth="1"/>
    <col min="779" max="1024" width="9.6640625" style="727"/>
    <col min="1025" max="1025" width="7.6640625" style="727" customWidth="1"/>
    <col min="1026" max="1026" width="32.88671875" style="727" customWidth="1"/>
    <col min="1027" max="1027" width="9.21875" style="727" customWidth="1"/>
    <col min="1028" max="1028" width="6.5546875" style="727" customWidth="1"/>
    <col min="1029" max="1029" width="7.88671875" style="727" customWidth="1"/>
    <col min="1030" max="1030" width="8.109375" style="727" customWidth="1"/>
    <col min="1031" max="1031" width="9" style="727" customWidth="1"/>
    <col min="1032" max="1032" width="11.5546875" style="727" customWidth="1"/>
    <col min="1033" max="1033" width="12.6640625" style="727" customWidth="1"/>
    <col min="1034" max="1034" width="13.6640625" style="727" customWidth="1"/>
    <col min="1035" max="1280" width="9.6640625" style="727"/>
    <col min="1281" max="1281" width="7.6640625" style="727" customWidth="1"/>
    <col min="1282" max="1282" width="32.88671875" style="727" customWidth="1"/>
    <col min="1283" max="1283" width="9.21875" style="727" customWidth="1"/>
    <col min="1284" max="1284" width="6.5546875" style="727" customWidth="1"/>
    <col min="1285" max="1285" width="7.88671875" style="727" customWidth="1"/>
    <col min="1286" max="1286" width="8.109375" style="727" customWidth="1"/>
    <col min="1287" max="1287" width="9" style="727" customWidth="1"/>
    <col min="1288" max="1288" width="11.5546875" style="727" customWidth="1"/>
    <col min="1289" max="1289" width="12.6640625" style="727" customWidth="1"/>
    <col min="1290" max="1290" width="13.6640625" style="727" customWidth="1"/>
    <col min="1291" max="1536" width="9.6640625" style="727"/>
    <col min="1537" max="1537" width="7.6640625" style="727" customWidth="1"/>
    <col min="1538" max="1538" width="32.88671875" style="727" customWidth="1"/>
    <col min="1539" max="1539" width="9.21875" style="727" customWidth="1"/>
    <col min="1540" max="1540" width="6.5546875" style="727" customWidth="1"/>
    <col min="1541" max="1541" width="7.88671875" style="727" customWidth="1"/>
    <col min="1542" max="1542" width="8.109375" style="727" customWidth="1"/>
    <col min="1543" max="1543" width="9" style="727" customWidth="1"/>
    <col min="1544" max="1544" width="11.5546875" style="727" customWidth="1"/>
    <col min="1545" max="1545" width="12.6640625" style="727" customWidth="1"/>
    <col min="1546" max="1546" width="13.6640625" style="727" customWidth="1"/>
    <col min="1547" max="1792" width="9.6640625" style="727"/>
    <col min="1793" max="1793" width="7.6640625" style="727" customWidth="1"/>
    <col min="1794" max="1794" width="32.88671875" style="727" customWidth="1"/>
    <col min="1795" max="1795" width="9.21875" style="727" customWidth="1"/>
    <col min="1796" max="1796" width="6.5546875" style="727" customWidth="1"/>
    <col min="1797" max="1797" width="7.88671875" style="727" customWidth="1"/>
    <col min="1798" max="1798" width="8.109375" style="727" customWidth="1"/>
    <col min="1799" max="1799" width="9" style="727" customWidth="1"/>
    <col min="1800" max="1800" width="11.5546875" style="727" customWidth="1"/>
    <col min="1801" max="1801" width="12.6640625" style="727" customWidth="1"/>
    <col min="1802" max="1802" width="13.6640625" style="727" customWidth="1"/>
    <col min="1803" max="2048" width="9.6640625" style="727"/>
    <col min="2049" max="2049" width="7.6640625" style="727" customWidth="1"/>
    <col min="2050" max="2050" width="32.88671875" style="727" customWidth="1"/>
    <col min="2051" max="2051" width="9.21875" style="727" customWidth="1"/>
    <col min="2052" max="2052" width="6.5546875" style="727" customWidth="1"/>
    <col min="2053" max="2053" width="7.88671875" style="727" customWidth="1"/>
    <col min="2054" max="2054" width="8.109375" style="727" customWidth="1"/>
    <col min="2055" max="2055" width="9" style="727" customWidth="1"/>
    <col min="2056" max="2056" width="11.5546875" style="727" customWidth="1"/>
    <col min="2057" max="2057" width="12.6640625" style="727" customWidth="1"/>
    <col min="2058" max="2058" width="13.6640625" style="727" customWidth="1"/>
    <col min="2059" max="2304" width="9.6640625" style="727"/>
    <col min="2305" max="2305" width="7.6640625" style="727" customWidth="1"/>
    <col min="2306" max="2306" width="32.88671875" style="727" customWidth="1"/>
    <col min="2307" max="2307" width="9.21875" style="727" customWidth="1"/>
    <col min="2308" max="2308" width="6.5546875" style="727" customWidth="1"/>
    <col min="2309" max="2309" width="7.88671875" style="727" customWidth="1"/>
    <col min="2310" max="2310" width="8.109375" style="727" customWidth="1"/>
    <col min="2311" max="2311" width="9" style="727" customWidth="1"/>
    <col min="2312" max="2312" width="11.5546875" style="727" customWidth="1"/>
    <col min="2313" max="2313" width="12.6640625" style="727" customWidth="1"/>
    <col min="2314" max="2314" width="13.6640625" style="727" customWidth="1"/>
    <col min="2315" max="2560" width="9.6640625" style="727"/>
    <col min="2561" max="2561" width="7.6640625" style="727" customWidth="1"/>
    <col min="2562" max="2562" width="32.88671875" style="727" customWidth="1"/>
    <col min="2563" max="2563" width="9.21875" style="727" customWidth="1"/>
    <col min="2564" max="2564" width="6.5546875" style="727" customWidth="1"/>
    <col min="2565" max="2565" width="7.88671875" style="727" customWidth="1"/>
    <col min="2566" max="2566" width="8.109375" style="727" customWidth="1"/>
    <col min="2567" max="2567" width="9" style="727" customWidth="1"/>
    <col min="2568" max="2568" width="11.5546875" style="727" customWidth="1"/>
    <col min="2569" max="2569" width="12.6640625" style="727" customWidth="1"/>
    <col min="2570" max="2570" width="13.6640625" style="727" customWidth="1"/>
    <col min="2571" max="2816" width="9.6640625" style="727"/>
    <col min="2817" max="2817" width="7.6640625" style="727" customWidth="1"/>
    <col min="2818" max="2818" width="32.88671875" style="727" customWidth="1"/>
    <col min="2819" max="2819" width="9.21875" style="727" customWidth="1"/>
    <col min="2820" max="2820" width="6.5546875" style="727" customWidth="1"/>
    <col min="2821" max="2821" width="7.88671875" style="727" customWidth="1"/>
    <col min="2822" max="2822" width="8.109375" style="727" customWidth="1"/>
    <col min="2823" max="2823" width="9" style="727" customWidth="1"/>
    <col min="2824" max="2824" width="11.5546875" style="727" customWidth="1"/>
    <col min="2825" max="2825" width="12.6640625" style="727" customWidth="1"/>
    <col min="2826" max="2826" width="13.6640625" style="727" customWidth="1"/>
    <col min="2827" max="3072" width="9.6640625" style="727"/>
    <col min="3073" max="3073" width="7.6640625" style="727" customWidth="1"/>
    <col min="3074" max="3074" width="32.88671875" style="727" customWidth="1"/>
    <col min="3075" max="3075" width="9.21875" style="727" customWidth="1"/>
    <col min="3076" max="3076" width="6.5546875" style="727" customWidth="1"/>
    <col min="3077" max="3077" width="7.88671875" style="727" customWidth="1"/>
    <col min="3078" max="3078" width="8.109375" style="727" customWidth="1"/>
    <col min="3079" max="3079" width="9" style="727" customWidth="1"/>
    <col min="3080" max="3080" width="11.5546875" style="727" customWidth="1"/>
    <col min="3081" max="3081" width="12.6640625" style="727" customWidth="1"/>
    <col min="3082" max="3082" width="13.6640625" style="727" customWidth="1"/>
    <col min="3083" max="3328" width="9.6640625" style="727"/>
    <col min="3329" max="3329" width="7.6640625" style="727" customWidth="1"/>
    <col min="3330" max="3330" width="32.88671875" style="727" customWidth="1"/>
    <col min="3331" max="3331" width="9.21875" style="727" customWidth="1"/>
    <col min="3332" max="3332" width="6.5546875" style="727" customWidth="1"/>
    <col min="3333" max="3333" width="7.88671875" style="727" customWidth="1"/>
    <col min="3334" max="3334" width="8.109375" style="727" customWidth="1"/>
    <col min="3335" max="3335" width="9" style="727" customWidth="1"/>
    <col min="3336" max="3336" width="11.5546875" style="727" customWidth="1"/>
    <col min="3337" max="3337" width="12.6640625" style="727" customWidth="1"/>
    <col min="3338" max="3338" width="13.6640625" style="727" customWidth="1"/>
    <col min="3339" max="3584" width="9.6640625" style="727"/>
    <col min="3585" max="3585" width="7.6640625" style="727" customWidth="1"/>
    <col min="3586" max="3586" width="32.88671875" style="727" customWidth="1"/>
    <col min="3587" max="3587" width="9.21875" style="727" customWidth="1"/>
    <col min="3588" max="3588" width="6.5546875" style="727" customWidth="1"/>
    <col min="3589" max="3589" width="7.88671875" style="727" customWidth="1"/>
    <col min="3590" max="3590" width="8.109375" style="727" customWidth="1"/>
    <col min="3591" max="3591" width="9" style="727" customWidth="1"/>
    <col min="3592" max="3592" width="11.5546875" style="727" customWidth="1"/>
    <col min="3593" max="3593" width="12.6640625" style="727" customWidth="1"/>
    <col min="3594" max="3594" width="13.6640625" style="727" customWidth="1"/>
    <col min="3595" max="3840" width="9.6640625" style="727"/>
    <col min="3841" max="3841" width="7.6640625" style="727" customWidth="1"/>
    <col min="3842" max="3842" width="32.88671875" style="727" customWidth="1"/>
    <col min="3843" max="3843" width="9.21875" style="727" customWidth="1"/>
    <col min="3844" max="3844" width="6.5546875" style="727" customWidth="1"/>
    <col min="3845" max="3845" width="7.88671875" style="727" customWidth="1"/>
    <col min="3846" max="3846" width="8.109375" style="727" customWidth="1"/>
    <col min="3847" max="3847" width="9" style="727" customWidth="1"/>
    <col min="3848" max="3848" width="11.5546875" style="727" customWidth="1"/>
    <col min="3849" max="3849" width="12.6640625" style="727" customWidth="1"/>
    <col min="3850" max="3850" width="13.6640625" style="727" customWidth="1"/>
    <col min="3851" max="4096" width="9.6640625" style="727"/>
    <col min="4097" max="4097" width="7.6640625" style="727" customWidth="1"/>
    <col min="4098" max="4098" width="32.88671875" style="727" customWidth="1"/>
    <col min="4099" max="4099" width="9.21875" style="727" customWidth="1"/>
    <col min="4100" max="4100" width="6.5546875" style="727" customWidth="1"/>
    <col min="4101" max="4101" width="7.88671875" style="727" customWidth="1"/>
    <col min="4102" max="4102" width="8.109375" style="727" customWidth="1"/>
    <col min="4103" max="4103" width="9" style="727" customWidth="1"/>
    <col min="4104" max="4104" width="11.5546875" style="727" customWidth="1"/>
    <col min="4105" max="4105" width="12.6640625" style="727" customWidth="1"/>
    <col min="4106" max="4106" width="13.6640625" style="727" customWidth="1"/>
    <col min="4107" max="4352" width="9.6640625" style="727"/>
    <col min="4353" max="4353" width="7.6640625" style="727" customWidth="1"/>
    <col min="4354" max="4354" width="32.88671875" style="727" customWidth="1"/>
    <col min="4355" max="4355" width="9.21875" style="727" customWidth="1"/>
    <col min="4356" max="4356" width="6.5546875" style="727" customWidth="1"/>
    <col min="4357" max="4357" width="7.88671875" style="727" customWidth="1"/>
    <col min="4358" max="4358" width="8.109375" style="727" customWidth="1"/>
    <col min="4359" max="4359" width="9" style="727" customWidth="1"/>
    <col min="4360" max="4360" width="11.5546875" style="727" customWidth="1"/>
    <col min="4361" max="4361" width="12.6640625" style="727" customWidth="1"/>
    <col min="4362" max="4362" width="13.6640625" style="727" customWidth="1"/>
    <col min="4363" max="4608" width="9.6640625" style="727"/>
    <col min="4609" max="4609" width="7.6640625" style="727" customWidth="1"/>
    <col min="4610" max="4610" width="32.88671875" style="727" customWidth="1"/>
    <col min="4611" max="4611" width="9.21875" style="727" customWidth="1"/>
    <col min="4612" max="4612" width="6.5546875" style="727" customWidth="1"/>
    <col min="4613" max="4613" width="7.88671875" style="727" customWidth="1"/>
    <col min="4614" max="4614" width="8.109375" style="727" customWidth="1"/>
    <col min="4615" max="4615" width="9" style="727" customWidth="1"/>
    <col min="4616" max="4616" width="11.5546875" style="727" customWidth="1"/>
    <col min="4617" max="4617" width="12.6640625" style="727" customWidth="1"/>
    <col min="4618" max="4618" width="13.6640625" style="727" customWidth="1"/>
    <col min="4619" max="4864" width="9.6640625" style="727"/>
    <col min="4865" max="4865" width="7.6640625" style="727" customWidth="1"/>
    <col min="4866" max="4866" width="32.88671875" style="727" customWidth="1"/>
    <col min="4867" max="4867" width="9.21875" style="727" customWidth="1"/>
    <col min="4868" max="4868" width="6.5546875" style="727" customWidth="1"/>
    <col min="4869" max="4869" width="7.88671875" style="727" customWidth="1"/>
    <col min="4870" max="4870" width="8.109375" style="727" customWidth="1"/>
    <col min="4871" max="4871" width="9" style="727" customWidth="1"/>
    <col min="4872" max="4872" width="11.5546875" style="727" customWidth="1"/>
    <col min="4873" max="4873" width="12.6640625" style="727" customWidth="1"/>
    <col min="4874" max="4874" width="13.6640625" style="727" customWidth="1"/>
    <col min="4875" max="5120" width="9.6640625" style="727"/>
    <col min="5121" max="5121" width="7.6640625" style="727" customWidth="1"/>
    <col min="5122" max="5122" width="32.88671875" style="727" customWidth="1"/>
    <col min="5123" max="5123" width="9.21875" style="727" customWidth="1"/>
    <col min="5124" max="5124" width="6.5546875" style="727" customWidth="1"/>
    <col min="5125" max="5125" width="7.88671875" style="727" customWidth="1"/>
    <col min="5126" max="5126" width="8.109375" style="727" customWidth="1"/>
    <col min="5127" max="5127" width="9" style="727" customWidth="1"/>
    <col min="5128" max="5128" width="11.5546875" style="727" customWidth="1"/>
    <col min="5129" max="5129" width="12.6640625" style="727" customWidth="1"/>
    <col min="5130" max="5130" width="13.6640625" style="727" customWidth="1"/>
    <col min="5131" max="5376" width="9.6640625" style="727"/>
    <col min="5377" max="5377" width="7.6640625" style="727" customWidth="1"/>
    <col min="5378" max="5378" width="32.88671875" style="727" customWidth="1"/>
    <col min="5379" max="5379" width="9.21875" style="727" customWidth="1"/>
    <col min="5380" max="5380" width="6.5546875" style="727" customWidth="1"/>
    <col min="5381" max="5381" width="7.88671875" style="727" customWidth="1"/>
    <col min="5382" max="5382" width="8.109375" style="727" customWidth="1"/>
    <col min="5383" max="5383" width="9" style="727" customWidth="1"/>
    <col min="5384" max="5384" width="11.5546875" style="727" customWidth="1"/>
    <col min="5385" max="5385" width="12.6640625" style="727" customWidth="1"/>
    <col min="5386" max="5386" width="13.6640625" style="727" customWidth="1"/>
    <col min="5387" max="5632" width="9.6640625" style="727"/>
    <col min="5633" max="5633" width="7.6640625" style="727" customWidth="1"/>
    <col min="5634" max="5634" width="32.88671875" style="727" customWidth="1"/>
    <col min="5635" max="5635" width="9.21875" style="727" customWidth="1"/>
    <col min="5636" max="5636" width="6.5546875" style="727" customWidth="1"/>
    <col min="5637" max="5637" width="7.88671875" style="727" customWidth="1"/>
    <col min="5638" max="5638" width="8.109375" style="727" customWidth="1"/>
    <col min="5639" max="5639" width="9" style="727" customWidth="1"/>
    <col min="5640" max="5640" width="11.5546875" style="727" customWidth="1"/>
    <col min="5641" max="5641" width="12.6640625" style="727" customWidth="1"/>
    <col min="5642" max="5642" width="13.6640625" style="727" customWidth="1"/>
    <col min="5643" max="5888" width="9.6640625" style="727"/>
    <col min="5889" max="5889" width="7.6640625" style="727" customWidth="1"/>
    <col min="5890" max="5890" width="32.88671875" style="727" customWidth="1"/>
    <col min="5891" max="5891" width="9.21875" style="727" customWidth="1"/>
    <col min="5892" max="5892" width="6.5546875" style="727" customWidth="1"/>
    <col min="5893" max="5893" width="7.88671875" style="727" customWidth="1"/>
    <col min="5894" max="5894" width="8.109375" style="727" customWidth="1"/>
    <col min="5895" max="5895" width="9" style="727" customWidth="1"/>
    <col min="5896" max="5896" width="11.5546875" style="727" customWidth="1"/>
    <col min="5897" max="5897" width="12.6640625" style="727" customWidth="1"/>
    <col min="5898" max="5898" width="13.6640625" style="727" customWidth="1"/>
    <col min="5899" max="6144" width="9.6640625" style="727"/>
    <col min="6145" max="6145" width="7.6640625" style="727" customWidth="1"/>
    <col min="6146" max="6146" width="32.88671875" style="727" customWidth="1"/>
    <col min="6147" max="6147" width="9.21875" style="727" customWidth="1"/>
    <col min="6148" max="6148" width="6.5546875" style="727" customWidth="1"/>
    <col min="6149" max="6149" width="7.88671875" style="727" customWidth="1"/>
    <col min="6150" max="6150" width="8.109375" style="727" customWidth="1"/>
    <col min="6151" max="6151" width="9" style="727" customWidth="1"/>
    <col min="6152" max="6152" width="11.5546875" style="727" customWidth="1"/>
    <col min="6153" max="6153" width="12.6640625" style="727" customWidth="1"/>
    <col min="6154" max="6154" width="13.6640625" style="727" customWidth="1"/>
    <col min="6155" max="6400" width="9.6640625" style="727"/>
    <col min="6401" max="6401" width="7.6640625" style="727" customWidth="1"/>
    <col min="6402" max="6402" width="32.88671875" style="727" customWidth="1"/>
    <col min="6403" max="6403" width="9.21875" style="727" customWidth="1"/>
    <col min="6404" max="6404" width="6.5546875" style="727" customWidth="1"/>
    <col min="6405" max="6405" width="7.88671875" style="727" customWidth="1"/>
    <col min="6406" max="6406" width="8.109375" style="727" customWidth="1"/>
    <col min="6407" max="6407" width="9" style="727" customWidth="1"/>
    <col min="6408" max="6408" width="11.5546875" style="727" customWidth="1"/>
    <col min="6409" max="6409" width="12.6640625" style="727" customWidth="1"/>
    <col min="6410" max="6410" width="13.6640625" style="727" customWidth="1"/>
    <col min="6411" max="6656" width="9.6640625" style="727"/>
    <col min="6657" max="6657" width="7.6640625" style="727" customWidth="1"/>
    <col min="6658" max="6658" width="32.88671875" style="727" customWidth="1"/>
    <col min="6659" max="6659" width="9.21875" style="727" customWidth="1"/>
    <col min="6660" max="6660" width="6.5546875" style="727" customWidth="1"/>
    <col min="6661" max="6661" width="7.88671875" style="727" customWidth="1"/>
    <col min="6662" max="6662" width="8.109375" style="727" customWidth="1"/>
    <col min="6663" max="6663" width="9" style="727" customWidth="1"/>
    <col min="6664" max="6664" width="11.5546875" style="727" customWidth="1"/>
    <col min="6665" max="6665" width="12.6640625" style="727" customWidth="1"/>
    <col min="6666" max="6666" width="13.6640625" style="727" customWidth="1"/>
    <col min="6667" max="6912" width="9.6640625" style="727"/>
    <col min="6913" max="6913" width="7.6640625" style="727" customWidth="1"/>
    <col min="6914" max="6914" width="32.88671875" style="727" customWidth="1"/>
    <col min="6915" max="6915" width="9.21875" style="727" customWidth="1"/>
    <col min="6916" max="6916" width="6.5546875" style="727" customWidth="1"/>
    <col min="6917" max="6917" width="7.88671875" style="727" customWidth="1"/>
    <col min="6918" max="6918" width="8.109375" style="727" customWidth="1"/>
    <col min="6919" max="6919" width="9" style="727" customWidth="1"/>
    <col min="6920" max="6920" width="11.5546875" style="727" customWidth="1"/>
    <col min="6921" max="6921" width="12.6640625" style="727" customWidth="1"/>
    <col min="6922" max="6922" width="13.6640625" style="727" customWidth="1"/>
    <col min="6923" max="7168" width="9.6640625" style="727"/>
    <col min="7169" max="7169" width="7.6640625" style="727" customWidth="1"/>
    <col min="7170" max="7170" width="32.88671875" style="727" customWidth="1"/>
    <col min="7171" max="7171" width="9.21875" style="727" customWidth="1"/>
    <col min="7172" max="7172" width="6.5546875" style="727" customWidth="1"/>
    <col min="7173" max="7173" width="7.88671875" style="727" customWidth="1"/>
    <col min="7174" max="7174" width="8.109375" style="727" customWidth="1"/>
    <col min="7175" max="7175" width="9" style="727" customWidth="1"/>
    <col min="7176" max="7176" width="11.5546875" style="727" customWidth="1"/>
    <col min="7177" max="7177" width="12.6640625" style="727" customWidth="1"/>
    <col min="7178" max="7178" width="13.6640625" style="727" customWidth="1"/>
    <col min="7179" max="7424" width="9.6640625" style="727"/>
    <col min="7425" max="7425" width="7.6640625" style="727" customWidth="1"/>
    <col min="7426" max="7426" width="32.88671875" style="727" customWidth="1"/>
    <col min="7427" max="7427" width="9.21875" style="727" customWidth="1"/>
    <col min="7428" max="7428" width="6.5546875" style="727" customWidth="1"/>
    <col min="7429" max="7429" width="7.88671875" style="727" customWidth="1"/>
    <col min="7430" max="7430" width="8.109375" style="727" customWidth="1"/>
    <col min="7431" max="7431" width="9" style="727" customWidth="1"/>
    <col min="7432" max="7432" width="11.5546875" style="727" customWidth="1"/>
    <col min="7433" max="7433" width="12.6640625" style="727" customWidth="1"/>
    <col min="7434" max="7434" width="13.6640625" style="727" customWidth="1"/>
    <col min="7435" max="7680" width="9.6640625" style="727"/>
    <col min="7681" max="7681" width="7.6640625" style="727" customWidth="1"/>
    <col min="7682" max="7682" width="32.88671875" style="727" customWidth="1"/>
    <col min="7683" max="7683" width="9.21875" style="727" customWidth="1"/>
    <col min="7684" max="7684" width="6.5546875" style="727" customWidth="1"/>
    <col min="7685" max="7685" width="7.88671875" style="727" customWidth="1"/>
    <col min="7686" max="7686" width="8.109375" style="727" customWidth="1"/>
    <col min="7687" max="7687" width="9" style="727" customWidth="1"/>
    <col min="7688" max="7688" width="11.5546875" style="727" customWidth="1"/>
    <col min="7689" max="7689" width="12.6640625" style="727" customWidth="1"/>
    <col min="7690" max="7690" width="13.6640625" style="727" customWidth="1"/>
    <col min="7691" max="7936" width="9.6640625" style="727"/>
    <col min="7937" max="7937" width="7.6640625" style="727" customWidth="1"/>
    <col min="7938" max="7938" width="32.88671875" style="727" customWidth="1"/>
    <col min="7939" max="7939" width="9.21875" style="727" customWidth="1"/>
    <col min="7940" max="7940" width="6.5546875" style="727" customWidth="1"/>
    <col min="7941" max="7941" width="7.88671875" style="727" customWidth="1"/>
    <col min="7942" max="7942" width="8.109375" style="727" customWidth="1"/>
    <col min="7943" max="7943" width="9" style="727" customWidth="1"/>
    <col min="7944" max="7944" width="11.5546875" style="727" customWidth="1"/>
    <col min="7945" max="7945" width="12.6640625" style="727" customWidth="1"/>
    <col min="7946" max="7946" width="13.6640625" style="727" customWidth="1"/>
    <col min="7947" max="8192" width="9.6640625" style="727"/>
    <col min="8193" max="8193" width="7.6640625" style="727" customWidth="1"/>
    <col min="8194" max="8194" width="32.88671875" style="727" customWidth="1"/>
    <col min="8195" max="8195" width="9.21875" style="727" customWidth="1"/>
    <col min="8196" max="8196" width="6.5546875" style="727" customWidth="1"/>
    <col min="8197" max="8197" width="7.88671875" style="727" customWidth="1"/>
    <col min="8198" max="8198" width="8.109375" style="727" customWidth="1"/>
    <col min="8199" max="8199" width="9" style="727" customWidth="1"/>
    <col min="8200" max="8200" width="11.5546875" style="727" customWidth="1"/>
    <col min="8201" max="8201" width="12.6640625" style="727" customWidth="1"/>
    <col min="8202" max="8202" width="13.6640625" style="727" customWidth="1"/>
    <col min="8203" max="8448" width="9.6640625" style="727"/>
    <col min="8449" max="8449" width="7.6640625" style="727" customWidth="1"/>
    <col min="8450" max="8450" width="32.88671875" style="727" customWidth="1"/>
    <col min="8451" max="8451" width="9.21875" style="727" customWidth="1"/>
    <col min="8452" max="8452" width="6.5546875" style="727" customWidth="1"/>
    <col min="8453" max="8453" width="7.88671875" style="727" customWidth="1"/>
    <col min="8454" max="8454" width="8.109375" style="727" customWidth="1"/>
    <col min="8455" max="8455" width="9" style="727" customWidth="1"/>
    <col min="8456" max="8456" width="11.5546875" style="727" customWidth="1"/>
    <col min="8457" max="8457" width="12.6640625" style="727" customWidth="1"/>
    <col min="8458" max="8458" width="13.6640625" style="727" customWidth="1"/>
    <col min="8459" max="8704" width="9.6640625" style="727"/>
    <col min="8705" max="8705" width="7.6640625" style="727" customWidth="1"/>
    <col min="8706" max="8706" width="32.88671875" style="727" customWidth="1"/>
    <col min="8707" max="8707" width="9.21875" style="727" customWidth="1"/>
    <col min="8708" max="8708" width="6.5546875" style="727" customWidth="1"/>
    <col min="8709" max="8709" width="7.88671875" style="727" customWidth="1"/>
    <col min="8710" max="8710" width="8.109375" style="727" customWidth="1"/>
    <col min="8711" max="8711" width="9" style="727" customWidth="1"/>
    <col min="8712" max="8712" width="11.5546875" style="727" customWidth="1"/>
    <col min="8713" max="8713" width="12.6640625" style="727" customWidth="1"/>
    <col min="8714" max="8714" width="13.6640625" style="727" customWidth="1"/>
    <col min="8715" max="8960" width="9.6640625" style="727"/>
    <col min="8961" max="8961" width="7.6640625" style="727" customWidth="1"/>
    <col min="8962" max="8962" width="32.88671875" style="727" customWidth="1"/>
    <col min="8963" max="8963" width="9.21875" style="727" customWidth="1"/>
    <col min="8964" max="8964" width="6.5546875" style="727" customWidth="1"/>
    <col min="8965" max="8965" width="7.88671875" style="727" customWidth="1"/>
    <col min="8966" max="8966" width="8.109375" style="727" customWidth="1"/>
    <col min="8967" max="8967" width="9" style="727" customWidth="1"/>
    <col min="8968" max="8968" width="11.5546875" style="727" customWidth="1"/>
    <col min="8969" max="8969" width="12.6640625" style="727" customWidth="1"/>
    <col min="8970" max="8970" width="13.6640625" style="727" customWidth="1"/>
    <col min="8971" max="9216" width="9.6640625" style="727"/>
    <col min="9217" max="9217" width="7.6640625" style="727" customWidth="1"/>
    <col min="9218" max="9218" width="32.88671875" style="727" customWidth="1"/>
    <col min="9219" max="9219" width="9.21875" style="727" customWidth="1"/>
    <col min="9220" max="9220" width="6.5546875" style="727" customWidth="1"/>
    <col min="9221" max="9221" width="7.88671875" style="727" customWidth="1"/>
    <col min="9222" max="9222" width="8.109375" style="727" customWidth="1"/>
    <col min="9223" max="9223" width="9" style="727" customWidth="1"/>
    <col min="9224" max="9224" width="11.5546875" style="727" customWidth="1"/>
    <col min="9225" max="9225" width="12.6640625" style="727" customWidth="1"/>
    <col min="9226" max="9226" width="13.6640625" style="727" customWidth="1"/>
    <col min="9227" max="9472" width="9.6640625" style="727"/>
    <col min="9473" max="9473" width="7.6640625" style="727" customWidth="1"/>
    <col min="9474" max="9474" width="32.88671875" style="727" customWidth="1"/>
    <col min="9475" max="9475" width="9.21875" style="727" customWidth="1"/>
    <col min="9476" max="9476" width="6.5546875" style="727" customWidth="1"/>
    <col min="9477" max="9477" width="7.88671875" style="727" customWidth="1"/>
    <col min="9478" max="9478" width="8.109375" style="727" customWidth="1"/>
    <col min="9479" max="9479" width="9" style="727" customWidth="1"/>
    <col min="9480" max="9480" width="11.5546875" style="727" customWidth="1"/>
    <col min="9481" max="9481" width="12.6640625" style="727" customWidth="1"/>
    <col min="9482" max="9482" width="13.6640625" style="727" customWidth="1"/>
    <col min="9483" max="9728" width="9.6640625" style="727"/>
    <col min="9729" max="9729" width="7.6640625" style="727" customWidth="1"/>
    <col min="9730" max="9730" width="32.88671875" style="727" customWidth="1"/>
    <col min="9731" max="9731" width="9.21875" style="727" customWidth="1"/>
    <col min="9732" max="9732" width="6.5546875" style="727" customWidth="1"/>
    <col min="9733" max="9733" width="7.88671875" style="727" customWidth="1"/>
    <col min="9734" max="9734" width="8.109375" style="727" customWidth="1"/>
    <col min="9735" max="9735" width="9" style="727" customWidth="1"/>
    <col min="9736" max="9736" width="11.5546875" style="727" customWidth="1"/>
    <col min="9737" max="9737" width="12.6640625" style="727" customWidth="1"/>
    <col min="9738" max="9738" width="13.6640625" style="727" customWidth="1"/>
    <col min="9739" max="9984" width="9.6640625" style="727"/>
    <col min="9985" max="9985" width="7.6640625" style="727" customWidth="1"/>
    <col min="9986" max="9986" width="32.88671875" style="727" customWidth="1"/>
    <col min="9987" max="9987" width="9.21875" style="727" customWidth="1"/>
    <col min="9988" max="9988" width="6.5546875" style="727" customWidth="1"/>
    <col min="9989" max="9989" width="7.88671875" style="727" customWidth="1"/>
    <col min="9990" max="9990" width="8.109375" style="727" customWidth="1"/>
    <col min="9991" max="9991" width="9" style="727" customWidth="1"/>
    <col min="9992" max="9992" width="11.5546875" style="727" customWidth="1"/>
    <col min="9993" max="9993" width="12.6640625" style="727" customWidth="1"/>
    <col min="9994" max="9994" width="13.6640625" style="727" customWidth="1"/>
    <col min="9995" max="10240" width="9.6640625" style="727"/>
    <col min="10241" max="10241" width="7.6640625" style="727" customWidth="1"/>
    <col min="10242" max="10242" width="32.88671875" style="727" customWidth="1"/>
    <col min="10243" max="10243" width="9.21875" style="727" customWidth="1"/>
    <col min="10244" max="10244" width="6.5546875" style="727" customWidth="1"/>
    <col min="10245" max="10245" width="7.88671875" style="727" customWidth="1"/>
    <col min="10246" max="10246" width="8.109375" style="727" customWidth="1"/>
    <col min="10247" max="10247" width="9" style="727" customWidth="1"/>
    <col min="10248" max="10248" width="11.5546875" style="727" customWidth="1"/>
    <col min="10249" max="10249" width="12.6640625" style="727" customWidth="1"/>
    <col min="10250" max="10250" width="13.6640625" style="727" customWidth="1"/>
    <col min="10251" max="10496" width="9.6640625" style="727"/>
    <col min="10497" max="10497" width="7.6640625" style="727" customWidth="1"/>
    <col min="10498" max="10498" width="32.88671875" style="727" customWidth="1"/>
    <col min="10499" max="10499" width="9.21875" style="727" customWidth="1"/>
    <col min="10500" max="10500" width="6.5546875" style="727" customWidth="1"/>
    <col min="10501" max="10501" width="7.88671875" style="727" customWidth="1"/>
    <col min="10502" max="10502" width="8.109375" style="727" customWidth="1"/>
    <col min="10503" max="10503" width="9" style="727" customWidth="1"/>
    <col min="10504" max="10504" width="11.5546875" style="727" customWidth="1"/>
    <col min="10505" max="10505" width="12.6640625" style="727" customWidth="1"/>
    <col min="10506" max="10506" width="13.6640625" style="727" customWidth="1"/>
    <col min="10507" max="10752" width="9.6640625" style="727"/>
    <col min="10753" max="10753" width="7.6640625" style="727" customWidth="1"/>
    <col min="10754" max="10754" width="32.88671875" style="727" customWidth="1"/>
    <col min="10755" max="10755" width="9.21875" style="727" customWidth="1"/>
    <col min="10756" max="10756" width="6.5546875" style="727" customWidth="1"/>
    <col min="10757" max="10757" width="7.88671875" style="727" customWidth="1"/>
    <col min="10758" max="10758" width="8.109375" style="727" customWidth="1"/>
    <col min="10759" max="10759" width="9" style="727" customWidth="1"/>
    <col min="10760" max="10760" width="11.5546875" style="727" customWidth="1"/>
    <col min="10761" max="10761" width="12.6640625" style="727" customWidth="1"/>
    <col min="10762" max="10762" width="13.6640625" style="727" customWidth="1"/>
    <col min="10763" max="11008" width="9.6640625" style="727"/>
    <col min="11009" max="11009" width="7.6640625" style="727" customWidth="1"/>
    <col min="11010" max="11010" width="32.88671875" style="727" customWidth="1"/>
    <col min="11011" max="11011" width="9.21875" style="727" customWidth="1"/>
    <col min="11012" max="11012" width="6.5546875" style="727" customWidth="1"/>
    <col min="11013" max="11013" width="7.88671875" style="727" customWidth="1"/>
    <col min="11014" max="11014" width="8.109375" style="727" customWidth="1"/>
    <col min="11015" max="11015" width="9" style="727" customWidth="1"/>
    <col min="11016" max="11016" width="11.5546875" style="727" customWidth="1"/>
    <col min="11017" max="11017" width="12.6640625" style="727" customWidth="1"/>
    <col min="11018" max="11018" width="13.6640625" style="727" customWidth="1"/>
    <col min="11019" max="11264" width="9.6640625" style="727"/>
    <col min="11265" max="11265" width="7.6640625" style="727" customWidth="1"/>
    <col min="11266" max="11266" width="32.88671875" style="727" customWidth="1"/>
    <col min="11267" max="11267" width="9.21875" style="727" customWidth="1"/>
    <col min="11268" max="11268" width="6.5546875" style="727" customWidth="1"/>
    <col min="11269" max="11269" width="7.88671875" style="727" customWidth="1"/>
    <col min="11270" max="11270" width="8.109375" style="727" customWidth="1"/>
    <col min="11271" max="11271" width="9" style="727" customWidth="1"/>
    <col min="11272" max="11272" width="11.5546875" style="727" customWidth="1"/>
    <col min="11273" max="11273" width="12.6640625" style="727" customWidth="1"/>
    <col min="11274" max="11274" width="13.6640625" style="727" customWidth="1"/>
    <col min="11275" max="11520" width="9.6640625" style="727"/>
    <col min="11521" max="11521" width="7.6640625" style="727" customWidth="1"/>
    <col min="11522" max="11522" width="32.88671875" style="727" customWidth="1"/>
    <col min="11523" max="11523" width="9.21875" style="727" customWidth="1"/>
    <col min="11524" max="11524" width="6.5546875" style="727" customWidth="1"/>
    <col min="11525" max="11525" width="7.88671875" style="727" customWidth="1"/>
    <col min="11526" max="11526" width="8.109375" style="727" customWidth="1"/>
    <col min="11527" max="11527" width="9" style="727" customWidth="1"/>
    <col min="11528" max="11528" width="11.5546875" style="727" customWidth="1"/>
    <col min="11529" max="11529" width="12.6640625" style="727" customWidth="1"/>
    <col min="11530" max="11530" width="13.6640625" style="727" customWidth="1"/>
    <col min="11531" max="11776" width="9.6640625" style="727"/>
    <col min="11777" max="11777" width="7.6640625" style="727" customWidth="1"/>
    <col min="11778" max="11778" width="32.88671875" style="727" customWidth="1"/>
    <col min="11779" max="11779" width="9.21875" style="727" customWidth="1"/>
    <col min="11780" max="11780" width="6.5546875" style="727" customWidth="1"/>
    <col min="11781" max="11781" width="7.88671875" style="727" customWidth="1"/>
    <col min="11782" max="11782" width="8.109375" style="727" customWidth="1"/>
    <col min="11783" max="11783" width="9" style="727" customWidth="1"/>
    <col min="11784" max="11784" width="11.5546875" style="727" customWidth="1"/>
    <col min="11785" max="11785" width="12.6640625" style="727" customWidth="1"/>
    <col min="11786" max="11786" width="13.6640625" style="727" customWidth="1"/>
    <col min="11787" max="12032" width="9.6640625" style="727"/>
    <col min="12033" max="12033" width="7.6640625" style="727" customWidth="1"/>
    <col min="12034" max="12034" width="32.88671875" style="727" customWidth="1"/>
    <col min="12035" max="12035" width="9.21875" style="727" customWidth="1"/>
    <col min="12036" max="12036" width="6.5546875" style="727" customWidth="1"/>
    <col min="12037" max="12037" width="7.88671875" style="727" customWidth="1"/>
    <col min="12038" max="12038" width="8.109375" style="727" customWidth="1"/>
    <col min="12039" max="12039" width="9" style="727" customWidth="1"/>
    <col min="12040" max="12040" width="11.5546875" style="727" customWidth="1"/>
    <col min="12041" max="12041" width="12.6640625" style="727" customWidth="1"/>
    <col min="12042" max="12042" width="13.6640625" style="727" customWidth="1"/>
    <col min="12043" max="12288" width="9.6640625" style="727"/>
    <col min="12289" max="12289" width="7.6640625" style="727" customWidth="1"/>
    <col min="12290" max="12290" width="32.88671875" style="727" customWidth="1"/>
    <col min="12291" max="12291" width="9.21875" style="727" customWidth="1"/>
    <col min="12292" max="12292" width="6.5546875" style="727" customWidth="1"/>
    <col min="12293" max="12293" width="7.88671875" style="727" customWidth="1"/>
    <col min="12294" max="12294" width="8.109375" style="727" customWidth="1"/>
    <col min="12295" max="12295" width="9" style="727" customWidth="1"/>
    <col min="12296" max="12296" width="11.5546875" style="727" customWidth="1"/>
    <col min="12297" max="12297" width="12.6640625" style="727" customWidth="1"/>
    <col min="12298" max="12298" width="13.6640625" style="727" customWidth="1"/>
    <col min="12299" max="12544" width="9.6640625" style="727"/>
    <col min="12545" max="12545" width="7.6640625" style="727" customWidth="1"/>
    <col min="12546" max="12546" width="32.88671875" style="727" customWidth="1"/>
    <col min="12547" max="12547" width="9.21875" style="727" customWidth="1"/>
    <col min="12548" max="12548" width="6.5546875" style="727" customWidth="1"/>
    <col min="12549" max="12549" width="7.88671875" style="727" customWidth="1"/>
    <col min="12550" max="12550" width="8.109375" style="727" customWidth="1"/>
    <col min="12551" max="12551" width="9" style="727" customWidth="1"/>
    <col min="12552" max="12552" width="11.5546875" style="727" customWidth="1"/>
    <col min="12553" max="12553" width="12.6640625" style="727" customWidth="1"/>
    <col min="12554" max="12554" width="13.6640625" style="727" customWidth="1"/>
    <col min="12555" max="12800" width="9.6640625" style="727"/>
    <col min="12801" max="12801" width="7.6640625" style="727" customWidth="1"/>
    <col min="12802" max="12802" width="32.88671875" style="727" customWidth="1"/>
    <col min="12803" max="12803" width="9.21875" style="727" customWidth="1"/>
    <col min="12804" max="12804" width="6.5546875" style="727" customWidth="1"/>
    <col min="12805" max="12805" width="7.88671875" style="727" customWidth="1"/>
    <col min="12806" max="12806" width="8.109375" style="727" customWidth="1"/>
    <col min="12807" max="12807" width="9" style="727" customWidth="1"/>
    <col min="12808" max="12808" width="11.5546875" style="727" customWidth="1"/>
    <col min="12809" max="12809" width="12.6640625" style="727" customWidth="1"/>
    <col min="12810" max="12810" width="13.6640625" style="727" customWidth="1"/>
    <col min="12811" max="13056" width="9.6640625" style="727"/>
    <col min="13057" max="13057" width="7.6640625" style="727" customWidth="1"/>
    <col min="13058" max="13058" width="32.88671875" style="727" customWidth="1"/>
    <col min="13059" max="13059" width="9.21875" style="727" customWidth="1"/>
    <col min="13060" max="13060" width="6.5546875" style="727" customWidth="1"/>
    <col min="13061" max="13061" width="7.88671875" style="727" customWidth="1"/>
    <col min="13062" max="13062" width="8.109375" style="727" customWidth="1"/>
    <col min="13063" max="13063" width="9" style="727" customWidth="1"/>
    <col min="13064" max="13064" width="11.5546875" style="727" customWidth="1"/>
    <col min="13065" max="13065" width="12.6640625" style="727" customWidth="1"/>
    <col min="13066" max="13066" width="13.6640625" style="727" customWidth="1"/>
    <col min="13067" max="13312" width="9.6640625" style="727"/>
    <col min="13313" max="13313" width="7.6640625" style="727" customWidth="1"/>
    <col min="13314" max="13314" width="32.88671875" style="727" customWidth="1"/>
    <col min="13315" max="13315" width="9.21875" style="727" customWidth="1"/>
    <col min="13316" max="13316" width="6.5546875" style="727" customWidth="1"/>
    <col min="13317" max="13317" width="7.88671875" style="727" customWidth="1"/>
    <col min="13318" max="13318" width="8.109375" style="727" customWidth="1"/>
    <col min="13319" max="13319" width="9" style="727" customWidth="1"/>
    <col min="13320" max="13320" width="11.5546875" style="727" customWidth="1"/>
    <col min="13321" max="13321" width="12.6640625" style="727" customWidth="1"/>
    <col min="13322" max="13322" width="13.6640625" style="727" customWidth="1"/>
    <col min="13323" max="13568" width="9.6640625" style="727"/>
    <col min="13569" max="13569" width="7.6640625" style="727" customWidth="1"/>
    <col min="13570" max="13570" width="32.88671875" style="727" customWidth="1"/>
    <col min="13571" max="13571" width="9.21875" style="727" customWidth="1"/>
    <col min="13572" max="13572" width="6.5546875" style="727" customWidth="1"/>
    <col min="13573" max="13573" width="7.88671875" style="727" customWidth="1"/>
    <col min="13574" max="13574" width="8.109375" style="727" customWidth="1"/>
    <col min="13575" max="13575" width="9" style="727" customWidth="1"/>
    <col min="13576" max="13576" width="11.5546875" style="727" customWidth="1"/>
    <col min="13577" max="13577" width="12.6640625" style="727" customWidth="1"/>
    <col min="13578" max="13578" width="13.6640625" style="727" customWidth="1"/>
    <col min="13579" max="13824" width="9.6640625" style="727"/>
    <col min="13825" max="13825" width="7.6640625" style="727" customWidth="1"/>
    <col min="13826" max="13826" width="32.88671875" style="727" customWidth="1"/>
    <col min="13827" max="13827" width="9.21875" style="727" customWidth="1"/>
    <col min="13828" max="13828" width="6.5546875" style="727" customWidth="1"/>
    <col min="13829" max="13829" width="7.88671875" style="727" customWidth="1"/>
    <col min="13830" max="13830" width="8.109375" style="727" customWidth="1"/>
    <col min="13831" max="13831" width="9" style="727" customWidth="1"/>
    <col min="13832" max="13832" width="11.5546875" style="727" customWidth="1"/>
    <col min="13833" max="13833" width="12.6640625" style="727" customWidth="1"/>
    <col min="13834" max="13834" width="13.6640625" style="727" customWidth="1"/>
    <col min="13835" max="14080" width="9.6640625" style="727"/>
    <col min="14081" max="14081" width="7.6640625" style="727" customWidth="1"/>
    <col min="14082" max="14082" width="32.88671875" style="727" customWidth="1"/>
    <col min="14083" max="14083" width="9.21875" style="727" customWidth="1"/>
    <col min="14084" max="14084" width="6.5546875" style="727" customWidth="1"/>
    <col min="14085" max="14085" width="7.88671875" style="727" customWidth="1"/>
    <col min="14086" max="14086" width="8.109375" style="727" customWidth="1"/>
    <col min="14087" max="14087" width="9" style="727" customWidth="1"/>
    <col min="14088" max="14088" width="11.5546875" style="727" customWidth="1"/>
    <col min="14089" max="14089" width="12.6640625" style="727" customWidth="1"/>
    <col min="14090" max="14090" width="13.6640625" style="727" customWidth="1"/>
    <col min="14091" max="14336" width="9.6640625" style="727"/>
    <col min="14337" max="14337" width="7.6640625" style="727" customWidth="1"/>
    <col min="14338" max="14338" width="32.88671875" style="727" customWidth="1"/>
    <col min="14339" max="14339" width="9.21875" style="727" customWidth="1"/>
    <col min="14340" max="14340" width="6.5546875" style="727" customWidth="1"/>
    <col min="14341" max="14341" width="7.88671875" style="727" customWidth="1"/>
    <col min="14342" max="14342" width="8.109375" style="727" customWidth="1"/>
    <col min="14343" max="14343" width="9" style="727" customWidth="1"/>
    <col min="14344" max="14344" width="11.5546875" style="727" customWidth="1"/>
    <col min="14345" max="14345" width="12.6640625" style="727" customWidth="1"/>
    <col min="14346" max="14346" width="13.6640625" style="727" customWidth="1"/>
    <col min="14347" max="14592" width="9.6640625" style="727"/>
    <col min="14593" max="14593" width="7.6640625" style="727" customWidth="1"/>
    <col min="14594" max="14594" width="32.88671875" style="727" customWidth="1"/>
    <col min="14595" max="14595" width="9.21875" style="727" customWidth="1"/>
    <col min="14596" max="14596" width="6.5546875" style="727" customWidth="1"/>
    <col min="14597" max="14597" width="7.88671875" style="727" customWidth="1"/>
    <col min="14598" max="14598" width="8.109375" style="727" customWidth="1"/>
    <col min="14599" max="14599" width="9" style="727" customWidth="1"/>
    <col min="14600" max="14600" width="11.5546875" style="727" customWidth="1"/>
    <col min="14601" max="14601" width="12.6640625" style="727" customWidth="1"/>
    <col min="14602" max="14602" width="13.6640625" style="727" customWidth="1"/>
    <col min="14603" max="14848" width="9.6640625" style="727"/>
    <col min="14849" max="14849" width="7.6640625" style="727" customWidth="1"/>
    <col min="14850" max="14850" width="32.88671875" style="727" customWidth="1"/>
    <col min="14851" max="14851" width="9.21875" style="727" customWidth="1"/>
    <col min="14852" max="14852" width="6.5546875" style="727" customWidth="1"/>
    <col min="14853" max="14853" width="7.88671875" style="727" customWidth="1"/>
    <col min="14854" max="14854" width="8.109375" style="727" customWidth="1"/>
    <col min="14855" max="14855" width="9" style="727" customWidth="1"/>
    <col min="14856" max="14856" width="11.5546875" style="727" customWidth="1"/>
    <col min="14857" max="14857" width="12.6640625" style="727" customWidth="1"/>
    <col min="14858" max="14858" width="13.6640625" style="727" customWidth="1"/>
    <col min="14859" max="15104" width="9.6640625" style="727"/>
    <col min="15105" max="15105" width="7.6640625" style="727" customWidth="1"/>
    <col min="15106" max="15106" width="32.88671875" style="727" customWidth="1"/>
    <col min="15107" max="15107" width="9.21875" style="727" customWidth="1"/>
    <col min="15108" max="15108" width="6.5546875" style="727" customWidth="1"/>
    <col min="15109" max="15109" width="7.88671875" style="727" customWidth="1"/>
    <col min="15110" max="15110" width="8.109375" style="727" customWidth="1"/>
    <col min="15111" max="15111" width="9" style="727" customWidth="1"/>
    <col min="15112" max="15112" width="11.5546875" style="727" customWidth="1"/>
    <col min="15113" max="15113" width="12.6640625" style="727" customWidth="1"/>
    <col min="15114" max="15114" width="13.6640625" style="727" customWidth="1"/>
    <col min="15115" max="15360" width="9.6640625" style="727"/>
    <col min="15361" max="15361" width="7.6640625" style="727" customWidth="1"/>
    <col min="15362" max="15362" width="32.88671875" style="727" customWidth="1"/>
    <col min="15363" max="15363" width="9.21875" style="727" customWidth="1"/>
    <col min="15364" max="15364" width="6.5546875" style="727" customWidth="1"/>
    <col min="15365" max="15365" width="7.88671875" style="727" customWidth="1"/>
    <col min="15366" max="15366" width="8.109375" style="727" customWidth="1"/>
    <col min="15367" max="15367" width="9" style="727" customWidth="1"/>
    <col min="15368" max="15368" width="11.5546875" style="727" customWidth="1"/>
    <col min="15369" max="15369" width="12.6640625" style="727" customWidth="1"/>
    <col min="15370" max="15370" width="13.6640625" style="727" customWidth="1"/>
    <col min="15371" max="15616" width="9.6640625" style="727"/>
    <col min="15617" max="15617" width="7.6640625" style="727" customWidth="1"/>
    <col min="15618" max="15618" width="32.88671875" style="727" customWidth="1"/>
    <col min="15619" max="15619" width="9.21875" style="727" customWidth="1"/>
    <col min="15620" max="15620" width="6.5546875" style="727" customWidth="1"/>
    <col min="15621" max="15621" width="7.88671875" style="727" customWidth="1"/>
    <col min="15622" max="15622" width="8.109375" style="727" customWidth="1"/>
    <col min="15623" max="15623" width="9" style="727" customWidth="1"/>
    <col min="15624" max="15624" width="11.5546875" style="727" customWidth="1"/>
    <col min="15625" max="15625" width="12.6640625" style="727" customWidth="1"/>
    <col min="15626" max="15626" width="13.6640625" style="727" customWidth="1"/>
    <col min="15627" max="15872" width="9.6640625" style="727"/>
    <col min="15873" max="15873" width="7.6640625" style="727" customWidth="1"/>
    <col min="15874" max="15874" width="32.88671875" style="727" customWidth="1"/>
    <col min="15875" max="15875" width="9.21875" style="727" customWidth="1"/>
    <col min="15876" max="15876" width="6.5546875" style="727" customWidth="1"/>
    <col min="15877" max="15877" width="7.88671875" style="727" customWidth="1"/>
    <col min="15878" max="15878" width="8.109375" style="727" customWidth="1"/>
    <col min="15879" max="15879" width="9" style="727" customWidth="1"/>
    <col min="15880" max="15880" width="11.5546875" style="727" customWidth="1"/>
    <col min="15881" max="15881" width="12.6640625" style="727" customWidth="1"/>
    <col min="15882" max="15882" width="13.6640625" style="727" customWidth="1"/>
    <col min="15883" max="16128" width="9.6640625" style="727"/>
    <col min="16129" max="16129" width="7.6640625" style="727" customWidth="1"/>
    <col min="16130" max="16130" width="32.88671875" style="727" customWidth="1"/>
    <col min="16131" max="16131" width="9.21875" style="727" customWidth="1"/>
    <col min="16132" max="16132" width="6.5546875" style="727" customWidth="1"/>
    <col min="16133" max="16133" width="7.88671875" style="727" customWidth="1"/>
    <col min="16134" max="16134" width="8.109375" style="727" customWidth="1"/>
    <col min="16135" max="16135" width="9" style="727" customWidth="1"/>
    <col min="16136" max="16136" width="11.5546875" style="727" customWidth="1"/>
    <col min="16137" max="16137" width="12.6640625" style="727" customWidth="1"/>
    <col min="16138" max="16138" width="13.6640625" style="727" customWidth="1"/>
    <col min="16139" max="16384" width="9.6640625" style="727"/>
  </cols>
  <sheetData>
    <row r="1" spans="1:10">
      <c r="A1" s="1008" t="s">
        <v>490</v>
      </c>
      <c r="B1" s="1008"/>
      <c r="C1" s="1008"/>
      <c r="D1" s="1008"/>
      <c r="E1" s="1008"/>
      <c r="F1" s="1008"/>
      <c r="G1" s="1008"/>
      <c r="H1" s="1008"/>
    </row>
    <row r="2" spans="1:10">
      <c r="A2" s="1036" t="s">
        <v>240</v>
      </c>
      <c r="B2" s="1036"/>
      <c r="C2" s="1036"/>
      <c r="D2" s="1036"/>
      <c r="E2" s="1036"/>
      <c r="F2" s="1036"/>
      <c r="G2" s="1036"/>
      <c r="H2" s="1036"/>
    </row>
    <row r="3" spans="1:10">
      <c r="A3" s="1037" t="str">
        <f>+'Attachment H-30A'!D5</f>
        <v>Transource Maryland, LLC</v>
      </c>
      <c r="B3" s="1037"/>
      <c r="C3" s="1037"/>
      <c r="D3" s="1037"/>
      <c r="E3" s="1037"/>
      <c r="F3" s="1037"/>
      <c r="G3" s="1037"/>
      <c r="H3" s="1037"/>
    </row>
    <row r="4" spans="1:10">
      <c r="H4" s="728"/>
    </row>
    <row r="5" spans="1:10">
      <c r="H5" s="728"/>
    </row>
    <row r="7" spans="1:10">
      <c r="A7" s="1035"/>
      <c r="B7" s="1035"/>
      <c r="C7" s="1035"/>
      <c r="D7" s="1035"/>
      <c r="E7" s="1035"/>
      <c r="F7" s="1035"/>
      <c r="G7" s="1035"/>
      <c r="H7" s="1035"/>
    </row>
    <row r="8" spans="1:10">
      <c r="A8" s="1035" t="s">
        <v>415</v>
      </c>
      <c r="B8" s="1035"/>
      <c r="C8" s="1035"/>
      <c r="D8" s="1035"/>
      <c r="E8" s="1035"/>
      <c r="F8" s="1035"/>
      <c r="G8" s="1035"/>
      <c r="H8" s="1035"/>
    </row>
    <row r="9" spans="1:10">
      <c r="A9" s="1035" t="s">
        <v>416</v>
      </c>
      <c r="B9" s="1035"/>
      <c r="C9" s="1035"/>
      <c r="D9" s="1035"/>
      <c r="E9" s="1035"/>
      <c r="F9" s="1035"/>
      <c r="G9" s="1035"/>
      <c r="H9" s="1035"/>
    </row>
    <row r="10" spans="1:10">
      <c r="A10" s="1035" t="s">
        <v>641</v>
      </c>
      <c r="B10" s="1035"/>
      <c r="C10" s="1035"/>
      <c r="D10" s="1035"/>
      <c r="E10" s="1035"/>
      <c r="F10" s="1035"/>
      <c r="G10" s="1035"/>
      <c r="H10" s="1035"/>
    </row>
    <row r="11" spans="1:10">
      <c r="A11" s="729"/>
    </row>
    <row r="12" spans="1:10" ht="73.5" customHeight="1">
      <c r="C12" s="730" t="s">
        <v>335</v>
      </c>
      <c r="D12" s="730" t="s">
        <v>336</v>
      </c>
      <c r="E12" s="730" t="s">
        <v>337</v>
      </c>
      <c r="F12" s="730" t="s">
        <v>338</v>
      </c>
      <c r="G12" s="730" t="s">
        <v>339</v>
      </c>
      <c r="H12" s="730" t="s">
        <v>643</v>
      </c>
    </row>
    <row r="13" spans="1:10">
      <c r="A13" s="731" t="s">
        <v>340</v>
      </c>
    </row>
    <row r="14" spans="1:10">
      <c r="A14" s="731"/>
    </row>
    <row r="15" spans="1:10">
      <c r="A15" s="732" t="s">
        <v>417</v>
      </c>
      <c r="B15" s="727" t="s">
        <v>418</v>
      </c>
      <c r="C15" s="733">
        <v>15</v>
      </c>
      <c r="D15" s="734" t="s">
        <v>359</v>
      </c>
      <c r="E15" s="735">
        <v>0.05</v>
      </c>
      <c r="F15" s="735">
        <v>0.05</v>
      </c>
      <c r="G15" s="735">
        <f>E15-F15</f>
        <v>0</v>
      </c>
      <c r="H15" s="736">
        <f>(1-G15)/C15</f>
        <v>6.6666666666666666E-2</v>
      </c>
    </row>
    <row r="16" spans="1:10">
      <c r="A16" s="727" t="s">
        <v>342</v>
      </c>
      <c r="B16" s="727" t="s">
        <v>343</v>
      </c>
      <c r="C16" s="733">
        <v>62</v>
      </c>
      <c r="D16" s="734" t="s">
        <v>341</v>
      </c>
      <c r="E16" s="735">
        <v>0.05</v>
      </c>
      <c r="F16" s="735">
        <v>0.15</v>
      </c>
      <c r="G16" s="735">
        <f t="shared" ref="G16:G22" si="0">E16-F16</f>
        <v>-9.9999999999999992E-2</v>
      </c>
      <c r="H16" s="736">
        <f t="shared" ref="H16:H22" si="1">(1-G16)/C16</f>
        <v>1.7741935483870968E-2</v>
      </c>
      <c r="I16" s="737"/>
      <c r="J16" s="738"/>
    </row>
    <row r="17" spans="1:10">
      <c r="A17" s="727" t="s">
        <v>344</v>
      </c>
      <c r="B17" s="727" t="s">
        <v>345</v>
      </c>
      <c r="C17" s="733">
        <v>45</v>
      </c>
      <c r="D17" s="739" t="s">
        <v>419</v>
      </c>
      <c r="E17" s="735">
        <v>0.28000000000000003</v>
      </c>
      <c r="F17" s="735">
        <v>0.13</v>
      </c>
      <c r="G17" s="735">
        <f t="shared" si="0"/>
        <v>0.15000000000000002</v>
      </c>
      <c r="H17" s="736">
        <f t="shared" si="1"/>
        <v>1.8888888888888889E-2</v>
      </c>
      <c r="I17" s="737"/>
      <c r="J17" s="738"/>
    </row>
    <row r="18" spans="1:10">
      <c r="A18" s="727" t="s">
        <v>347</v>
      </c>
      <c r="B18" s="727" t="s">
        <v>348</v>
      </c>
      <c r="C18" s="733">
        <v>68</v>
      </c>
      <c r="D18" s="734" t="s">
        <v>353</v>
      </c>
      <c r="E18" s="735">
        <v>0.25</v>
      </c>
      <c r="F18" s="735">
        <v>0.35</v>
      </c>
      <c r="G18" s="735">
        <f t="shared" si="0"/>
        <v>-9.9999999999999978E-2</v>
      </c>
      <c r="H18" s="736">
        <f t="shared" si="1"/>
        <v>1.6176470588235296E-2</v>
      </c>
      <c r="I18" s="737"/>
      <c r="J18" s="738"/>
    </row>
    <row r="19" spans="1:10">
      <c r="A19" s="727" t="s">
        <v>349</v>
      </c>
      <c r="B19" s="727" t="s">
        <v>350</v>
      </c>
      <c r="C19" s="733">
        <v>42</v>
      </c>
      <c r="D19" s="739" t="s">
        <v>420</v>
      </c>
      <c r="E19" s="735">
        <v>0.05</v>
      </c>
      <c r="F19" s="735">
        <v>0.2</v>
      </c>
      <c r="G19" s="735">
        <f t="shared" si="0"/>
        <v>-0.15000000000000002</v>
      </c>
      <c r="H19" s="736">
        <f t="shared" si="1"/>
        <v>2.7380952380952377E-2</v>
      </c>
      <c r="I19" s="737"/>
      <c r="J19" s="738"/>
    </row>
    <row r="20" spans="1:10">
      <c r="A20" s="727" t="s">
        <v>351</v>
      </c>
      <c r="B20" s="727" t="s">
        <v>352</v>
      </c>
      <c r="C20" s="733">
        <v>64</v>
      </c>
      <c r="D20" s="739" t="s">
        <v>353</v>
      </c>
      <c r="E20" s="735">
        <v>0.3</v>
      </c>
      <c r="F20" s="735">
        <v>0.18</v>
      </c>
      <c r="G20" s="735">
        <f t="shared" si="0"/>
        <v>0.12</v>
      </c>
      <c r="H20" s="736">
        <f t="shared" si="1"/>
        <v>1.375E-2</v>
      </c>
      <c r="I20" s="737"/>
      <c r="J20" s="738"/>
    </row>
    <row r="21" spans="1:10">
      <c r="A21" s="740" t="s">
        <v>421</v>
      </c>
      <c r="B21" s="727" t="s">
        <v>422</v>
      </c>
      <c r="C21" s="733">
        <v>50</v>
      </c>
      <c r="D21" s="739" t="s">
        <v>346</v>
      </c>
      <c r="E21" s="735">
        <v>0</v>
      </c>
      <c r="F21" s="735">
        <v>0</v>
      </c>
      <c r="G21" s="735">
        <f t="shared" si="0"/>
        <v>0</v>
      </c>
      <c r="H21" s="736">
        <f t="shared" si="1"/>
        <v>0.02</v>
      </c>
      <c r="I21" s="737"/>
      <c r="J21" s="738"/>
    </row>
    <row r="22" spans="1:10">
      <c r="A22" s="741">
        <v>358</v>
      </c>
      <c r="B22" s="727" t="s">
        <v>354</v>
      </c>
      <c r="C22" s="733">
        <v>20</v>
      </c>
      <c r="D22" s="739" t="s">
        <v>423</v>
      </c>
      <c r="E22" s="735">
        <v>0</v>
      </c>
      <c r="F22" s="735">
        <v>0</v>
      </c>
      <c r="G22" s="735">
        <f t="shared" si="0"/>
        <v>0</v>
      </c>
      <c r="H22" s="736">
        <f t="shared" si="1"/>
        <v>0.05</v>
      </c>
      <c r="I22" s="737"/>
      <c r="J22" s="738"/>
    </row>
    <row r="23" spans="1:10">
      <c r="C23" s="733"/>
      <c r="D23" s="736"/>
      <c r="E23" s="735"/>
      <c r="F23" s="735"/>
      <c r="G23" s="735"/>
      <c r="H23" s="739"/>
      <c r="I23" s="742"/>
      <c r="J23" s="728"/>
    </row>
    <row r="24" spans="1:10" s="743" customFormat="1">
      <c r="A24" s="731" t="s">
        <v>355</v>
      </c>
      <c r="C24" s="744"/>
      <c r="D24" s="745"/>
      <c r="E24" s="746"/>
      <c r="F24" s="746"/>
      <c r="G24" s="746"/>
      <c r="H24" s="747"/>
    </row>
    <row r="25" spans="1:10" s="743" customFormat="1">
      <c r="A25" s="731"/>
      <c r="C25" s="744"/>
      <c r="D25" s="745"/>
      <c r="E25" s="746"/>
      <c r="F25" s="746"/>
      <c r="G25" s="746"/>
      <c r="H25" s="747"/>
    </row>
    <row r="26" spans="1:10">
      <c r="A26" s="727" t="s">
        <v>356</v>
      </c>
      <c r="B26" s="727" t="s">
        <v>343</v>
      </c>
      <c r="C26" s="733">
        <v>42</v>
      </c>
      <c r="D26" s="739" t="s">
        <v>359</v>
      </c>
      <c r="E26" s="735">
        <v>0.36</v>
      </c>
      <c r="F26" s="735">
        <v>0.11</v>
      </c>
      <c r="G26" s="735">
        <f t="shared" ref="G26:G34" si="2">E26-F26</f>
        <v>0.25</v>
      </c>
      <c r="H26" s="736">
        <f t="shared" ref="H26:H34" si="3">(1-G26)/C26</f>
        <v>1.7857142857142856E-2</v>
      </c>
      <c r="I26" s="737"/>
      <c r="J26" s="738"/>
    </row>
    <row r="27" spans="1:10">
      <c r="A27" s="727" t="s">
        <v>357</v>
      </c>
      <c r="B27" s="727" t="s">
        <v>358</v>
      </c>
      <c r="C27" s="733">
        <v>30</v>
      </c>
      <c r="D27" s="739" t="s">
        <v>359</v>
      </c>
      <c r="E27" s="735">
        <v>0</v>
      </c>
      <c r="F27" s="735">
        <v>0</v>
      </c>
      <c r="G27" s="735">
        <f t="shared" si="2"/>
        <v>0</v>
      </c>
      <c r="H27" s="736">
        <f t="shared" si="3"/>
        <v>3.3333333333333333E-2</v>
      </c>
      <c r="I27" s="737"/>
      <c r="J27" s="738"/>
    </row>
    <row r="28" spans="1:10">
      <c r="A28" s="748" t="s">
        <v>360</v>
      </c>
      <c r="B28" s="727" t="s">
        <v>361</v>
      </c>
      <c r="C28" s="733">
        <v>27</v>
      </c>
      <c r="D28" s="734" t="s">
        <v>359</v>
      </c>
      <c r="E28" s="735">
        <v>0</v>
      </c>
      <c r="F28" s="735">
        <v>0</v>
      </c>
      <c r="G28" s="735">
        <f t="shared" si="2"/>
        <v>0</v>
      </c>
      <c r="H28" s="736">
        <f t="shared" si="3"/>
        <v>3.7037037037037035E-2</v>
      </c>
      <c r="I28" s="737"/>
      <c r="J28" s="738"/>
    </row>
    <row r="29" spans="1:10">
      <c r="A29" s="727" t="s">
        <v>362</v>
      </c>
      <c r="B29" s="727" t="s">
        <v>363</v>
      </c>
      <c r="C29" s="733">
        <v>55</v>
      </c>
      <c r="D29" s="734" t="s">
        <v>359</v>
      </c>
      <c r="E29" s="735">
        <v>0</v>
      </c>
      <c r="F29" s="735">
        <v>0</v>
      </c>
      <c r="G29" s="735">
        <f t="shared" si="2"/>
        <v>0</v>
      </c>
      <c r="H29" s="736">
        <f t="shared" si="3"/>
        <v>1.8181818181818181E-2</v>
      </c>
      <c r="I29" s="737"/>
      <c r="J29" s="738"/>
    </row>
    <row r="30" spans="1:10">
      <c r="A30" s="727" t="s">
        <v>364</v>
      </c>
      <c r="B30" s="727" t="s">
        <v>365</v>
      </c>
      <c r="C30" s="733">
        <v>43</v>
      </c>
      <c r="D30" s="734" t="s">
        <v>359</v>
      </c>
      <c r="E30" s="735">
        <v>0</v>
      </c>
      <c r="F30" s="735">
        <v>0.1</v>
      </c>
      <c r="G30" s="735">
        <f t="shared" si="2"/>
        <v>-0.1</v>
      </c>
      <c r="H30" s="736">
        <f t="shared" si="3"/>
        <v>2.5581395348837212E-2</v>
      </c>
      <c r="I30" s="737"/>
      <c r="J30" s="738"/>
    </row>
    <row r="31" spans="1:10">
      <c r="A31" s="727" t="s">
        <v>366</v>
      </c>
      <c r="B31" s="727" t="s">
        <v>367</v>
      </c>
      <c r="C31" s="733">
        <v>37</v>
      </c>
      <c r="D31" s="734" t="s">
        <v>359</v>
      </c>
      <c r="E31" s="735">
        <v>0</v>
      </c>
      <c r="F31" s="735">
        <v>0</v>
      </c>
      <c r="G31" s="735">
        <f t="shared" si="2"/>
        <v>0</v>
      </c>
      <c r="H31" s="736">
        <f t="shared" si="3"/>
        <v>2.7027027027027029E-2</v>
      </c>
      <c r="I31" s="737"/>
      <c r="J31" s="738"/>
    </row>
    <row r="32" spans="1:10">
      <c r="A32" s="748" t="s">
        <v>368</v>
      </c>
      <c r="B32" s="727" t="s">
        <v>369</v>
      </c>
      <c r="C32" s="733">
        <v>25</v>
      </c>
      <c r="D32" s="734" t="s">
        <v>359</v>
      </c>
      <c r="E32" s="735">
        <v>0</v>
      </c>
      <c r="F32" s="735">
        <v>0</v>
      </c>
      <c r="G32" s="735">
        <f t="shared" si="2"/>
        <v>0</v>
      </c>
      <c r="H32" s="736">
        <f t="shared" si="3"/>
        <v>0.04</v>
      </c>
      <c r="I32" s="737"/>
      <c r="J32" s="738"/>
    </row>
    <row r="33" spans="1:10">
      <c r="A33" s="727" t="s">
        <v>370</v>
      </c>
      <c r="B33" s="727" t="s">
        <v>371</v>
      </c>
      <c r="C33" s="733">
        <v>24</v>
      </c>
      <c r="D33" s="734" t="s">
        <v>359</v>
      </c>
      <c r="E33" s="735">
        <v>0</v>
      </c>
      <c r="F33" s="735">
        <v>0.01</v>
      </c>
      <c r="G33" s="735">
        <f t="shared" si="2"/>
        <v>-0.01</v>
      </c>
      <c r="H33" s="736">
        <f t="shared" si="3"/>
        <v>4.2083333333333334E-2</v>
      </c>
      <c r="I33" s="737"/>
      <c r="J33" s="738"/>
    </row>
    <row r="34" spans="1:10">
      <c r="A34" s="727" t="s">
        <v>372</v>
      </c>
      <c r="B34" s="727" t="s">
        <v>373</v>
      </c>
      <c r="C34" s="733">
        <v>35</v>
      </c>
      <c r="D34" s="734" t="s">
        <v>359</v>
      </c>
      <c r="E34" s="735">
        <v>0</v>
      </c>
      <c r="F34" s="735">
        <v>0</v>
      </c>
      <c r="G34" s="735">
        <f t="shared" si="2"/>
        <v>0</v>
      </c>
      <c r="H34" s="736">
        <f t="shared" si="3"/>
        <v>2.8571428571428571E-2</v>
      </c>
      <c r="I34" s="737"/>
      <c r="J34" s="738"/>
    </row>
    <row r="35" spans="1:10">
      <c r="C35" s="749"/>
      <c r="E35" s="750"/>
      <c r="F35" s="750"/>
      <c r="G35" s="750"/>
    </row>
    <row r="36" spans="1:10">
      <c r="A36" s="731" t="s">
        <v>661</v>
      </c>
      <c r="C36" s="749"/>
      <c r="E36" s="750"/>
      <c r="F36" s="750"/>
      <c r="G36" s="750"/>
    </row>
    <row r="37" spans="1:10">
      <c r="A37" s="795">
        <v>303</v>
      </c>
      <c r="B37" s="727" t="s">
        <v>662</v>
      </c>
      <c r="C37" s="733">
        <v>5</v>
      </c>
      <c r="D37" s="751"/>
      <c r="E37" s="750"/>
      <c r="F37" s="750"/>
      <c r="G37" s="750"/>
      <c r="H37" s="736">
        <v>0.2</v>
      </c>
    </row>
    <row r="38" spans="1:10">
      <c r="C38" s="749"/>
      <c r="E38" s="750"/>
      <c r="F38" s="750"/>
      <c r="G38" s="750"/>
    </row>
    <row r="39" spans="1:10">
      <c r="A39" s="752" t="s">
        <v>525</v>
      </c>
      <c r="C39" s="749"/>
      <c r="E39" s="750"/>
      <c r="F39" s="750"/>
      <c r="G39" s="750"/>
    </row>
    <row r="40" spans="1:10" ht="39" customHeight="1">
      <c r="A40" s="753" t="s">
        <v>62</v>
      </c>
      <c r="B40" s="1034" t="s">
        <v>731</v>
      </c>
      <c r="C40" s="1034"/>
      <c r="D40" s="1034"/>
      <c r="E40" s="1034"/>
      <c r="F40" s="1034"/>
      <c r="G40" s="1034"/>
      <c r="H40" s="1034"/>
    </row>
    <row r="41" spans="1:10">
      <c r="A41" s="754" t="s">
        <v>63</v>
      </c>
      <c r="B41" s="755" t="s">
        <v>642</v>
      </c>
      <c r="C41" s="705"/>
      <c r="D41" s="705"/>
      <c r="E41" s="705"/>
      <c r="F41" s="705"/>
      <c r="G41" s="705"/>
      <c r="H41" s="705"/>
    </row>
    <row r="42" spans="1:10">
      <c r="A42" s="705"/>
      <c r="B42" s="705"/>
      <c r="C42" s="705"/>
      <c r="D42" s="705"/>
      <c r="E42" s="705"/>
      <c r="F42" s="705"/>
      <c r="G42" s="705"/>
      <c r="H42" s="705"/>
    </row>
    <row r="43" spans="1:10">
      <c r="C43" s="756"/>
      <c r="E43" s="750"/>
      <c r="F43" s="750"/>
      <c r="G43" s="750"/>
    </row>
    <row r="44" spans="1:10">
      <c r="C44" s="756"/>
      <c r="E44" s="750"/>
      <c r="F44" s="750"/>
      <c r="G44" s="750"/>
    </row>
    <row r="45" spans="1:10">
      <c r="C45" s="756"/>
      <c r="E45" s="750"/>
      <c r="F45" s="750"/>
      <c r="G45" s="750"/>
    </row>
    <row r="46" spans="1:10">
      <c r="C46" s="756"/>
      <c r="E46" s="750"/>
      <c r="F46" s="750"/>
      <c r="G46" s="750"/>
    </row>
    <row r="47" spans="1:10">
      <c r="C47" s="756"/>
      <c r="E47" s="750"/>
      <c r="F47" s="750"/>
      <c r="G47" s="750"/>
    </row>
    <row r="48" spans="1:10">
      <c r="C48" s="756"/>
      <c r="E48" s="750"/>
      <c r="F48" s="750"/>
      <c r="G48" s="750"/>
    </row>
    <row r="49" spans="3:7">
      <c r="C49" s="756"/>
      <c r="E49" s="750"/>
      <c r="F49" s="750"/>
      <c r="G49" s="750"/>
    </row>
    <row r="50" spans="3:7">
      <c r="C50" s="756"/>
      <c r="E50" s="750"/>
      <c r="F50" s="750"/>
      <c r="G50" s="750"/>
    </row>
    <row r="51" spans="3:7">
      <c r="C51" s="756"/>
      <c r="E51" s="750"/>
      <c r="F51" s="750"/>
      <c r="G51" s="750"/>
    </row>
    <row r="52" spans="3:7">
      <c r="E52" s="750"/>
      <c r="F52" s="750"/>
      <c r="G52" s="750"/>
    </row>
    <row r="53" spans="3:7">
      <c r="E53" s="750"/>
      <c r="F53" s="750"/>
      <c r="G53" s="750"/>
    </row>
    <row r="54" spans="3:7">
      <c r="E54" s="750"/>
      <c r="F54" s="750"/>
      <c r="G54" s="750"/>
    </row>
    <row r="55" spans="3:7">
      <c r="E55" s="750"/>
      <c r="F55" s="750"/>
      <c r="G55" s="750"/>
    </row>
    <row r="56" spans="3:7">
      <c r="E56" s="750"/>
      <c r="F56" s="750"/>
      <c r="G56" s="750"/>
    </row>
    <row r="57" spans="3:7">
      <c r="E57" s="750"/>
      <c r="F57" s="750"/>
      <c r="G57" s="750"/>
    </row>
    <row r="58" spans="3:7">
      <c r="E58" s="750"/>
      <c r="F58" s="750"/>
      <c r="G58" s="750"/>
    </row>
    <row r="59" spans="3:7">
      <c r="E59" s="750"/>
      <c r="F59" s="750"/>
      <c r="G59" s="750"/>
    </row>
    <row r="60" spans="3:7">
      <c r="E60" s="750"/>
      <c r="F60" s="750"/>
      <c r="G60" s="750"/>
    </row>
    <row r="61" spans="3:7">
      <c r="E61" s="750"/>
      <c r="F61" s="750"/>
      <c r="G61" s="750"/>
    </row>
    <row r="62" spans="3:7">
      <c r="E62" s="750"/>
      <c r="F62" s="750"/>
      <c r="G62" s="750"/>
    </row>
    <row r="63" spans="3:7">
      <c r="E63" s="750"/>
      <c r="F63" s="750"/>
      <c r="G63" s="750"/>
    </row>
    <row r="64" spans="3:7">
      <c r="E64" s="750"/>
      <c r="F64" s="750"/>
      <c r="G64" s="750"/>
    </row>
    <row r="65" spans="5:7">
      <c r="E65" s="750"/>
      <c r="F65" s="750"/>
      <c r="G65" s="750"/>
    </row>
    <row r="66" spans="5:7">
      <c r="E66" s="750"/>
      <c r="F66" s="750"/>
      <c r="G66" s="750"/>
    </row>
    <row r="67" spans="5:7">
      <c r="E67" s="750"/>
      <c r="F67" s="750"/>
      <c r="G67" s="750"/>
    </row>
    <row r="68" spans="5:7">
      <c r="E68" s="750"/>
      <c r="F68" s="750"/>
      <c r="G68" s="750"/>
    </row>
    <row r="69" spans="5:7">
      <c r="E69" s="750"/>
      <c r="F69" s="750"/>
      <c r="G69" s="750"/>
    </row>
    <row r="70" spans="5:7">
      <c r="E70" s="750"/>
      <c r="F70" s="750"/>
      <c r="G70" s="750"/>
    </row>
    <row r="71" spans="5:7">
      <c r="E71" s="750"/>
      <c r="F71" s="750"/>
      <c r="G71" s="750"/>
    </row>
    <row r="72" spans="5:7">
      <c r="E72" s="750"/>
      <c r="F72" s="750"/>
      <c r="G72" s="750"/>
    </row>
    <row r="73" spans="5:7">
      <c r="E73" s="750"/>
      <c r="F73" s="750"/>
      <c r="G73" s="750"/>
    </row>
    <row r="74" spans="5:7">
      <c r="E74" s="750"/>
      <c r="F74" s="750"/>
      <c r="G74" s="750"/>
    </row>
    <row r="75" spans="5:7">
      <c r="E75" s="750"/>
      <c r="F75" s="750"/>
      <c r="G75" s="750"/>
    </row>
    <row r="76" spans="5:7">
      <c r="E76" s="750"/>
      <c r="F76" s="750"/>
      <c r="G76" s="750"/>
    </row>
    <row r="77" spans="5:7">
      <c r="E77" s="750"/>
      <c r="F77" s="750"/>
      <c r="G77" s="750"/>
    </row>
    <row r="78" spans="5:7">
      <c r="E78" s="750"/>
      <c r="F78" s="750"/>
      <c r="G78" s="750"/>
    </row>
    <row r="79" spans="5:7">
      <c r="E79" s="750"/>
      <c r="F79" s="750"/>
      <c r="G79" s="750"/>
    </row>
    <row r="80" spans="5:7">
      <c r="E80" s="750"/>
      <c r="F80" s="750"/>
      <c r="G80" s="750"/>
    </row>
    <row r="81" spans="5:7">
      <c r="E81" s="750"/>
      <c r="F81" s="750"/>
      <c r="G81" s="750"/>
    </row>
    <row r="82" spans="5:7">
      <c r="E82" s="750"/>
      <c r="F82" s="750"/>
      <c r="G82" s="750"/>
    </row>
    <row r="83" spans="5:7">
      <c r="E83" s="750"/>
      <c r="F83" s="750"/>
      <c r="G83" s="750"/>
    </row>
    <row r="84" spans="5:7">
      <c r="E84" s="750"/>
      <c r="F84" s="750"/>
      <c r="G84" s="750"/>
    </row>
    <row r="85" spans="5:7">
      <c r="E85" s="750"/>
      <c r="F85" s="750"/>
      <c r="G85" s="750"/>
    </row>
    <row r="86" spans="5:7">
      <c r="E86" s="750"/>
      <c r="F86" s="750"/>
      <c r="G86" s="750"/>
    </row>
    <row r="87" spans="5:7">
      <c r="E87" s="750"/>
      <c r="F87" s="750"/>
      <c r="G87" s="750"/>
    </row>
    <row r="88" spans="5:7">
      <c r="E88" s="750"/>
      <c r="F88" s="750"/>
      <c r="G88" s="750"/>
    </row>
    <row r="89" spans="5:7">
      <c r="E89" s="750"/>
      <c r="F89" s="750"/>
      <c r="G89" s="750"/>
    </row>
    <row r="90" spans="5:7">
      <c r="E90" s="750"/>
      <c r="F90" s="750"/>
      <c r="G90" s="750"/>
    </row>
    <row r="91" spans="5:7">
      <c r="E91" s="750"/>
      <c r="F91" s="750"/>
      <c r="G91" s="750"/>
    </row>
    <row r="92" spans="5:7">
      <c r="E92" s="750"/>
      <c r="F92" s="750"/>
      <c r="G92" s="750"/>
    </row>
    <row r="93" spans="5:7">
      <c r="E93" s="750"/>
      <c r="F93" s="750"/>
      <c r="G93" s="750"/>
    </row>
    <row r="94" spans="5:7">
      <c r="E94" s="750"/>
      <c r="F94" s="750"/>
      <c r="G94" s="750"/>
    </row>
    <row r="95" spans="5:7">
      <c r="E95" s="750"/>
      <c r="F95" s="750"/>
      <c r="G95" s="750"/>
    </row>
    <row r="96" spans="5:7">
      <c r="E96" s="750"/>
      <c r="F96" s="750"/>
      <c r="G96" s="750"/>
    </row>
    <row r="97" spans="5:7">
      <c r="E97" s="750"/>
      <c r="F97" s="750"/>
      <c r="G97" s="750"/>
    </row>
    <row r="98" spans="5:7">
      <c r="E98" s="750"/>
      <c r="F98" s="750"/>
      <c r="G98" s="750"/>
    </row>
    <row r="99" spans="5:7">
      <c r="E99" s="750"/>
      <c r="F99" s="750"/>
      <c r="G99" s="750"/>
    </row>
    <row r="100" spans="5:7">
      <c r="E100" s="750"/>
      <c r="F100" s="750"/>
      <c r="G100" s="750"/>
    </row>
    <row r="101" spans="5:7">
      <c r="E101" s="750"/>
      <c r="F101" s="750"/>
      <c r="G101" s="750"/>
    </row>
    <row r="102" spans="5:7">
      <c r="E102" s="750"/>
      <c r="F102" s="750"/>
      <c r="G102" s="750"/>
    </row>
    <row r="103" spans="5:7">
      <c r="E103" s="750"/>
      <c r="F103" s="750"/>
      <c r="G103" s="750"/>
    </row>
    <row r="104" spans="5:7">
      <c r="E104" s="750"/>
      <c r="F104" s="750"/>
      <c r="G104" s="750"/>
    </row>
    <row r="105" spans="5:7">
      <c r="E105" s="750"/>
      <c r="F105" s="750"/>
      <c r="G105" s="750"/>
    </row>
    <row r="106" spans="5:7">
      <c r="E106" s="750"/>
      <c r="F106" s="750"/>
      <c r="G106" s="750"/>
    </row>
    <row r="107" spans="5:7">
      <c r="E107" s="750"/>
      <c r="F107" s="750"/>
      <c r="G107" s="750"/>
    </row>
    <row r="108" spans="5:7">
      <c r="E108" s="750"/>
      <c r="F108" s="750"/>
      <c r="G108" s="750"/>
    </row>
    <row r="109" spans="5:7">
      <c r="E109" s="750"/>
      <c r="F109" s="750"/>
      <c r="G109" s="750"/>
    </row>
    <row r="110" spans="5:7">
      <c r="E110" s="750"/>
      <c r="F110" s="750"/>
      <c r="G110" s="750"/>
    </row>
    <row r="111" spans="5:7">
      <c r="E111" s="750"/>
      <c r="F111" s="750"/>
      <c r="G111" s="750"/>
    </row>
    <row r="112" spans="5:7">
      <c r="E112" s="750"/>
      <c r="F112" s="750"/>
      <c r="G112" s="750"/>
    </row>
    <row r="113" spans="5:7">
      <c r="E113" s="750"/>
      <c r="F113" s="750"/>
      <c r="G113" s="750"/>
    </row>
    <row r="114" spans="5:7">
      <c r="E114" s="750"/>
      <c r="F114" s="750"/>
      <c r="G114" s="750"/>
    </row>
    <row r="115" spans="5:7">
      <c r="E115" s="750"/>
      <c r="F115" s="750"/>
      <c r="G115" s="750"/>
    </row>
    <row r="116" spans="5:7">
      <c r="E116" s="750"/>
      <c r="F116" s="750"/>
      <c r="G116" s="750"/>
    </row>
    <row r="117" spans="5:7">
      <c r="E117" s="750"/>
      <c r="F117" s="750"/>
      <c r="G117" s="750"/>
    </row>
    <row r="118" spans="5:7">
      <c r="E118" s="750"/>
      <c r="F118" s="750"/>
      <c r="G118" s="750"/>
    </row>
    <row r="119" spans="5:7">
      <c r="E119" s="750"/>
      <c r="F119" s="750"/>
      <c r="G119" s="750"/>
    </row>
    <row r="120" spans="5:7">
      <c r="E120" s="750"/>
      <c r="F120" s="750"/>
      <c r="G120" s="750"/>
    </row>
    <row r="121" spans="5:7">
      <c r="E121" s="750"/>
      <c r="F121" s="750"/>
      <c r="G121" s="750"/>
    </row>
    <row r="122" spans="5:7">
      <c r="E122" s="750"/>
      <c r="F122" s="750"/>
      <c r="G122" s="750"/>
    </row>
    <row r="123" spans="5:7">
      <c r="E123" s="750"/>
      <c r="F123" s="750"/>
      <c r="G123" s="750"/>
    </row>
    <row r="124" spans="5:7">
      <c r="E124" s="750"/>
      <c r="F124" s="750"/>
      <c r="G124" s="750"/>
    </row>
    <row r="125" spans="5:7">
      <c r="E125" s="750"/>
      <c r="F125" s="750"/>
      <c r="G125" s="750"/>
    </row>
    <row r="126" spans="5:7">
      <c r="E126" s="750"/>
      <c r="F126" s="750"/>
      <c r="G126" s="750"/>
    </row>
    <row r="127" spans="5:7">
      <c r="E127" s="750"/>
      <c r="F127" s="750"/>
      <c r="G127" s="750"/>
    </row>
    <row r="128" spans="5:7">
      <c r="E128" s="750"/>
      <c r="F128" s="750"/>
      <c r="G128" s="750"/>
    </row>
    <row r="129" spans="5:7">
      <c r="E129" s="750"/>
      <c r="F129" s="750"/>
      <c r="G129" s="750"/>
    </row>
    <row r="130" spans="5:7">
      <c r="E130" s="750"/>
      <c r="F130" s="750"/>
      <c r="G130" s="750"/>
    </row>
    <row r="131" spans="5:7">
      <c r="E131" s="750"/>
      <c r="F131" s="750"/>
      <c r="G131" s="750"/>
    </row>
    <row r="132" spans="5:7">
      <c r="E132" s="750"/>
      <c r="F132" s="750"/>
      <c r="G132" s="750"/>
    </row>
    <row r="133" spans="5:7">
      <c r="E133" s="750"/>
      <c r="F133" s="750"/>
      <c r="G133" s="750"/>
    </row>
    <row r="134" spans="5:7">
      <c r="E134" s="750"/>
      <c r="F134" s="750"/>
      <c r="G134" s="750"/>
    </row>
    <row r="135" spans="5:7">
      <c r="E135" s="750"/>
      <c r="F135" s="750"/>
      <c r="G135" s="750"/>
    </row>
    <row r="136" spans="5:7">
      <c r="E136" s="750"/>
      <c r="F136" s="750"/>
      <c r="G136" s="750"/>
    </row>
    <row r="137" spans="5:7">
      <c r="E137" s="750"/>
      <c r="F137" s="750"/>
      <c r="G137" s="750"/>
    </row>
    <row r="138" spans="5:7">
      <c r="E138" s="750"/>
      <c r="F138" s="750"/>
      <c r="G138" s="750"/>
    </row>
    <row r="139" spans="5:7">
      <c r="E139" s="750"/>
      <c r="F139" s="750"/>
      <c r="G139" s="750"/>
    </row>
    <row r="140" spans="5:7">
      <c r="E140" s="750"/>
      <c r="F140" s="750"/>
      <c r="G140" s="750"/>
    </row>
    <row r="141" spans="5:7">
      <c r="E141" s="750"/>
      <c r="F141" s="750"/>
      <c r="G141" s="750"/>
    </row>
    <row r="142" spans="5:7">
      <c r="E142" s="750"/>
      <c r="F142" s="750"/>
      <c r="G142" s="750"/>
    </row>
    <row r="143" spans="5:7">
      <c r="E143" s="750"/>
      <c r="F143" s="750"/>
      <c r="G143" s="750"/>
    </row>
    <row r="144" spans="5:7">
      <c r="E144" s="750"/>
      <c r="F144" s="750"/>
      <c r="G144" s="750"/>
    </row>
    <row r="145" spans="5:7">
      <c r="E145" s="750"/>
      <c r="F145" s="750"/>
      <c r="G145" s="750"/>
    </row>
    <row r="146" spans="5:7">
      <c r="E146" s="750"/>
      <c r="F146" s="750"/>
      <c r="G146" s="750"/>
    </row>
    <row r="147" spans="5:7">
      <c r="E147" s="750"/>
      <c r="F147" s="750"/>
      <c r="G147" s="750"/>
    </row>
    <row r="148" spans="5:7">
      <c r="E148" s="750"/>
      <c r="F148" s="750"/>
      <c r="G148" s="750"/>
    </row>
    <row r="149" spans="5:7">
      <c r="E149" s="750"/>
      <c r="F149" s="750"/>
      <c r="G149" s="750"/>
    </row>
    <row r="150" spans="5:7">
      <c r="E150" s="750"/>
      <c r="F150" s="750"/>
      <c r="G150" s="750"/>
    </row>
    <row r="151" spans="5:7">
      <c r="E151" s="750"/>
      <c r="F151" s="750"/>
      <c r="G151" s="750"/>
    </row>
    <row r="152" spans="5:7">
      <c r="E152" s="750"/>
      <c r="F152" s="750"/>
      <c r="G152" s="750"/>
    </row>
    <row r="153" spans="5:7">
      <c r="E153" s="750"/>
      <c r="F153" s="750"/>
      <c r="G153" s="750"/>
    </row>
    <row r="154" spans="5:7">
      <c r="E154" s="750"/>
      <c r="F154" s="750"/>
      <c r="G154" s="750"/>
    </row>
    <row r="155" spans="5:7">
      <c r="E155" s="750"/>
      <c r="F155" s="750"/>
      <c r="G155" s="750"/>
    </row>
    <row r="156" spans="5:7">
      <c r="E156" s="750"/>
      <c r="F156" s="750"/>
      <c r="G156" s="750"/>
    </row>
    <row r="157" spans="5:7">
      <c r="E157" s="750"/>
      <c r="F157" s="750"/>
      <c r="G157" s="750"/>
    </row>
    <row r="158" spans="5:7">
      <c r="E158" s="750"/>
      <c r="F158" s="750"/>
      <c r="G158" s="750"/>
    </row>
    <row r="159" spans="5:7">
      <c r="E159" s="750"/>
      <c r="F159" s="750"/>
      <c r="G159" s="750"/>
    </row>
    <row r="160" spans="5:7">
      <c r="E160" s="750"/>
      <c r="F160" s="750"/>
      <c r="G160" s="750"/>
    </row>
    <row r="161" spans="5:7">
      <c r="E161" s="750"/>
      <c r="F161" s="750"/>
      <c r="G161" s="750"/>
    </row>
    <row r="162" spans="5:7">
      <c r="E162" s="750"/>
      <c r="F162" s="750"/>
      <c r="G162" s="750"/>
    </row>
    <row r="163" spans="5:7">
      <c r="E163" s="750"/>
      <c r="F163" s="750"/>
      <c r="G163" s="750"/>
    </row>
    <row r="164" spans="5:7">
      <c r="E164" s="750"/>
      <c r="F164" s="750"/>
      <c r="G164" s="750"/>
    </row>
    <row r="165" spans="5:7">
      <c r="E165" s="750"/>
      <c r="F165" s="750"/>
      <c r="G165" s="750"/>
    </row>
    <row r="166" spans="5:7">
      <c r="E166" s="750"/>
      <c r="F166" s="750"/>
      <c r="G166" s="750"/>
    </row>
    <row r="167" spans="5:7">
      <c r="E167" s="750"/>
      <c r="F167" s="750"/>
      <c r="G167" s="750"/>
    </row>
    <row r="168" spans="5:7">
      <c r="E168" s="750"/>
      <c r="F168" s="750"/>
      <c r="G168" s="750"/>
    </row>
    <row r="169" spans="5:7">
      <c r="E169" s="750"/>
      <c r="F169" s="750"/>
      <c r="G169" s="750"/>
    </row>
    <row r="170" spans="5:7">
      <c r="E170" s="750"/>
      <c r="F170" s="750"/>
      <c r="G170" s="750"/>
    </row>
    <row r="171" spans="5:7">
      <c r="E171" s="750"/>
      <c r="F171" s="750"/>
      <c r="G171" s="750"/>
    </row>
    <row r="172" spans="5:7">
      <c r="E172" s="750"/>
      <c r="F172" s="750"/>
      <c r="G172" s="750"/>
    </row>
    <row r="173" spans="5:7">
      <c r="E173" s="750"/>
      <c r="F173" s="750"/>
      <c r="G173" s="750"/>
    </row>
    <row r="174" spans="5:7">
      <c r="E174" s="750"/>
      <c r="F174" s="750"/>
      <c r="G174" s="750"/>
    </row>
    <row r="175" spans="5:7">
      <c r="E175" s="750"/>
      <c r="F175" s="750"/>
      <c r="G175" s="750"/>
    </row>
    <row r="176" spans="5:7">
      <c r="E176" s="750"/>
      <c r="F176" s="750"/>
      <c r="G176" s="750"/>
    </row>
    <row r="177" spans="5:7">
      <c r="E177" s="750"/>
      <c r="F177" s="750"/>
      <c r="G177" s="750"/>
    </row>
    <row r="178" spans="5:7">
      <c r="E178" s="750"/>
      <c r="F178" s="750"/>
      <c r="G178" s="750"/>
    </row>
    <row r="179" spans="5:7">
      <c r="E179" s="750"/>
      <c r="F179" s="750"/>
      <c r="G179" s="750"/>
    </row>
    <row r="180" spans="5:7">
      <c r="E180" s="750"/>
      <c r="F180" s="750"/>
      <c r="G180" s="750"/>
    </row>
    <row r="181" spans="5:7">
      <c r="E181" s="750"/>
      <c r="F181" s="750"/>
      <c r="G181" s="750"/>
    </row>
    <row r="182" spans="5:7">
      <c r="E182" s="750"/>
      <c r="F182" s="750"/>
      <c r="G182" s="750"/>
    </row>
    <row r="183" spans="5:7">
      <c r="E183" s="750"/>
      <c r="F183" s="750"/>
      <c r="G183" s="750"/>
    </row>
    <row r="184" spans="5:7">
      <c r="E184" s="750"/>
      <c r="F184" s="750"/>
      <c r="G184" s="750"/>
    </row>
    <row r="185" spans="5:7">
      <c r="E185" s="750"/>
      <c r="F185" s="750"/>
      <c r="G185" s="750"/>
    </row>
    <row r="186" spans="5:7">
      <c r="E186" s="750"/>
      <c r="F186" s="750"/>
      <c r="G186" s="750"/>
    </row>
    <row r="187" spans="5:7">
      <c r="E187" s="750"/>
      <c r="F187" s="750"/>
      <c r="G187" s="750"/>
    </row>
    <row r="188" spans="5:7">
      <c r="E188" s="750"/>
      <c r="F188" s="750"/>
      <c r="G188" s="750"/>
    </row>
    <row r="189" spans="5:7">
      <c r="E189" s="750"/>
      <c r="F189" s="750"/>
      <c r="G189" s="750"/>
    </row>
    <row r="190" spans="5:7">
      <c r="E190" s="750"/>
      <c r="F190" s="750"/>
      <c r="G190" s="750"/>
    </row>
    <row r="191" spans="5:7">
      <c r="E191" s="750"/>
      <c r="F191" s="750"/>
      <c r="G191" s="750"/>
    </row>
    <row r="192" spans="5:7">
      <c r="E192" s="750"/>
      <c r="F192" s="750"/>
      <c r="G192" s="750"/>
    </row>
    <row r="193" spans="5:7">
      <c r="E193" s="750"/>
      <c r="F193" s="750"/>
      <c r="G193" s="750"/>
    </row>
    <row r="194" spans="5:7">
      <c r="E194" s="750"/>
      <c r="F194" s="750"/>
      <c r="G194" s="750"/>
    </row>
    <row r="195" spans="5:7">
      <c r="E195" s="750"/>
      <c r="F195" s="750"/>
      <c r="G195" s="750"/>
    </row>
    <row r="196" spans="5:7">
      <c r="E196" s="750"/>
      <c r="F196" s="750"/>
      <c r="G196" s="750"/>
    </row>
    <row r="197" spans="5:7">
      <c r="E197" s="750"/>
      <c r="F197" s="750"/>
      <c r="G197" s="750"/>
    </row>
    <row r="198" spans="5:7">
      <c r="E198" s="750"/>
      <c r="F198" s="750"/>
      <c r="G198" s="750"/>
    </row>
    <row r="199" spans="5:7">
      <c r="E199" s="750"/>
      <c r="F199" s="750"/>
      <c r="G199" s="750"/>
    </row>
    <row r="200" spans="5:7">
      <c r="E200" s="750"/>
      <c r="F200" s="750"/>
      <c r="G200" s="750"/>
    </row>
    <row r="201" spans="5:7">
      <c r="E201" s="750"/>
      <c r="F201" s="750"/>
      <c r="G201" s="750"/>
    </row>
    <row r="202" spans="5:7">
      <c r="E202" s="750"/>
      <c r="F202" s="750"/>
      <c r="G202" s="750"/>
    </row>
    <row r="203" spans="5:7">
      <c r="E203" s="750"/>
      <c r="F203" s="750"/>
      <c r="G203" s="750"/>
    </row>
    <row r="204" spans="5:7">
      <c r="E204" s="750"/>
      <c r="F204" s="750"/>
      <c r="G204" s="750"/>
    </row>
    <row r="205" spans="5:7">
      <c r="E205" s="750"/>
      <c r="F205" s="750"/>
      <c r="G205" s="750"/>
    </row>
    <row r="206" spans="5:7">
      <c r="E206" s="750"/>
      <c r="F206" s="750"/>
      <c r="G206" s="750"/>
    </row>
    <row r="207" spans="5:7">
      <c r="E207" s="750"/>
      <c r="F207" s="750"/>
      <c r="G207" s="750"/>
    </row>
    <row r="208" spans="5:7">
      <c r="E208" s="750"/>
      <c r="F208" s="750"/>
      <c r="G208" s="750"/>
    </row>
    <row r="209" spans="5:7">
      <c r="E209" s="750"/>
      <c r="F209" s="750"/>
      <c r="G209" s="750"/>
    </row>
    <row r="210" spans="5:7">
      <c r="E210" s="750"/>
      <c r="F210" s="750"/>
      <c r="G210" s="750"/>
    </row>
    <row r="211" spans="5:7">
      <c r="E211" s="750"/>
      <c r="F211" s="750"/>
      <c r="G211" s="750"/>
    </row>
    <row r="212" spans="5:7">
      <c r="E212" s="750"/>
      <c r="F212" s="750"/>
      <c r="G212" s="750"/>
    </row>
    <row r="213" spans="5:7">
      <c r="E213" s="750"/>
      <c r="F213" s="750"/>
      <c r="G213" s="750"/>
    </row>
    <row r="214" spans="5:7">
      <c r="E214" s="750"/>
      <c r="F214" s="750"/>
      <c r="G214" s="750"/>
    </row>
    <row r="215" spans="5:7">
      <c r="E215" s="750"/>
      <c r="F215" s="750"/>
      <c r="G215" s="750"/>
    </row>
    <row r="216" spans="5:7">
      <c r="E216" s="750"/>
      <c r="F216" s="750"/>
      <c r="G216" s="750"/>
    </row>
    <row r="217" spans="5:7">
      <c r="E217" s="750"/>
      <c r="F217" s="750"/>
      <c r="G217" s="750"/>
    </row>
    <row r="218" spans="5:7">
      <c r="E218" s="750"/>
      <c r="F218" s="750"/>
      <c r="G218" s="750"/>
    </row>
    <row r="219" spans="5:7">
      <c r="E219" s="750"/>
      <c r="F219" s="750"/>
      <c r="G219" s="750"/>
    </row>
    <row r="220" spans="5:7">
      <c r="E220" s="750"/>
      <c r="F220" s="750"/>
      <c r="G220" s="750"/>
    </row>
    <row r="221" spans="5:7">
      <c r="E221" s="750"/>
      <c r="F221" s="750"/>
      <c r="G221" s="750"/>
    </row>
    <row r="222" spans="5:7">
      <c r="E222" s="750"/>
      <c r="F222" s="750"/>
      <c r="G222" s="750"/>
    </row>
    <row r="223" spans="5:7">
      <c r="E223" s="750"/>
      <c r="F223" s="750"/>
      <c r="G223" s="750"/>
    </row>
    <row r="224" spans="5:7">
      <c r="E224" s="750"/>
      <c r="F224" s="750"/>
      <c r="G224" s="750"/>
    </row>
    <row r="225" spans="5:7">
      <c r="E225" s="750"/>
      <c r="F225" s="750"/>
      <c r="G225" s="750"/>
    </row>
    <row r="226" spans="5:7">
      <c r="E226" s="750"/>
      <c r="F226" s="750"/>
      <c r="G226" s="750"/>
    </row>
    <row r="227" spans="5:7">
      <c r="E227" s="750"/>
      <c r="F227" s="750"/>
      <c r="G227" s="750"/>
    </row>
    <row r="228" spans="5:7">
      <c r="E228" s="750"/>
      <c r="F228" s="750"/>
      <c r="G228" s="750"/>
    </row>
    <row r="229" spans="5:7">
      <c r="E229" s="750"/>
      <c r="F229" s="750"/>
      <c r="G229" s="750"/>
    </row>
    <row r="230" spans="5:7">
      <c r="E230" s="750"/>
      <c r="F230" s="750"/>
      <c r="G230" s="750"/>
    </row>
    <row r="231" spans="5:7">
      <c r="E231" s="750"/>
      <c r="F231" s="750"/>
      <c r="G231" s="750"/>
    </row>
    <row r="232" spans="5:7">
      <c r="E232" s="750"/>
      <c r="F232" s="750"/>
      <c r="G232" s="750"/>
    </row>
    <row r="233" spans="5:7">
      <c r="E233" s="750"/>
      <c r="F233" s="750"/>
      <c r="G233" s="750"/>
    </row>
    <row r="234" spans="5:7">
      <c r="E234" s="750"/>
      <c r="F234" s="750"/>
      <c r="G234" s="750"/>
    </row>
    <row r="235" spans="5:7">
      <c r="E235" s="750"/>
      <c r="F235" s="750"/>
      <c r="G235" s="750"/>
    </row>
    <row r="236" spans="5:7">
      <c r="E236" s="750"/>
      <c r="F236" s="750"/>
      <c r="G236" s="750"/>
    </row>
    <row r="237" spans="5:7">
      <c r="E237" s="750"/>
      <c r="F237" s="750"/>
      <c r="G237" s="750"/>
    </row>
    <row r="238" spans="5:7">
      <c r="E238" s="750"/>
      <c r="F238" s="750"/>
      <c r="G238" s="750"/>
    </row>
    <row r="239" spans="5:7">
      <c r="E239" s="750"/>
      <c r="F239" s="750"/>
      <c r="G239" s="750"/>
    </row>
    <row r="240" spans="5:7">
      <c r="E240" s="750"/>
      <c r="F240" s="750"/>
      <c r="G240" s="750"/>
    </row>
    <row r="241" spans="5:7">
      <c r="E241" s="750"/>
      <c r="F241" s="750"/>
      <c r="G241" s="750"/>
    </row>
    <row r="242" spans="5:7">
      <c r="E242" s="750"/>
      <c r="F242" s="750"/>
      <c r="G242" s="750"/>
    </row>
    <row r="243" spans="5:7">
      <c r="E243" s="750"/>
      <c r="F243" s="750"/>
      <c r="G243" s="750"/>
    </row>
    <row r="244" spans="5:7">
      <c r="E244" s="750"/>
      <c r="F244" s="750"/>
      <c r="G244" s="750"/>
    </row>
    <row r="245" spans="5:7">
      <c r="E245" s="750"/>
      <c r="F245" s="750"/>
      <c r="G245" s="750"/>
    </row>
    <row r="246" spans="5:7">
      <c r="E246" s="750"/>
      <c r="F246" s="750"/>
      <c r="G246" s="750"/>
    </row>
    <row r="247" spans="5:7">
      <c r="E247" s="750"/>
      <c r="F247" s="750"/>
      <c r="G247" s="750"/>
    </row>
    <row r="248" spans="5:7">
      <c r="E248" s="750"/>
      <c r="F248" s="750"/>
      <c r="G248" s="750"/>
    </row>
    <row r="249" spans="5:7">
      <c r="E249" s="750"/>
      <c r="F249" s="750"/>
      <c r="G249" s="750"/>
    </row>
    <row r="250" spans="5:7">
      <c r="E250" s="750"/>
      <c r="F250" s="750"/>
      <c r="G250" s="750"/>
    </row>
    <row r="251" spans="5:7">
      <c r="E251" s="750"/>
      <c r="F251" s="750"/>
      <c r="G251" s="750"/>
    </row>
    <row r="252" spans="5:7">
      <c r="E252" s="750"/>
      <c r="F252" s="750"/>
      <c r="G252" s="750"/>
    </row>
    <row r="253" spans="5:7">
      <c r="E253" s="750"/>
      <c r="F253" s="750"/>
      <c r="G253" s="750"/>
    </row>
    <row r="254" spans="5:7">
      <c r="E254" s="750"/>
      <c r="F254" s="750"/>
      <c r="G254" s="750"/>
    </row>
    <row r="255" spans="5:7">
      <c r="E255" s="750"/>
      <c r="F255" s="750"/>
      <c r="G255" s="750"/>
    </row>
    <row r="256" spans="5:7">
      <c r="E256" s="750"/>
      <c r="F256" s="750"/>
      <c r="G256" s="750"/>
    </row>
    <row r="257" spans="5:7">
      <c r="E257" s="750"/>
      <c r="F257" s="750"/>
      <c r="G257" s="750"/>
    </row>
    <row r="258" spans="5:7">
      <c r="E258" s="750"/>
      <c r="F258" s="750"/>
      <c r="G258" s="750"/>
    </row>
    <row r="259" spans="5:7">
      <c r="E259" s="750"/>
      <c r="F259" s="750"/>
      <c r="G259" s="750"/>
    </row>
    <row r="260" spans="5:7">
      <c r="E260" s="750"/>
      <c r="F260" s="750"/>
      <c r="G260" s="750"/>
    </row>
    <row r="261" spans="5:7">
      <c r="E261" s="750"/>
      <c r="F261" s="750"/>
      <c r="G261" s="750"/>
    </row>
    <row r="262" spans="5:7">
      <c r="E262" s="750"/>
      <c r="F262" s="750"/>
      <c r="G262" s="750"/>
    </row>
    <row r="263" spans="5:7">
      <c r="E263" s="750"/>
      <c r="F263" s="750"/>
      <c r="G263" s="750"/>
    </row>
    <row r="264" spans="5:7">
      <c r="E264" s="750"/>
      <c r="F264" s="750"/>
      <c r="G264" s="750"/>
    </row>
    <row r="265" spans="5:7">
      <c r="E265" s="750"/>
      <c r="F265" s="750"/>
      <c r="G265" s="750"/>
    </row>
    <row r="266" spans="5:7">
      <c r="E266" s="750"/>
      <c r="F266" s="750"/>
      <c r="G266" s="750"/>
    </row>
    <row r="267" spans="5:7">
      <c r="E267" s="750"/>
      <c r="F267" s="750"/>
      <c r="G267" s="750"/>
    </row>
    <row r="268" spans="5:7">
      <c r="E268" s="750"/>
      <c r="F268" s="750"/>
      <c r="G268" s="750"/>
    </row>
    <row r="269" spans="5:7">
      <c r="E269" s="750"/>
      <c r="F269" s="750"/>
      <c r="G269" s="750"/>
    </row>
    <row r="270" spans="5:7">
      <c r="E270" s="750"/>
      <c r="F270" s="750"/>
      <c r="G270" s="750"/>
    </row>
    <row r="271" spans="5:7">
      <c r="E271" s="750"/>
      <c r="F271" s="750"/>
      <c r="G271" s="750"/>
    </row>
    <row r="272" spans="5:7">
      <c r="E272" s="750"/>
      <c r="F272" s="750"/>
      <c r="G272" s="750"/>
    </row>
    <row r="273" spans="5:7">
      <c r="E273" s="750"/>
      <c r="F273" s="750"/>
      <c r="G273" s="750"/>
    </row>
    <row r="274" spans="5:7">
      <c r="E274" s="750"/>
      <c r="F274" s="750"/>
      <c r="G274" s="750"/>
    </row>
    <row r="275" spans="5:7">
      <c r="E275" s="750"/>
      <c r="F275" s="750"/>
      <c r="G275" s="750"/>
    </row>
    <row r="276" spans="5:7">
      <c r="E276" s="750"/>
      <c r="F276" s="750"/>
      <c r="G276" s="750"/>
    </row>
    <row r="277" spans="5:7">
      <c r="E277" s="750"/>
      <c r="F277" s="750"/>
      <c r="G277" s="750"/>
    </row>
    <row r="278" spans="5:7">
      <c r="E278" s="750"/>
      <c r="F278" s="750"/>
      <c r="G278" s="750"/>
    </row>
    <row r="279" spans="5:7">
      <c r="E279" s="750"/>
      <c r="F279" s="750"/>
      <c r="G279" s="750"/>
    </row>
    <row r="280" spans="5:7">
      <c r="E280" s="750"/>
      <c r="F280" s="750"/>
      <c r="G280" s="750"/>
    </row>
    <row r="281" spans="5:7">
      <c r="E281" s="750"/>
      <c r="F281" s="750"/>
      <c r="G281" s="750"/>
    </row>
    <row r="282" spans="5:7">
      <c r="E282" s="750"/>
      <c r="F282" s="750"/>
      <c r="G282" s="750"/>
    </row>
    <row r="283" spans="5:7">
      <c r="E283" s="750"/>
      <c r="F283" s="750"/>
      <c r="G283" s="750"/>
    </row>
    <row r="284" spans="5:7">
      <c r="E284" s="750"/>
      <c r="F284" s="750"/>
      <c r="G284" s="750"/>
    </row>
    <row r="285" spans="5:7">
      <c r="E285" s="750"/>
      <c r="F285" s="750"/>
      <c r="G285" s="750"/>
    </row>
    <row r="286" spans="5:7">
      <c r="E286" s="750"/>
      <c r="F286" s="750"/>
      <c r="G286" s="750"/>
    </row>
    <row r="287" spans="5:7">
      <c r="E287" s="750"/>
      <c r="F287" s="750"/>
      <c r="G287" s="750"/>
    </row>
    <row r="288" spans="5:7">
      <c r="E288" s="750"/>
      <c r="F288" s="750"/>
      <c r="G288" s="750"/>
    </row>
    <row r="289" spans="5:7">
      <c r="E289" s="750"/>
      <c r="F289" s="750"/>
      <c r="G289" s="750"/>
    </row>
    <row r="290" spans="5:7">
      <c r="E290" s="750"/>
      <c r="F290" s="750"/>
      <c r="G290" s="750"/>
    </row>
    <row r="291" spans="5:7">
      <c r="E291" s="750"/>
      <c r="F291" s="750"/>
      <c r="G291" s="750"/>
    </row>
    <row r="292" spans="5:7">
      <c r="E292" s="750"/>
      <c r="F292" s="750"/>
      <c r="G292" s="750"/>
    </row>
    <row r="293" spans="5:7">
      <c r="E293" s="750"/>
      <c r="F293" s="750"/>
      <c r="G293" s="750"/>
    </row>
    <row r="294" spans="5:7">
      <c r="E294" s="750"/>
      <c r="F294" s="750"/>
      <c r="G294" s="750"/>
    </row>
    <row r="295" spans="5:7">
      <c r="E295" s="750"/>
      <c r="F295" s="750"/>
      <c r="G295" s="750"/>
    </row>
    <row r="296" spans="5:7">
      <c r="E296" s="750"/>
      <c r="F296" s="750"/>
      <c r="G296" s="750"/>
    </row>
    <row r="297" spans="5:7">
      <c r="E297" s="750"/>
      <c r="F297" s="750"/>
      <c r="G297" s="750"/>
    </row>
    <row r="298" spans="5:7">
      <c r="E298" s="750"/>
      <c r="F298" s="750"/>
      <c r="G298" s="750"/>
    </row>
    <row r="299" spans="5:7">
      <c r="E299" s="750"/>
      <c r="F299" s="750"/>
      <c r="G299" s="750"/>
    </row>
    <row r="300" spans="5:7">
      <c r="E300" s="750"/>
      <c r="F300" s="750"/>
      <c r="G300" s="750"/>
    </row>
    <row r="301" spans="5:7">
      <c r="E301" s="750"/>
      <c r="F301" s="750"/>
      <c r="G301" s="750"/>
    </row>
    <row r="302" spans="5:7">
      <c r="E302" s="750"/>
      <c r="F302" s="750"/>
      <c r="G302" s="750"/>
    </row>
    <row r="303" spans="5:7">
      <c r="E303" s="750"/>
      <c r="F303" s="750"/>
      <c r="G303" s="750"/>
    </row>
    <row r="304" spans="5:7">
      <c r="E304" s="750"/>
      <c r="F304" s="750"/>
      <c r="G304" s="750"/>
    </row>
    <row r="305" spans="5:7">
      <c r="E305" s="750"/>
      <c r="F305" s="750"/>
      <c r="G305" s="750"/>
    </row>
    <row r="306" spans="5:7">
      <c r="E306" s="750"/>
      <c r="F306" s="750"/>
      <c r="G306" s="750"/>
    </row>
    <row r="307" spans="5:7">
      <c r="E307" s="750"/>
      <c r="F307" s="750"/>
      <c r="G307" s="750"/>
    </row>
    <row r="308" spans="5:7">
      <c r="E308" s="750"/>
      <c r="F308" s="750"/>
      <c r="G308" s="750"/>
    </row>
    <row r="309" spans="5:7">
      <c r="E309" s="750"/>
      <c r="F309" s="750"/>
      <c r="G309" s="750"/>
    </row>
    <row r="310" spans="5:7">
      <c r="E310" s="750"/>
      <c r="F310" s="750"/>
      <c r="G310" s="750"/>
    </row>
    <row r="311" spans="5:7">
      <c r="E311" s="750"/>
      <c r="F311" s="750"/>
      <c r="G311" s="750"/>
    </row>
    <row r="312" spans="5:7">
      <c r="E312" s="750"/>
      <c r="F312" s="750"/>
      <c r="G312" s="750"/>
    </row>
    <row r="313" spans="5:7">
      <c r="E313" s="750"/>
      <c r="F313" s="750"/>
      <c r="G313" s="750"/>
    </row>
    <row r="314" spans="5:7">
      <c r="E314" s="750"/>
      <c r="F314" s="750"/>
      <c r="G314" s="750"/>
    </row>
    <row r="315" spans="5:7">
      <c r="E315" s="750"/>
      <c r="F315" s="750"/>
      <c r="G315" s="750"/>
    </row>
    <row r="316" spans="5:7">
      <c r="E316" s="750"/>
      <c r="F316" s="750"/>
      <c r="G316" s="750"/>
    </row>
    <row r="317" spans="5:7">
      <c r="E317" s="750"/>
      <c r="F317" s="750"/>
      <c r="G317" s="750"/>
    </row>
    <row r="318" spans="5:7">
      <c r="E318" s="750"/>
      <c r="F318" s="750"/>
      <c r="G318" s="750"/>
    </row>
    <row r="319" spans="5:7">
      <c r="E319" s="750"/>
      <c r="F319" s="750"/>
      <c r="G319" s="750"/>
    </row>
    <row r="320" spans="5:7">
      <c r="E320" s="750"/>
      <c r="F320" s="750"/>
      <c r="G320" s="750"/>
    </row>
    <row r="321" spans="5:7">
      <c r="E321" s="750"/>
      <c r="F321" s="750"/>
      <c r="G321" s="750"/>
    </row>
    <row r="322" spans="5:7">
      <c r="E322" s="750"/>
      <c r="F322" s="750"/>
      <c r="G322" s="750"/>
    </row>
    <row r="323" spans="5:7">
      <c r="E323" s="750"/>
      <c r="F323" s="750"/>
      <c r="G323" s="750"/>
    </row>
    <row r="324" spans="5:7">
      <c r="E324" s="750"/>
      <c r="F324" s="750"/>
      <c r="G324" s="750"/>
    </row>
    <row r="325" spans="5:7">
      <c r="E325" s="750"/>
      <c r="F325" s="750"/>
      <c r="G325" s="750"/>
    </row>
    <row r="326" spans="5:7">
      <c r="E326" s="750"/>
      <c r="F326" s="750"/>
      <c r="G326" s="750"/>
    </row>
    <row r="327" spans="5:7">
      <c r="E327" s="750"/>
      <c r="F327" s="750"/>
      <c r="G327" s="750"/>
    </row>
    <row r="328" spans="5:7">
      <c r="E328" s="750"/>
      <c r="F328" s="750"/>
      <c r="G328" s="750"/>
    </row>
    <row r="329" spans="5:7">
      <c r="E329" s="750"/>
      <c r="F329" s="750"/>
      <c r="G329" s="750"/>
    </row>
    <row r="330" spans="5:7">
      <c r="E330" s="750"/>
      <c r="F330" s="750"/>
      <c r="G330" s="750"/>
    </row>
    <row r="331" spans="5:7">
      <c r="E331" s="750"/>
      <c r="F331" s="750"/>
      <c r="G331" s="750"/>
    </row>
    <row r="332" spans="5:7">
      <c r="E332" s="750"/>
      <c r="F332" s="750"/>
      <c r="G332" s="750"/>
    </row>
    <row r="333" spans="5:7">
      <c r="E333" s="750"/>
      <c r="F333" s="750"/>
      <c r="G333" s="750"/>
    </row>
    <row r="334" spans="5:7">
      <c r="E334" s="750"/>
      <c r="F334" s="750"/>
      <c r="G334" s="750"/>
    </row>
    <row r="335" spans="5:7">
      <c r="E335" s="750"/>
      <c r="F335" s="750"/>
      <c r="G335" s="750"/>
    </row>
    <row r="336" spans="5:7">
      <c r="E336" s="750"/>
      <c r="F336" s="750"/>
      <c r="G336" s="750"/>
    </row>
    <row r="337" spans="5:7">
      <c r="E337" s="750"/>
      <c r="F337" s="750"/>
      <c r="G337" s="750"/>
    </row>
    <row r="338" spans="5:7">
      <c r="E338" s="750"/>
      <c r="F338" s="750"/>
      <c r="G338" s="750"/>
    </row>
    <row r="339" spans="5:7">
      <c r="E339" s="750"/>
      <c r="F339" s="750"/>
      <c r="G339" s="750"/>
    </row>
    <row r="340" spans="5:7">
      <c r="E340" s="750"/>
      <c r="F340" s="750"/>
      <c r="G340" s="750"/>
    </row>
    <row r="341" spans="5:7">
      <c r="E341" s="750"/>
      <c r="F341" s="750"/>
      <c r="G341" s="750"/>
    </row>
    <row r="342" spans="5:7">
      <c r="E342" s="750"/>
      <c r="F342" s="750"/>
      <c r="G342" s="750"/>
    </row>
    <row r="343" spans="5:7">
      <c r="E343" s="750"/>
      <c r="F343" s="750"/>
      <c r="G343" s="750"/>
    </row>
    <row r="344" spans="5:7">
      <c r="E344" s="750"/>
      <c r="F344" s="750"/>
      <c r="G344" s="750"/>
    </row>
    <row r="345" spans="5:7">
      <c r="E345" s="750"/>
      <c r="F345" s="750"/>
      <c r="G345" s="750"/>
    </row>
    <row r="346" spans="5:7">
      <c r="E346" s="750"/>
      <c r="F346" s="750"/>
      <c r="G346" s="750"/>
    </row>
    <row r="347" spans="5:7">
      <c r="E347" s="750"/>
      <c r="F347" s="750"/>
      <c r="G347" s="750"/>
    </row>
    <row r="348" spans="5:7">
      <c r="E348" s="750"/>
      <c r="F348" s="750"/>
      <c r="G348" s="750"/>
    </row>
    <row r="349" spans="5:7">
      <c r="E349" s="750"/>
      <c r="F349" s="750"/>
      <c r="G349" s="750"/>
    </row>
    <row r="350" spans="5:7">
      <c r="E350" s="750"/>
      <c r="F350" s="750"/>
      <c r="G350" s="750"/>
    </row>
    <row r="351" spans="5:7">
      <c r="E351" s="750"/>
      <c r="F351" s="750"/>
      <c r="G351" s="750"/>
    </row>
    <row r="352" spans="5:7">
      <c r="E352" s="750"/>
      <c r="F352" s="750"/>
      <c r="G352" s="750"/>
    </row>
    <row r="353" spans="5:7">
      <c r="E353" s="750"/>
      <c r="F353" s="750"/>
      <c r="G353" s="750"/>
    </row>
    <row r="354" spans="5:7">
      <c r="E354" s="750"/>
      <c r="F354" s="750"/>
      <c r="G354" s="750"/>
    </row>
    <row r="355" spans="5:7">
      <c r="E355" s="750"/>
      <c r="F355" s="750"/>
      <c r="G355" s="750"/>
    </row>
    <row r="356" spans="5:7">
      <c r="E356" s="750"/>
      <c r="F356" s="750"/>
      <c r="G356" s="750"/>
    </row>
    <row r="357" spans="5:7">
      <c r="E357" s="750"/>
      <c r="F357" s="750"/>
      <c r="G357" s="750"/>
    </row>
    <row r="358" spans="5:7">
      <c r="E358" s="750"/>
      <c r="F358" s="750"/>
      <c r="G358" s="750"/>
    </row>
    <row r="359" spans="5:7">
      <c r="E359" s="750"/>
      <c r="F359" s="750"/>
      <c r="G359" s="750"/>
    </row>
    <row r="360" spans="5:7">
      <c r="E360" s="750"/>
      <c r="F360" s="750"/>
      <c r="G360" s="750"/>
    </row>
    <row r="361" spans="5:7">
      <c r="E361" s="750"/>
      <c r="F361" s="750"/>
      <c r="G361" s="750"/>
    </row>
    <row r="362" spans="5:7">
      <c r="E362" s="750"/>
      <c r="F362" s="750"/>
      <c r="G362" s="750"/>
    </row>
    <row r="363" spans="5:7">
      <c r="E363" s="750"/>
      <c r="F363" s="750"/>
      <c r="G363" s="750"/>
    </row>
    <row r="364" spans="5:7">
      <c r="E364" s="750"/>
      <c r="F364" s="750"/>
      <c r="G364" s="750"/>
    </row>
    <row r="365" spans="5:7">
      <c r="E365" s="750"/>
      <c r="F365" s="750"/>
      <c r="G365" s="750"/>
    </row>
    <row r="366" spans="5:7">
      <c r="E366" s="750"/>
      <c r="F366" s="750"/>
      <c r="G366" s="750"/>
    </row>
    <row r="367" spans="5:7">
      <c r="E367" s="750"/>
      <c r="F367" s="750"/>
      <c r="G367" s="750"/>
    </row>
    <row r="368" spans="5:7">
      <c r="E368" s="750"/>
      <c r="F368" s="750"/>
      <c r="G368" s="750"/>
    </row>
    <row r="369" spans="5:7">
      <c r="E369" s="750"/>
      <c r="F369" s="750"/>
      <c r="G369" s="750"/>
    </row>
    <row r="370" spans="5:7">
      <c r="E370" s="750"/>
      <c r="F370" s="750"/>
      <c r="G370" s="750"/>
    </row>
    <row r="371" spans="5:7">
      <c r="E371" s="750"/>
      <c r="F371" s="750"/>
      <c r="G371" s="750"/>
    </row>
    <row r="372" spans="5:7">
      <c r="E372" s="750"/>
      <c r="F372" s="750"/>
      <c r="G372" s="750"/>
    </row>
    <row r="373" spans="5:7">
      <c r="E373" s="750"/>
      <c r="F373" s="750"/>
      <c r="G373" s="750"/>
    </row>
    <row r="374" spans="5:7">
      <c r="E374" s="750"/>
      <c r="F374" s="750"/>
      <c r="G374" s="750"/>
    </row>
    <row r="375" spans="5:7">
      <c r="E375" s="750"/>
      <c r="F375" s="750"/>
      <c r="G375" s="750"/>
    </row>
    <row r="376" spans="5:7">
      <c r="E376" s="750"/>
      <c r="F376" s="750"/>
      <c r="G376" s="750"/>
    </row>
    <row r="377" spans="5:7">
      <c r="E377" s="750"/>
      <c r="F377" s="750"/>
      <c r="G377" s="750"/>
    </row>
    <row r="378" spans="5:7">
      <c r="E378" s="750"/>
      <c r="F378" s="750"/>
      <c r="G378" s="750"/>
    </row>
    <row r="379" spans="5:7">
      <c r="E379" s="750"/>
      <c r="F379" s="750"/>
      <c r="G379" s="750"/>
    </row>
    <row r="380" spans="5:7">
      <c r="E380" s="750"/>
      <c r="F380" s="750"/>
      <c r="G380" s="750"/>
    </row>
    <row r="381" spans="5:7">
      <c r="E381" s="750"/>
      <c r="F381" s="750"/>
      <c r="G381" s="750"/>
    </row>
    <row r="382" spans="5:7">
      <c r="E382" s="750"/>
      <c r="F382" s="750"/>
      <c r="G382" s="750"/>
    </row>
    <row r="383" spans="5:7">
      <c r="E383" s="750"/>
      <c r="F383" s="750"/>
      <c r="G383" s="750"/>
    </row>
    <row r="384" spans="5:7">
      <c r="E384" s="750"/>
      <c r="F384" s="750"/>
      <c r="G384" s="750"/>
    </row>
    <row r="385" spans="5:7">
      <c r="E385" s="750"/>
      <c r="F385" s="750"/>
      <c r="G385" s="750"/>
    </row>
    <row r="386" spans="5:7">
      <c r="E386" s="750"/>
      <c r="F386" s="750"/>
      <c r="G386" s="750"/>
    </row>
    <row r="387" spans="5:7">
      <c r="E387" s="750"/>
      <c r="F387" s="750"/>
      <c r="G387" s="750"/>
    </row>
    <row r="388" spans="5:7">
      <c r="E388" s="750"/>
      <c r="F388" s="750"/>
      <c r="G388" s="750"/>
    </row>
    <row r="389" spans="5:7">
      <c r="E389" s="750"/>
      <c r="F389" s="750"/>
      <c r="G389" s="750"/>
    </row>
    <row r="390" spans="5:7">
      <c r="E390" s="750"/>
      <c r="F390" s="750"/>
      <c r="G390" s="750"/>
    </row>
    <row r="391" spans="5:7">
      <c r="E391" s="750"/>
      <c r="F391" s="750"/>
      <c r="G391" s="750"/>
    </row>
    <row r="392" spans="5:7">
      <c r="E392" s="750"/>
      <c r="F392" s="750"/>
      <c r="G392" s="750"/>
    </row>
    <row r="393" spans="5:7">
      <c r="E393" s="750"/>
      <c r="F393" s="750"/>
      <c r="G393" s="750"/>
    </row>
    <row r="394" spans="5:7">
      <c r="E394" s="750"/>
      <c r="F394" s="750"/>
      <c r="G394" s="750"/>
    </row>
    <row r="395" spans="5:7">
      <c r="E395" s="750"/>
      <c r="F395" s="750"/>
      <c r="G395" s="750"/>
    </row>
    <row r="396" spans="5:7">
      <c r="E396" s="750"/>
      <c r="F396" s="750"/>
      <c r="G396" s="750"/>
    </row>
    <row r="397" spans="5:7">
      <c r="E397" s="750"/>
      <c r="F397" s="750"/>
      <c r="G397" s="750"/>
    </row>
    <row r="398" spans="5:7">
      <c r="E398" s="750"/>
      <c r="F398" s="750"/>
      <c r="G398" s="750"/>
    </row>
    <row r="399" spans="5:7">
      <c r="E399" s="750"/>
      <c r="F399" s="750"/>
      <c r="G399" s="750"/>
    </row>
    <row r="400" spans="5:7">
      <c r="E400" s="750"/>
      <c r="F400" s="750"/>
      <c r="G400" s="750"/>
    </row>
    <row r="401" spans="5:7">
      <c r="E401" s="750"/>
      <c r="F401" s="750"/>
      <c r="G401" s="750"/>
    </row>
    <row r="402" spans="5:7">
      <c r="E402" s="750"/>
      <c r="F402" s="750"/>
      <c r="G402" s="750"/>
    </row>
    <row r="403" spans="5:7">
      <c r="E403" s="750"/>
      <c r="F403" s="750"/>
      <c r="G403" s="750"/>
    </row>
    <row r="404" spans="5:7">
      <c r="E404" s="750"/>
      <c r="F404" s="750"/>
      <c r="G404" s="750"/>
    </row>
    <row r="405" spans="5:7">
      <c r="E405" s="750"/>
      <c r="F405" s="750"/>
      <c r="G405" s="750"/>
    </row>
    <row r="406" spans="5:7">
      <c r="E406" s="750"/>
      <c r="F406" s="750"/>
      <c r="G406" s="750"/>
    </row>
    <row r="407" spans="5:7">
      <c r="E407" s="750"/>
      <c r="F407" s="750"/>
      <c r="G407" s="750"/>
    </row>
    <row r="408" spans="5:7">
      <c r="E408" s="750"/>
      <c r="F408" s="750"/>
      <c r="G408" s="750"/>
    </row>
    <row r="409" spans="5:7">
      <c r="E409" s="750"/>
      <c r="F409" s="750"/>
      <c r="G409" s="750"/>
    </row>
    <row r="410" spans="5:7">
      <c r="E410" s="750"/>
      <c r="F410" s="750"/>
      <c r="G410" s="750"/>
    </row>
    <row r="411" spans="5:7">
      <c r="E411" s="750"/>
      <c r="F411" s="750"/>
      <c r="G411" s="750"/>
    </row>
    <row r="412" spans="5:7">
      <c r="E412" s="750"/>
      <c r="F412" s="750"/>
      <c r="G412" s="750"/>
    </row>
    <row r="413" spans="5:7">
      <c r="E413" s="750"/>
      <c r="F413" s="750"/>
      <c r="G413" s="750"/>
    </row>
    <row r="414" spans="5:7">
      <c r="E414" s="750"/>
      <c r="F414" s="750"/>
      <c r="G414" s="750"/>
    </row>
    <row r="415" spans="5:7">
      <c r="E415" s="750"/>
      <c r="F415" s="750"/>
      <c r="G415" s="750"/>
    </row>
    <row r="416" spans="5:7">
      <c r="E416" s="750"/>
      <c r="F416" s="750"/>
      <c r="G416" s="750"/>
    </row>
    <row r="417" spans="5:7">
      <c r="E417" s="750"/>
      <c r="F417" s="750"/>
      <c r="G417" s="750"/>
    </row>
    <row r="418" spans="5:7">
      <c r="E418" s="750"/>
      <c r="F418" s="750"/>
      <c r="G418" s="750"/>
    </row>
    <row r="419" spans="5:7">
      <c r="E419" s="750"/>
      <c r="F419" s="750"/>
      <c r="G419" s="750"/>
    </row>
    <row r="420" spans="5:7">
      <c r="E420" s="750"/>
      <c r="F420" s="750"/>
      <c r="G420" s="750"/>
    </row>
    <row r="421" spans="5:7">
      <c r="E421" s="750"/>
      <c r="F421" s="750"/>
      <c r="G421" s="750"/>
    </row>
    <row r="422" spans="5:7">
      <c r="E422" s="750"/>
      <c r="F422" s="750"/>
      <c r="G422" s="750"/>
    </row>
    <row r="423" spans="5:7">
      <c r="E423" s="750"/>
      <c r="F423" s="750"/>
      <c r="G423" s="750"/>
    </row>
    <row r="424" spans="5:7">
      <c r="E424" s="750"/>
      <c r="F424" s="750"/>
      <c r="G424" s="750"/>
    </row>
    <row r="425" spans="5:7">
      <c r="E425" s="750"/>
      <c r="F425" s="750"/>
      <c r="G425" s="750"/>
    </row>
    <row r="426" spans="5:7">
      <c r="E426" s="750"/>
      <c r="F426" s="750"/>
      <c r="G426" s="750"/>
    </row>
    <row r="427" spans="5:7">
      <c r="E427" s="750"/>
      <c r="F427" s="750"/>
      <c r="G427" s="750"/>
    </row>
    <row r="428" spans="5:7">
      <c r="E428" s="750"/>
      <c r="F428" s="750"/>
      <c r="G428" s="750"/>
    </row>
    <row r="429" spans="5:7">
      <c r="E429" s="750"/>
      <c r="F429" s="750"/>
      <c r="G429" s="750"/>
    </row>
    <row r="430" spans="5:7">
      <c r="E430" s="750"/>
      <c r="F430" s="750"/>
      <c r="G430" s="750"/>
    </row>
    <row r="431" spans="5:7">
      <c r="E431" s="750"/>
      <c r="F431" s="750"/>
      <c r="G431" s="750"/>
    </row>
    <row r="432" spans="5:7">
      <c r="E432" s="750"/>
      <c r="F432" s="750"/>
      <c r="G432" s="750"/>
    </row>
    <row r="433" spans="5:7">
      <c r="E433" s="750"/>
      <c r="F433" s="750"/>
      <c r="G433" s="750"/>
    </row>
    <row r="434" spans="5:7">
      <c r="E434" s="750"/>
      <c r="F434" s="750"/>
      <c r="G434" s="750"/>
    </row>
    <row r="435" spans="5:7">
      <c r="E435" s="750"/>
      <c r="F435" s="750"/>
      <c r="G435" s="750"/>
    </row>
    <row r="436" spans="5:7">
      <c r="E436" s="750"/>
      <c r="F436" s="750"/>
      <c r="G436" s="750"/>
    </row>
    <row r="437" spans="5:7">
      <c r="E437" s="750"/>
      <c r="F437" s="750"/>
      <c r="G437" s="750"/>
    </row>
    <row r="438" spans="5:7">
      <c r="E438" s="750"/>
      <c r="F438" s="750"/>
      <c r="G438" s="750"/>
    </row>
    <row r="439" spans="5:7">
      <c r="E439" s="750"/>
      <c r="F439" s="750"/>
      <c r="G439" s="750"/>
    </row>
    <row r="440" spans="5:7">
      <c r="E440" s="750"/>
      <c r="F440" s="750"/>
      <c r="G440" s="750"/>
    </row>
    <row r="441" spans="5:7">
      <c r="E441" s="750"/>
      <c r="F441" s="750"/>
      <c r="G441" s="750"/>
    </row>
    <row r="442" spans="5:7">
      <c r="E442" s="750"/>
      <c r="F442" s="750"/>
      <c r="G442" s="750"/>
    </row>
    <row r="443" spans="5:7">
      <c r="E443" s="750"/>
      <c r="F443" s="750"/>
      <c r="G443" s="750"/>
    </row>
    <row r="444" spans="5:7">
      <c r="E444" s="750"/>
      <c r="F444" s="750"/>
      <c r="G444" s="750"/>
    </row>
    <row r="445" spans="5:7">
      <c r="E445" s="750"/>
      <c r="F445" s="750"/>
      <c r="G445" s="750"/>
    </row>
    <row r="446" spans="5:7">
      <c r="E446" s="750"/>
      <c r="F446" s="750"/>
      <c r="G446" s="750"/>
    </row>
    <row r="447" spans="5:7">
      <c r="E447" s="750"/>
      <c r="F447" s="750"/>
      <c r="G447" s="750"/>
    </row>
    <row r="448" spans="5:7">
      <c r="E448" s="750"/>
      <c r="F448" s="750"/>
      <c r="G448" s="750"/>
    </row>
    <row r="449" spans="5:7">
      <c r="E449" s="750"/>
      <c r="F449" s="750"/>
      <c r="G449" s="750"/>
    </row>
    <row r="450" spans="5:7">
      <c r="E450" s="750"/>
      <c r="F450" s="750"/>
      <c r="G450" s="750"/>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3"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zoomScale="70" zoomScaleNormal="80" zoomScaleSheetLayoutView="70" workbookViewId="0">
      <selection activeCell="I57" sqref="I57"/>
    </sheetView>
  </sheetViews>
  <sheetFormatPr defaultColWidth="8.77734375" defaultRowHeight="15.75"/>
  <cols>
    <col min="1" max="1" width="8.77734375" style="225"/>
    <col min="2" max="2" width="51.77734375" style="225" customWidth="1"/>
    <col min="3" max="3" width="15.6640625" style="225" customWidth="1"/>
    <col min="4" max="4" width="14.77734375" style="225" bestFit="1" customWidth="1"/>
    <col min="5" max="5" width="1.6640625" style="225" customWidth="1"/>
    <col min="6" max="6" width="15.88671875" style="225" customWidth="1"/>
    <col min="7" max="7" width="1.44140625" style="225" customWidth="1"/>
    <col min="8" max="8" width="8.77734375" style="225"/>
    <col min="9" max="9" width="35.33203125" style="225" customWidth="1"/>
    <col min="10" max="10" width="16.109375" style="225" customWidth="1"/>
    <col min="11" max="11" width="9.109375" style="225" bestFit="1" customWidth="1"/>
    <col min="12" max="12" width="10.109375" style="225" bestFit="1" customWidth="1"/>
    <col min="13" max="13" width="10.77734375" style="225" customWidth="1"/>
    <col min="14" max="257" width="8.77734375" style="225"/>
    <col min="258" max="258" width="35.21875" style="225" customWidth="1"/>
    <col min="259" max="259" width="15.6640625" style="225" customWidth="1"/>
    <col min="260" max="260" width="14.77734375" style="225" bestFit="1" customWidth="1"/>
    <col min="261" max="261" width="1.6640625" style="225" customWidth="1"/>
    <col min="262" max="262" width="15.88671875" style="225" customWidth="1"/>
    <col min="263" max="263" width="1.44140625" style="225" customWidth="1"/>
    <col min="264" max="264" width="8.77734375" style="225"/>
    <col min="265" max="265" width="35.33203125" style="225" customWidth="1"/>
    <col min="266" max="266" width="16.109375" style="225" customWidth="1"/>
    <col min="267" max="267" width="9.109375" style="225" bestFit="1" customWidth="1"/>
    <col min="268" max="268" width="10.109375" style="225" bestFit="1" customWidth="1"/>
    <col min="269" max="269" width="10.77734375" style="225" customWidth="1"/>
    <col min="270" max="513" width="8.77734375" style="225"/>
    <col min="514" max="514" width="35.21875" style="225" customWidth="1"/>
    <col min="515" max="515" width="15.6640625" style="225" customWidth="1"/>
    <col min="516" max="516" width="14.77734375" style="225" bestFit="1" customWidth="1"/>
    <col min="517" max="517" width="1.6640625" style="225" customWidth="1"/>
    <col min="518" max="518" width="15.88671875" style="225" customWidth="1"/>
    <col min="519" max="519" width="1.44140625" style="225" customWidth="1"/>
    <col min="520" max="520" width="8.77734375" style="225"/>
    <col min="521" max="521" width="35.33203125" style="225" customWidth="1"/>
    <col min="522" max="522" width="16.109375" style="225" customWidth="1"/>
    <col min="523" max="523" width="9.109375" style="225" bestFit="1" customWidth="1"/>
    <col min="524" max="524" width="10.109375" style="225" bestFit="1" customWidth="1"/>
    <col min="525" max="525" width="10.77734375" style="225" customWidth="1"/>
    <col min="526" max="769" width="8.77734375" style="225"/>
    <col min="770" max="770" width="35.21875" style="225" customWidth="1"/>
    <col min="771" max="771" width="15.6640625" style="225" customWidth="1"/>
    <col min="772" max="772" width="14.77734375" style="225" bestFit="1" customWidth="1"/>
    <col min="773" max="773" width="1.6640625" style="225" customWidth="1"/>
    <col min="774" max="774" width="15.88671875" style="225" customWidth="1"/>
    <col min="775" max="775" width="1.44140625" style="225" customWidth="1"/>
    <col min="776" max="776" width="8.77734375" style="225"/>
    <col min="777" max="777" width="35.33203125" style="225" customWidth="1"/>
    <col min="778" max="778" width="16.109375" style="225" customWidth="1"/>
    <col min="779" max="779" width="9.109375" style="225" bestFit="1" customWidth="1"/>
    <col min="780" max="780" width="10.109375" style="225" bestFit="1" customWidth="1"/>
    <col min="781" max="781" width="10.77734375" style="225" customWidth="1"/>
    <col min="782" max="1025" width="8.77734375" style="225"/>
    <col min="1026" max="1026" width="35.21875" style="225" customWidth="1"/>
    <col min="1027" max="1027" width="15.6640625" style="225" customWidth="1"/>
    <col min="1028" max="1028" width="14.77734375" style="225" bestFit="1" customWidth="1"/>
    <col min="1029" max="1029" width="1.6640625" style="225" customWidth="1"/>
    <col min="1030" max="1030" width="15.88671875" style="225" customWidth="1"/>
    <col min="1031" max="1031" width="1.44140625" style="225" customWidth="1"/>
    <col min="1032" max="1032" width="8.77734375" style="225"/>
    <col min="1033" max="1033" width="35.33203125" style="225" customWidth="1"/>
    <col min="1034" max="1034" width="16.109375" style="225" customWidth="1"/>
    <col min="1035" max="1035" width="9.109375" style="225" bestFit="1" customWidth="1"/>
    <col min="1036" max="1036" width="10.109375" style="225" bestFit="1" customWidth="1"/>
    <col min="1037" max="1037" width="10.77734375" style="225" customWidth="1"/>
    <col min="1038" max="1281" width="8.77734375" style="225"/>
    <col min="1282" max="1282" width="35.21875" style="225" customWidth="1"/>
    <col min="1283" max="1283" width="15.6640625" style="225" customWidth="1"/>
    <col min="1284" max="1284" width="14.77734375" style="225" bestFit="1" customWidth="1"/>
    <col min="1285" max="1285" width="1.6640625" style="225" customWidth="1"/>
    <col min="1286" max="1286" width="15.88671875" style="225" customWidth="1"/>
    <col min="1287" max="1287" width="1.44140625" style="225" customWidth="1"/>
    <col min="1288" max="1288" width="8.77734375" style="225"/>
    <col min="1289" max="1289" width="35.33203125" style="225" customWidth="1"/>
    <col min="1290" max="1290" width="16.109375" style="225" customWidth="1"/>
    <col min="1291" max="1291" width="9.109375" style="225" bestFit="1" customWidth="1"/>
    <col min="1292" max="1292" width="10.109375" style="225" bestFit="1" customWidth="1"/>
    <col min="1293" max="1293" width="10.77734375" style="225" customWidth="1"/>
    <col min="1294" max="1537" width="8.77734375" style="225"/>
    <col min="1538" max="1538" width="35.21875" style="225" customWidth="1"/>
    <col min="1539" max="1539" width="15.6640625" style="225" customWidth="1"/>
    <col min="1540" max="1540" width="14.77734375" style="225" bestFit="1" customWidth="1"/>
    <col min="1541" max="1541" width="1.6640625" style="225" customWidth="1"/>
    <col min="1542" max="1542" width="15.88671875" style="225" customWidth="1"/>
    <col min="1543" max="1543" width="1.44140625" style="225" customWidth="1"/>
    <col min="1544" max="1544" width="8.77734375" style="225"/>
    <col min="1545" max="1545" width="35.33203125" style="225" customWidth="1"/>
    <col min="1546" max="1546" width="16.109375" style="225" customWidth="1"/>
    <col min="1547" max="1547" width="9.109375" style="225" bestFit="1" customWidth="1"/>
    <col min="1548" max="1548" width="10.109375" style="225" bestFit="1" customWidth="1"/>
    <col min="1549" max="1549" width="10.77734375" style="225" customWidth="1"/>
    <col min="1550" max="1793" width="8.77734375" style="225"/>
    <col min="1794" max="1794" width="35.21875" style="225" customWidth="1"/>
    <col min="1795" max="1795" width="15.6640625" style="225" customWidth="1"/>
    <col min="1796" max="1796" width="14.77734375" style="225" bestFit="1" customWidth="1"/>
    <col min="1797" max="1797" width="1.6640625" style="225" customWidth="1"/>
    <col min="1798" max="1798" width="15.88671875" style="225" customWidth="1"/>
    <col min="1799" max="1799" width="1.44140625" style="225" customWidth="1"/>
    <col min="1800" max="1800" width="8.77734375" style="225"/>
    <col min="1801" max="1801" width="35.33203125" style="225" customWidth="1"/>
    <col min="1802" max="1802" width="16.109375" style="225" customWidth="1"/>
    <col min="1803" max="1803" width="9.109375" style="225" bestFit="1" customWidth="1"/>
    <col min="1804" max="1804" width="10.109375" style="225" bestFit="1" customWidth="1"/>
    <col min="1805" max="1805" width="10.77734375" style="225" customWidth="1"/>
    <col min="1806" max="2049" width="8.77734375" style="225"/>
    <col min="2050" max="2050" width="35.21875" style="225" customWidth="1"/>
    <col min="2051" max="2051" width="15.6640625" style="225" customWidth="1"/>
    <col min="2052" max="2052" width="14.77734375" style="225" bestFit="1" customWidth="1"/>
    <col min="2053" max="2053" width="1.6640625" style="225" customWidth="1"/>
    <col min="2054" max="2054" width="15.88671875" style="225" customWidth="1"/>
    <col min="2055" max="2055" width="1.44140625" style="225" customWidth="1"/>
    <col min="2056" max="2056" width="8.77734375" style="225"/>
    <col min="2057" max="2057" width="35.33203125" style="225" customWidth="1"/>
    <col min="2058" max="2058" width="16.109375" style="225" customWidth="1"/>
    <col min="2059" max="2059" width="9.109375" style="225" bestFit="1" customWidth="1"/>
    <col min="2060" max="2060" width="10.109375" style="225" bestFit="1" customWidth="1"/>
    <col min="2061" max="2061" width="10.77734375" style="225" customWidth="1"/>
    <col min="2062" max="2305" width="8.77734375" style="225"/>
    <col min="2306" max="2306" width="35.21875" style="225" customWidth="1"/>
    <col min="2307" max="2307" width="15.6640625" style="225" customWidth="1"/>
    <col min="2308" max="2308" width="14.77734375" style="225" bestFit="1" customWidth="1"/>
    <col min="2309" max="2309" width="1.6640625" style="225" customWidth="1"/>
    <col min="2310" max="2310" width="15.88671875" style="225" customWidth="1"/>
    <col min="2311" max="2311" width="1.44140625" style="225" customWidth="1"/>
    <col min="2312" max="2312" width="8.77734375" style="225"/>
    <col min="2313" max="2313" width="35.33203125" style="225" customWidth="1"/>
    <col min="2314" max="2314" width="16.109375" style="225" customWidth="1"/>
    <col min="2315" max="2315" width="9.109375" style="225" bestFit="1" customWidth="1"/>
    <col min="2316" max="2316" width="10.109375" style="225" bestFit="1" customWidth="1"/>
    <col min="2317" max="2317" width="10.77734375" style="225" customWidth="1"/>
    <col min="2318" max="2561" width="8.77734375" style="225"/>
    <col min="2562" max="2562" width="35.21875" style="225" customWidth="1"/>
    <col min="2563" max="2563" width="15.6640625" style="225" customWidth="1"/>
    <col min="2564" max="2564" width="14.77734375" style="225" bestFit="1" customWidth="1"/>
    <col min="2565" max="2565" width="1.6640625" style="225" customWidth="1"/>
    <col min="2566" max="2566" width="15.88671875" style="225" customWidth="1"/>
    <col min="2567" max="2567" width="1.44140625" style="225" customWidth="1"/>
    <col min="2568" max="2568" width="8.77734375" style="225"/>
    <col min="2569" max="2569" width="35.33203125" style="225" customWidth="1"/>
    <col min="2570" max="2570" width="16.109375" style="225" customWidth="1"/>
    <col min="2571" max="2571" width="9.109375" style="225" bestFit="1" customWidth="1"/>
    <col min="2572" max="2572" width="10.109375" style="225" bestFit="1" customWidth="1"/>
    <col min="2573" max="2573" width="10.77734375" style="225" customWidth="1"/>
    <col min="2574" max="2817" width="8.77734375" style="225"/>
    <col min="2818" max="2818" width="35.21875" style="225" customWidth="1"/>
    <col min="2819" max="2819" width="15.6640625" style="225" customWidth="1"/>
    <col min="2820" max="2820" width="14.77734375" style="225" bestFit="1" customWidth="1"/>
    <col min="2821" max="2821" width="1.6640625" style="225" customWidth="1"/>
    <col min="2822" max="2822" width="15.88671875" style="225" customWidth="1"/>
    <col min="2823" max="2823" width="1.44140625" style="225" customWidth="1"/>
    <col min="2824" max="2824" width="8.77734375" style="225"/>
    <col min="2825" max="2825" width="35.33203125" style="225" customWidth="1"/>
    <col min="2826" max="2826" width="16.109375" style="225" customWidth="1"/>
    <col min="2827" max="2827" width="9.109375" style="225" bestFit="1" customWidth="1"/>
    <col min="2828" max="2828" width="10.109375" style="225" bestFit="1" customWidth="1"/>
    <col min="2829" max="2829" width="10.77734375" style="225" customWidth="1"/>
    <col min="2830" max="3073" width="8.77734375" style="225"/>
    <col min="3074" max="3074" width="35.21875" style="225" customWidth="1"/>
    <col min="3075" max="3075" width="15.6640625" style="225" customWidth="1"/>
    <col min="3076" max="3076" width="14.77734375" style="225" bestFit="1" customWidth="1"/>
    <col min="3077" max="3077" width="1.6640625" style="225" customWidth="1"/>
    <col min="3078" max="3078" width="15.88671875" style="225" customWidth="1"/>
    <col min="3079" max="3079" width="1.44140625" style="225" customWidth="1"/>
    <col min="3080" max="3080" width="8.77734375" style="225"/>
    <col min="3081" max="3081" width="35.33203125" style="225" customWidth="1"/>
    <col min="3082" max="3082" width="16.109375" style="225" customWidth="1"/>
    <col min="3083" max="3083" width="9.109375" style="225" bestFit="1" customWidth="1"/>
    <col min="3084" max="3084" width="10.109375" style="225" bestFit="1" customWidth="1"/>
    <col min="3085" max="3085" width="10.77734375" style="225" customWidth="1"/>
    <col min="3086" max="3329" width="8.77734375" style="225"/>
    <col min="3330" max="3330" width="35.21875" style="225" customWidth="1"/>
    <col min="3331" max="3331" width="15.6640625" style="225" customWidth="1"/>
    <col min="3332" max="3332" width="14.77734375" style="225" bestFit="1" customWidth="1"/>
    <col min="3333" max="3333" width="1.6640625" style="225" customWidth="1"/>
    <col min="3334" max="3334" width="15.88671875" style="225" customWidth="1"/>
    <col min="3335" max="3335" width="1.44140625" style="225" customWidth="1"/>
    <col min="3336" max="3336" width="8.77734375" style="225"/>
    <col min="3337" max="3337" width="35.33203125" style="225" customWidth="1"/>
    <col min="3338" max="3338" width="16.109375" style="225" customWidth="1"/>
    <col min="3339" max="3339" width="9.109375" style="225" bestFit="1" customWidth="1"/>
    <col min="3340" max="3340" width="10.109375" style="225" bestFit="1" customWidth="1"/>
    <col min="3341" max="3341" width="10.77734375" style="225" customWidth="1"/>
    <col min="3342" max="3585" width="8.77734375" style="225"/>
    <col min="3586" max="3586" width="35.21875" style="225" customWidth="1"/>
    <col min="3587" max="3587" width="15.6640625" style="225" customWidth="1"/>
    <col min="3588" max="3588" width="14.77734375" style="225" bestFit="1" customWidth="1"/>
    <col min="3589" max="3589" width="1.6640625" style="225" customWidth="1"/>
    <col min="3590" max="3590" width="15.88671875" style="225" customWidth="1"/>
    <col min="3591" max="3591" width="1.44140625" style="225" customWidth="1"/>
    <col min="3592" max="3592" width="8.77734375" style="225"/>
    <col min="3593" max="3593" width="35.33203125" style="225" customWidth="1"/>
    <col min="3594" max="3594" width="16.109375" style="225" customWidth="1"/>
    <col min="3595" max="3595" width="9.109375" style="225" bestFit="1" customWidth="1"/>
    <col min="3596" max="3596" width="10.109375" style="225" bestFit="1" customWidth="1"/>
    <col min="3597" max="3597" width="10.77734375" style="225" customWidth="1"/>
    <col min="3598" max="3841" width="8.77734375" style="225"/>
    <col min="3842" max="3842" width="35.21875" style="225" customWidth="1"/>
    <col min="3843" max="3843" width="15.6640625" style="225" customWidth="1"/>
    <col min="3844" max="3844" width="14.77734375" style="225" bestFit="1" customWidth="1"/>
    <col min="3845" max="3845" width="1.6640625" style="225" customWidth="1"/>
    <col min="3846" max="3846" width="15.88671875" style="225" customWidth="1"/>
    <col min="3847" max="3847" width="1.44140625" style="225" customWidth="1"/>
    <col min="3848" max="3848" width="8.77734375" style="225"/>
    <col min="3849" max="3849" width="35.33203125" style="225" customWidth="1"/>
    <col min="3850" max="3850" width="16.109375" style="225" customWidth="1"/>
    <col min="3851" max="3851" width="9.109375" style="225" bestFit="1" customWidth="1"/>
    <col min="3852" max="3852" width="10.109375" style="225" bestFit="1" customWidth="1"/>
    <col min="3853" max="3853" width="10.77734375" style="225" customWidth="1"/>
    <col min="3854" max="4097" width="8.77734375" style="225"/>
    <col min="4098" max="4098" width="35.21875" style="225" customWidth="1"/>
    <col min="4099" max="4099" width="15.6640625" style="225" customWidth="1"/>
    <col min="4100" max="4100" width="14.77734375" style="225" bestFit="1" customWidth="1"/>
    <col min="4101" max="4101" width="1.6640625" style="225" customWidth="1"/>
    <col min="4102" max="4102" width="15.88671875" style="225" customWidth="1"/>
    <col min="4103" max="4103" width="1.44140625" style="225" customWidth="1"/>
    <col min="4104" max="4104" width="8.77734375" style="225"/>
    <col min="4105" max="4105" width="35.33203125" style="225" customWidth="1"/>
    <col min="4106" max="4106" width="16.109375" style="225" customWidth="1"/>
    <col min="4107" max="4107" width="9.109375" style="225" bestFit="1" customWidth="1"/>
    <col min="4108" max="4108" width="10.109375" style="225" bestFit="1" customWidth="1"/>
    <col min="4109" max="4109" width="10.77734375" style="225" customWidth="1"/>
    <col min="4110" max="4353" width="8.77734375" style="225"/>
    <col min="4354" max="4354" width="35.21875" style="225" customWidth="1"/>
    <col min="4355" max="4355" width="15.6640625" style="225" customWidth="1"/>
    <col min="4356" max="4356" width="14.77734375" style="225" bestFit="1" customWidth="1"/>
    <col min="4357" max="4357" width="1.6640625" style="225" customWidth="1"/>
    <col min="4358" max="4358" width="15.88671875" style="225" customWidth="1"/>
    <col min="4359" max="4359" width="1.44140625" style="225" customWidth="1"/>
    <col min="4360" max="4360" width="8.77734375" style="225"/>
    <col min="4361" max="4361" width="35.33203125" style="225" customWidth="1"/>
    <col min="4362" max="4362" width="16.109375" style="225" customWidth="1"/>
    <col min="4363" max="4363" width="9.109375" style="225" bestFit="1" customWidth="1"/>
    <col min="4364" max="4364" width="10.109375" style="225" bestFit="1" customWidth="1"/>
    <col min="4365" max="4365" width="10.77734375" style="225" customWidth="1"/>
    <col min="4366" max="4609" width="8.77734375" style="225"/>
    <col min="4610" max="4610" width="35.21875" style="225" customWidth="1"/>
    <col min="4611" max="4611" width="15.6640625" style="225" customWidth="1"/>
    <col min="4612" max="4612" width="14.77734375" style="225" bestFit="1" customWidth="1"/>
    <col min="4613" max="4613" width="1.6640625" style="225" customWidth="1"/>
    <col min="4614" max="4614" width="15.88671875" style="225" customWidth="1"/>
    <col min="4615" max="4615" width="1.44140625" style="225" customWidth="1"/>
    <col min="4616" max="4616" width="8.77734375" style="225"/>
    <col min="4617" max="4617" width="35.33203125" style="225" customWidth="1"/>
    <col min="4618" max="4618" width="16.109375" style="225" customWidth="1"/>
    <col min="4619" max="4619" width="9.109375" style="225" bestFit="1" customWidth="1"/>
    <col min="4620" max="4620" width="10.109375" style="225" bestFit="1" customWidth="1"/>
    <col min="4621" max="4621" width="10.77734375" style="225" customWidth="1"/>
    <col min="4622" max="4865" width="8.77734375" style="225"/>
    <col min="4866" max="4866" width="35.21875" style="225" customWidth="1"/>
    <col min="4867" max="4867" width="15.6640625" style="225" customWidth="1"/>
    <col min="4868" max="4868" width="14.77734375" style="225" bestFit="1" customWidth="1"/>
    <col min="4869" max="4869" width="1.6640625" style="225" customWidth="1"/>
    <col min="4870" max="4870" width="15.88671875" style="225" customWidth="1"/>
    <col min="4871" max="4871" width="1.44140625" style="225" customWidth="1"/>
    <col min="4872" max="4872" width="8.77734375" style="225"/>
    <col min="4873" max="4873" width="35.33203125" style="225" customWidth="1"/>
    <col min="4874" max="4874" width="16.109375" style="225" customWidth="1"/>
    <col min="4875" max="4875" width="9.109375" style="225" bestFit="1" customWidth="1"/>
    <col min="4876" max="4876" width="10.109375" style="225" bestFit="1" customWidth="1"/>
    <col min="4877" max="4877" width="10.77734375" style="225" customWidth="1"/>
    <col min="4878" max="5121" width="8.77734375" style="225"/>
    <col min="5122" max="5122" width="35.21875" style="225" customWidth="1"/>
    <col min="5123" max="5123" width="15.6640625" style="225" customWidth="1"/>
    <col min="5124" max="5124" width="14.77734375" style="225" bestFit="1" customWidth="1"/>
    <col min="5125" max="5125" width="1.6640625" style="225" customWidth="1"/>
    <col min="5126" max="5126" width="15.88671875" style="225" customWidth="1"/>
    <col min="5127" max="5127" width="1.44140625" style="225" customWidth="1"/>
    <col min="5128" max="5128" width="8.77734375" style="225"/>
    <col min="5129" max="5129" width="35.33203125" style="225" customWidth="1"/>
    <col min="5130" max="5130" width="16.109375" style="225" customWidth="1"/>
    <col min="5131" max="5131" width="9.109375" style="225" bestFit="1" customWidth="1"/>
    <col min="5132" max="5132" width="10.109375" style="225" bestFit="1" customWidth="1"/>
    <col min="5133" max="5133" width="10.77734375" style="225" customWidth="1"/>
    <col min="5134" max="5377" width="8.77734375" style="225"/>
    <col min="5378" max="5378" width="35.21875" style="225" customWidth="1"/>
    <col min="5379" max="5379" width="15.6640625" style="225" customWidth="1"/>
    <col min="5380" max="5380" width="14.77734375" style="225" bestFit="1" customWidth="1"/>
    <col min="5381" max="5381" width="1.6640625" style="225" customWidth="1"/>
    <col min="5382" max="5382" width="15.88671875" style="225" customWidth="1"/>
    <col min="5383" max="5383" width="1.44140625" style="225" customWidth="1"/>
    <col min="5384" max="5384" width="8.77734375" style="225"/>
    <col min="5385" max="5385" width="35.33203125" style="225" customWidth="1"/>
    <col min="5386" max="5386" width="16.109375" style="225" customWidth="1"/>
    <col min="5387" max="5387" width="9.109375" style="225" bestFit="1" customWidth="1"/>
    <col min="5388" max="5388" width="10.109375" style="225" bestFit="1" customWidth="1"/>
    <col min="5389" max="5389" width="10.77734375" style="225" customWidth="1"/>
    <col min="5390" max="5633" width="8.77734375" style="225"/>
    <col min="5634" max="5634" width="35.21875" style="225" customWidth="1"/>
    <col min="5635" max="5635" width="15.6640625" style="225" customWidth="1"/>
    <col min="5636" max="5636" width="14.77734375" style="225" bestFit="1" customWidth="1"/>
    <col min="5637" max="5637" width="1.6640625" style="225" customWidth="1"/>
    <col min="5638" max="5638" width="15.88671875" style="225" customWidth="1"/>
    <col min="5639" max="5639" width="1.44140625" style="225" customWidth="1"/>
    <col min="5640" max="5640" width="8.77734375" style="225"/>
    <col min="5641" max="5641" width="35.33203125" style="225" customWidth="1"/>
    <col min="5642" max="5642" width="16.109375" style="225" customWidth="1"/>
    <col min="5643" max="5643" width="9.109375" style="225" bestFit="1" customWidth="1"/>
    <col min="5644" max="5644" width="10.109375" style="225" bestFit="1" customWidth="1"/>
    <col min="5645" max="5645" width="10.77734375" style="225" customWidth="1"/>
    <col min="5646" max="5889" width="8.77734375" style="225"/>
    <col min="5890" max="5890" width="35.21875" style="225" customWidth="1"/>
    <col min="5891" max="5891" width="15.6640625" style="225" customWidth="1"/>
    <col min="5892" max="5892" width="14.77734375" style="225" bestFit="1" customWidth="1"/>
    <col min="5893" max="5893" width="1.6640625" style="225" customWidth="1"/>
    <col min="5894" max="5894" width="15.88671875" style="225" customWidth="1"/>
    <col min="5895" max="5895" width="1.44140625" style="225" customWidth="1"/>
    <col min="5896" max="5896" width="8.77734375" style="225"/>
    <col min="5897" max="5897" width="35.33203125" style="225" customWidth="1"/>
    <col min="5898" max="5898" width="16.109375" style="225" customWidth="1"/>
    <col min="5899" max="5899" width="9.109375" style="225" bestFit="1" customWidth="1"/>
    <col min="5900" max="5900" width="10.109375" style="225" bestFit="1" customWidth="1"/>
    <col min="5901" max="5901" width="10.77734375" style="225" customWidth="1"/>
    <col min="5902" max="6145" width="8.77734375" style="225"/>
    <col min="6146" max="6146" width="35.21875" style="225" customWidth="1"/>
    <col min="6147" max="6147" width="15.6640625" style="225" customWidth="1"/>
    <col min="6148" max="6148" width="14.77734375" style="225" bestFit="1" customWidth="1"/>
    <col min="6149" max="6149" width="1.6640625" style="225" customWidth="1"/>
    <col min="6150" max="6150" width="15.88671875" style="225" customWidth="1"/>
    <col min="6151" max="6151" width="1.44140625" style="225" customWidth="1"/>
    <col min="6152" max="6152" width="8.77734375" style="225"/>
    <col min="6153" max="6153" width="35.33203125" style="225" customWidth="1"/>
    <col min="6154" max="6154" width="16.109375" style="225" customWidth="1"/>
    <col min="6155" max="6155" width="9.109375" style="225" bestFit="1" customWidth="1"/>
    <col min="6156" max="6156" width="10.109375" style="225" bestFit="1" customWidth="1"/>
    <col min="6157" max="6157" width="10.77734375" style="225" customWidth="1"/>
    <col min="6158" max="6401" width="8.77734375" style="225"/>
    <col min="6402" max="6402" width="35.21875" style="225" customWidth="1"/>
    <col min="6403" max="6403" width="15.6640625" style="225" customWidth="1"/>
    <col min="6404" max="6404" width="14.77734375" style="225" bestFit="1" customWidth="1"/>
    <col min="6405" max="6405" width="1.6640625" style="225" customWidth="1"/>
    <col min="6406" max="6406" width="15.88671875" style="225" customWidth="1"/>
    <col min="6407" max="6407" width="1.44140625" style="225" customWidth="1"/>
    <col min="6408" max="6408" width="8.77734375" style="225"/>
    <col min="6409" max="6409" width="35.33203125" style="225" customWidth="1"/>
    <col min="6410" max="6410" width="16.109375" style="225" customWidth="1"/>
    <col min="6411" max="6411" width="9.109375" style="225" bestFit="1" customWidth="1"/>
    <col min="6412" max="6412" width="10.109375" style="225" bestFit="1" customWidth="1"/>
    <col min="6413" max="6413" width="10.77734375" style="225" customWidth="1"/>
    <col min="6414" max="6657" width="8.77734375" style="225"/>
    <col min="6658" max="6658" width="35.21875" style="225" customWidth="1"/>
    <col min="6659" max="6659" width="15.6640625" style="225" customWidth="1"/>
    <col min="6660" max="6660" width="14.77734375" style="225" bestFit="1" customWidth="1"/>
    <col min="6661" max="6661" width="1.6640625" style="225" customWidth="1"/>
    <col min="6662" max="6662" width="15.88671875" style="225" customWidth="1"/>
    <col min="6663" max="6663" width="1.44140625" style="225" customWidth="1"/>
    <col min="6664" max="6664" width="8.77734375" style="225"/>
    <col min="6665" max="6665" width="35.33203125" style="225" customWidth="1"/>
    <col min="6666" max="6666" width="16.109375" style="225" customWidth="1"/>
    <col min="6667" max="6667" width="9.109375" style="225" bestFit="1" customWidth="1"/>
    <col min="6668" max="6668" width="10.109375" style="225" bestFit="1" customWidth="1"/>
    <col min="6669" max="6669" width="10.77734375" style="225" customWidth="1"/>
    <col min="6670" max="6913" width="8.77734375" style="225"/>
    <col min="6914" max="6914" width="35.21875" style="225" customWidth="1"/>
    <col min="6915" max="6915" width="15.6640625" style="225" customWidth="1"/>
    <col min="6916" max="6916" width="14.77734375" style="225" bestFit="1" customWidth="1"/>
    <col min="6917" max="6917" width="1.6640625" style="225" customWidth="1"/>
    <col min="6918" max="6918" width="15.88671875" style="225" customWidth="1"/>
    <col min="6919" max="6919" width="1.44140625" style="225" customWidth="1"/>
    <col min="6920" max="6920" width="8.77734375" style="225"/>
    <col min="6921" max="6921" width="35.33203125" style="225" customWidth="1"/>
    <col min="6922" max="6922" width="16.109375" style="225" customWidth="1"/>
    <col min="6923" max="6923" width="9.109375" style="225" bestFit="1" customWidth="1"/>
    <col min="6924" max="6924" width="10.109375" style="225" bestFit="1" customWidth="1"/>
    <col min="6925" max="6925" width="10.77734375" style="225" customWidth="1"/>
    <col min="6926" max="7169" width="8.77734375" style="225"/>
    <col min="7170" max="7170" width="35.21875" style="225" customWidth="1"/>
    <col min="7171" max="7171" width="15.6640625" style="225" customWidth="1"/>
    <col min="7172" max="7172" width="14.77734375" style="225" bestFit="1" customWidth="1"/>
    <col min="7173" max="7173" width="1.6640625" style="225" customWidth="1"/>
    <col min="7174" max="7174" width="15.88671875" style="225" customWidth="1"/>
    <col min="7175" max="7175" width="1.44140625" style="225" customWidth="1"/>
    <col min="7176" max="7176" width="8.77734375" style="225"/>
    <col min="7177" max="7177" width="35.33203125" style="225" customWidth="1"/>
    <col min="7178" max="7178" width="16.109375" style="225" customWidth="1"/>
    <col min="7179" max="7179" width="9.109375" style="225" bestFit="1" customWidth="1"/>
    <col min="7180" max="7180" width="10.109375" style="225" bestFit="1" customWidth="1"/>
    <col min="7181" max="7181" width="10.77734375" style="225" customWidth="1"/>
    <col min="7182" max="7425" width="8.77734375" style="225"/>
    <col min="7426" max="7426" width="35.21875" style="225" customWidth="1"/>
    <col min="7427" max="7427" width="15.6640625" style="225" customWidth="1"/>
    <col min="7428" max="7428" width="14.77734375" style="225" bestFit="1" customWidth="1"/>
    <col min="7429" max="7429" width="1.6640625" style="225" customWidth="1"/>
    <col min="7430" max="7430" width="15.88671875" style="225" customWidth="1"/>
    <col min="7431" max="7431" width="1.44140625" style="225" customWidth="1"/>
    <col min="7432" max="7432" width="8.77734375" style="225"/>
    <col min="7433" max="7433" width="35.33203125" style="225" customWidth="1"/>
    <col min="7434" max="7434" width="16.109375" style="225" customWidth="1"/>
    <col min="7435" max="7435" width="9.109375" style="225" bestFit="1" customWidth="1"/>
    <col min="7436" max="7436" width="10.109375" style="225" bestFit="1" customWidth="1"/>
    <col min="7437" max="7437" width="10.77734375" style="225" customWidth="1"/>
    <col min="7438" max="7681" width="8.77734375" style="225"/>
    <col min="7682" max="7682" width="35.21875" style="225" customWidth="1"/>
    <col min="7683" max="7683" width="15.6640625" style="225" customWidth="1"/>
    <col min="7684" max="7684" width="14.77734375" style="225" bestFit="1" customWidth="1"/>
    <col min="7685" max="7685" width="1.6640625" style="225" customWidth="1"/>
    <col min="7686" max="7686" width="15.88671875" style="225" customWidth="1"/>
    <col min="7687" max="7687" width="1.44140625" style="225" customWidth="1"/>
    <col min="7688" max="7688" width="8.77734375" style="225"/>
    <col min="7689" max="7689" width="35.33203125" style="225" customWidth="1"/>
    <col min="7690" max="7690" width="16.109375" style="225" customWidth="1"/>
    <col min="7691" max="7691" width="9.109375" style="225" bestFit="1" customWidth="1"/>
    <col min="7692" max="7692" width="10.109375" style="225" bestFit="1" customWidth="1"/>
    <col min="7693" max="7693" width="10.77734375" style="225" customWidth="1"/>
    <col min="7694" max="7937" width="8.77734375" style="225"/>
    <col min="7938" max="7938" width="35.21875" style="225" customWidth="1"/>
    <col min="7939" max="7939" width="15.6640625" style="225" customWidth="1"/>
    <col min="7940" max="7940" width="14.77734375" style="225" bestFit="1" customWidth="1"/>
    <col min="7941" max="7941" width="1.6640625" style="225" customWidth="1"/>
    <col min="7942" max="7942" width="15.88671875" style="225" customWidth="1"/>
    <col min="7943" max="7943" width="1.44140625" style="225" customWidth="1"/>
    <col min="7944" max="7944" width="8.77734375" style="225"/>
    <col min="7945" max="7945" width="35.33203125" style="225" customWidth="1"/>
    <col min="7946" max="7946" width="16.109375" style="225" customWidth="1"/>
    <col min="7947" max="7947" width="9.109375" style="225" bestFit="1" customWidth="1"/>
    <col min="7948" max="7948" width="10.109375" style="225" bestFit="1" customWidth="1"/>
    <col min="7949" max="7949" width="10.77734375" style="225" customWidth="1"/>
    <col min="7950" max="8193" width="8.77734375" style="225"/>
    <col min="8194" max="8194" width="35.21875" style="225" customWidth="1"/>
    <col min="8195" max="8195" width="15.6640625" style="225" customWidth="1"/>
    <col min="8196" max="8196" width="14.77734375" style="225" bestFit="1" customWidth="1"/>
    <col min="8197" max="8197" width="1.6640625" style="225" customWidth="1"/>
    <col min="8198" max="8198" width="15.88671875" style="225" customWidth="1"/>
    <col min="8199" max="8199" width="1.44140625" style="225" customWidth="1"/>
    <col min="8200" max="8200" width="8.77734375" style="225"/>
    <col min="8201" max="8201" width="35.33203125" style="225" customWidth="1"/>
    <col min="8202" max="8202" width="16.109375" style="225" customWidth="1"/>
    <col min="8203" max="8203" width="9.109375" style="225" bestFit="1" customWidth="1"/>
    <col min="8204" max="8204" width="10.109375" style="225" bestFit="1" customWidth="1"/>
    <col min="8205" max="8205" width="10.77734375" style="225" customWidth="1"/>
    <col min="8206" max="8449" width="8.77734375" style="225"/>
    <col min="8450" max="8450" width="35.21875" style="225" customWidth="1"/>
    <col min="8451" max="8451" width="15.6640625" style="225" customWidth="1"/>
    <col min="8452" max="8452" width="14.77734375" style="225" bestFit="1" customWidth="1"/>
    <col min="8453" max="8453" width="1.6640625" style="225" customWidth="1"/>
    <col min="8454" max="8454" width="15.88671875" style="225" customWidth="1"/>
    <col min="8455" max="8455" width="1.44140625" style="225" customWidth="1"/>
    <col min="8456" max="8456" width="8.77734375" style="225"/>
    <col min="8457" max="8457" width="35.33203125" style="225" customWidth="1"/>
    <col min="8458" max="8458" width="16.109375" style="225" customWidth="1"/>
    <col min="8459" max="8459" width="9.109375" style="225" bestFit="1" customWidth="1"/>
    <col min="8460" max="8460" width="10.109375" style="225" bestFit="1" customWidth="1"/>
    <col min="8461" max="8461" width="10.77734375" style="225" customWidth="1"/>
    <col min="8462" max="8705" width="8.77734375" style="225"/>
    <col min="8706" max="8706" width="35.21875" style="225" customWidth="1"/>
    <col min="8707" max="8707" width="15.6640625" style="225" customWidth="1"/>
    <col min="8708" max="8708" width="14.77734375" style="225" bestFit="1" customWidth="1"/>
    <col min="8709" max="8709" width="1.6640625" style="225" customWidth="1"/>
    <col min="8710" max="8710" width="15.88671875" style="225" customWidth="1"/>
    <col min="8711" max="8711" width="1.44140625" style="225" customWidth="1"/>
    <col min="8712" max="8712" width="8.77734375" style="225"/>
    <col min="8713" max="8713" width="35.33203125" style="225" customWidth="1"/>
    <col min="8714" max="8714" width="16.109375" style="225" customWidth="1"/>
    <col min="8715" max="8715" width="9.109375" style="225" bestFit="1" customWidth="1"/>
    <col min="8716" max="8716" width="10.109375" style="225" bestFit="1" customWidth="1"/>
    <col min="8717" max="8717" width="10.77734375" style="225" customWidth="1"/>
    <col min="8718" max="8961" width="8.77734375" style="225"/>
    <col min="8962" max="8962" width="35.21875" style="225" customWidth="1"/>
    <col min="8963" max="8963" width="15.6640625" style="225" customWidth="1"/>
    <col min="8964" max="8964" width="14.77734375" style="225" bestFit="1" customWidth="1"/>
    <col min="8965" max="8965" width="1.6640625" style="225" customWidth="1"/>
    <col min="8966" max="8966" width="15.88671875" style="225" customWidth="1"/>
    <col min="8967" max="8967" width="1.44140625" style="225" customWidth="1"/>
    <col min="8968" max="8968" width="8.77734375" style="225"/>
    <col min="8969" max="8969" width="35.33203125" style="225" customWidth="1"/>
    <col min="8970" max="8970" width="16.109375" style="225" customWidth="1"/>
    <col min="8971" max="8971" width="9.109375" style="225" bestFit="1" customWidth="1"/>
    <col min="8972" max="8972" width="10.109375" style="225" bestFit="1" customWidth="1"/>
    <col min="8973" max="8973" width="10.77734375" style="225" customWidth="1"/>
    <col min="8974" max="9217" width="8.77734375" style="225"/>
    <col min="9218" max="9218" width="35.21875" style="225" customWidth="1"/>
    <col min="9219" max="9219" width="15.6640625" style="225" customWidth="1"/>
    <col min="9220" max="9220" width="14.77734375" style="225" bestFit="1" customWidth="1"/>
    <col min="9221" max="9221" width="1.6640625" style="225" customWidth="1"/>
    <col min="9222" max="9222" width="15.88671875" style="225" customWidth="1"/>
    <col min="9223" max="9223" width="1.44140625" style="225" customWidth="1"/>
    <col min="9224" max="9224" width="8.77734375" style="225"/>
    <col min="9225" max="9225" width="35.33203125" style="225" customWidth="1"/>
    <col min="9226" max="9226" width="16.109375" style="225" customWidth="1"/>
    <col min="9227" max="9227" width="9.109375" style="225" bestFit="1" customWidth="1"/>
    <col min="9228" max="9228" width="10.109375" style="225" bestFit="1" customWidth="1"/>
    <col min="9229" max="9229" width="10.77734375" style="225" customWidth="1"/>
    <col min="9230" max="9473" width="8.77734375" style="225"/>
    <col min="9474" max="9474" width="35.21875" style="225" customWidth="1"/>
    <col min="9475" max="9475" width="15.6640625" style="225" customWidth="1"/>
    <col min="9476" max="9476" width="14.77734375" style="225" bestFit="1" customWidth="1"/>
    <col min="9477" max="9477" width="1.6640625" style="225" customWidth="1"/>
    <col min="9478" max="9478" width="15.88671875" style="225" customWidth="1"/>
    <col min="9479" max="9479" width="1.44140625" style="225" customWidth="1"/>
    <col min="9480" max="9480" width="8.77734375" style="225"/>
    <col min="9481" max="9481" width="35.33203125" style="225" customWidth="1"/>
    <col min="9482" max="9482" width="16.109375" style="225" customWidth="1"/>
    <col min="9483" max="9483" width="9.109375" style="225" bestFit="1" customWidth="1"/>
    <col min="9484" max="9484" width="10.109375" style="225" bestFit="1" customWidth="1"/>
    <col min="9485" max="9485" width="10.77734375" style="225" customWidth="1"/>
    <col min="9486" max="9729" width="8.77734375" style="225"/>
    <col min="9730" max="9730" width="35.21875" style="225" customWidth="1"/>
    <col min="9731" max="9731" width="15.6640625" style="225" customWidth="1"/>
    <col min="9732" max="9732" width="14.77734375" style="225" bestFit="1" customWidth="1"/>
    <col min="9733" max="9733" width="1.6640625" style="225" customWidth="1"/>
    <col min="9734" max="9734" width="15.88671875" style="225" customWidth="1"/>
    <col min="9735" max="9735" width="1.44140625" style="225" customWidth="1"/>
    <col min="9736" max="9736" width="8.77734375" style="225"/>
    <col min="9737" max="9737" width="35.33203125" style="225" customWidth="1"/>
    <col min="9738" max="9738" width="16.109375" style="225" customWidth="1"/>
    <col min="9739" max="9739" width="9.109375" style="225" bestFit="1" customWidth="1"/>
    <col min="9740" max="9740" width="10.109375" style="225" bestFit="1" customWidth="1"/>
    <col min="9741" max="9741" width="10.77734375" style="225" customWidth="1"/>
    <col min="9742" max="9985" width="8.77734375" style="225"/>
    <col min="9986" max="9986" width="35.21875" style="225" customWidth="1"/>
    <col min="9987" max="9987" width="15.6640625" style="225" customWidth="1"/>
    <col min="9988" max="9988" width="14.77734375" style="225" bestFit="1" customWidth="1"/>
    <col min="9989" max="9989" width="1.6640625" style="225" customWidth="1"/>
    <col min="9990" max="9990" width="15.88671875" style="225" customWidth="1"/>
    <col min="9991" max="9991" width="1.44140625" style="225" customWidth="1"/>
    <col min="9992" max="9992" width="8.77734375" style="225"/>
    <col min="9993" max="9993" width="35.33203125" style="225" customWidth="1"/>
    <col min="9994" max="9994" width="16.109375" style="225" customWidth="1"/>
    <col min="9995" max="9995" width="9.109375" style="225" bestFit="1" customWidth="1"/>
    <col min="9996" max="9996" width="10.109375" style="225" bestFit="1" customWidth="1"/>
    <col min="9997" max="9997" width="10.77734375" style="225" customWidth="1"/>
    <col min="9998" max="10241" width="8.77734375" style="225"/>
    <col min="10242" max="10242" width="35.21875" style="225" customWidth="1"/>
    <col min="10243" max="10243" width="15.6640625" style="225" customWidth="1"/>
    <col min="10244" max="10244" width="14.77734375" style="225" bestFit="1" customWidth="1"/>
    <col min="10245" max="10245" width="1.6640625" style="225" customWidth="1"/>
    <col min="10246" max="10246" width="15.88671875" style="225" customWidth="1"/>
    <col min="10247" max="10247" width="1.44140625" style="225" customWidth="1"/>
    <col min="10248" max="10248" width="8.77734375" style="225"/>
    <col min="10249" max="10249" width="35.33203125" style="225" customWidth="1"/>
    <col min="10250" max="10250" width="16.109375" style="225" customWidth="1"/>
    <col min="10251" max="10251" width="9.109375" style="225" bestFit="1" customWidth="1"/>
    <col min="10252" max="10252" width="10.109375" style="225" bestFit="1" customWidth="1"/>
    <col min="10253" max="10253" width="10.77734375" style="225" customWidth="1"/>
    <col min="10254" max="10497" width="8.77734375" style="225"/>
    <col min="10498" max="10498" width="35.21875" style="225" customWidth="1"/>
    <col min="10499" max="10499" width="15.6640625" style="225" customWidth="1"/>
    <col min="10500" max="10500" width="14.77734375" style="225" bestFit="1" customWidth="1"/>
    <col min="10501" max="10501" width="1.6640625" style="225" customWidth="1"/>
    <col min="10502" max="10502" width="15.88671875" style="225" customWidth="1"/>
    <col min="10503" max="10503" width="1.44140625" style="225" customWidth="1"/>
    <col min="10504" max="10504" width="8.77734375" style="225"/>
    <col min="10505" max="10505" width="35.33203125" style="225" customWidth="1"/>
    <col min="10506" max="10506" width="16.109375" style="225" customWidth="1"/>
    <col min="10507" max="10507" width="9.109375" style="225" bestFit="1" customWidth="1"/>
    <col min="10508" max="10508" width="10.109375" style="225" bestFit="1" customWidth="1"/>
    <col min="10509" max="10509" width="10.77734375" style="225" customWidth="1"/>
    <col min="10510" max="10753" width="8.77734375" style="225"/>
    <col min="10754" max="10754" width="35.21875" style="225" customWidth="1"/>
    <col min="10755" max="10755" width="15.6640625" style="225" customWidth="1"/>
    <col min="10756" max="10756" width="14.77734375" style="225" bestFit="1" customWidth="1"/>
    <col min="10757" max="10757" width="1.6640625" style="225" customWidth="1"/>
    <col min="10758" max="10758" width="15.88671875" style="225" customWidth="1"/>
    <col min="10759" max="10759" width="1.44140625" style="225" customWidth="1"/>
    <col min="10760" max="10760" width="8.77734375" style="225"/>
    <col min="10761" max="10761" width="35.33203125" style="225" customWidth="1"/>
    <col min="10762" max="10762" width="16.109375" style="225" customWidth="1"/>
    <col min="10763" max="10763" width="9.109375" style="225" bestFit="1" customWidth="1"/>
    <col min="10764" max="10764" width="10.109375" style="225" bestFit="1" customWidth="1"/>
    <col min="10765" max="10765" width="10.77734375" style="225" customWidth="1"/>
    <col min="10766" max="11009" width="8.77734375" style="225"/>
    <col min="11010" max="11010" width="35.21875" style="225" customWidth="1"/>
    <col min="11011" max="11011" width="15.6640625" style="225" customWidth="1"/>
    <col min="11012" max="11012" width="14.77734375" style="225" bestFit="1" customWidth="1"/>
    <col min="11013" max="11013" width="1.6640625" style="225" customWidth="1"/>
    <col min="11014" max="11014" width="15.88671875" style="225" customWidth="1"/>
    <col min="11015" max="11015" width="1.44140625" style="225" customWidth="1"/>
    <col min="11016" max="11016" width="8.77734375" style="225"/>
    <col min="11017" max="11017" width="35.33203125" style="225" customWidth="1"/>
    <col min="11018" max="11018" width="16.109375" style="225" customWidth="1"/>
    <col min="11019" max="11019" width="9.109375" style="225" bestFit="1" customWidth="1"/>
    <col min="11020" max="11020" width="10.109375" style="225" bestFit="1" customWidth="1"/>
    <col min="11021" max="11021" width="10.77734375" style="225" customWidth="1"/>
    <col min="11022" max="11265" width="8.77734375" style="225"/>
    <col min="11266" max="11266" width="35.21875" style="225" customWidth="1"/>
    <col min="11267" max="11267" width="15.6640625" style="225" customWidth="1"/>
    <col min="11268" max="11268" width="14.77734375" style="225" bestFit="1" customWidth="1"/>
    <col min="11269" max="11269" width="1.6640625" style="225" customWidth="1"/>
    <col min="11270" max="11270" width="15.88671875" style="225" customWidth="1"/>
    <col min="11271" max="11271" width="1.44140625" style="225" customWidth="1"/>
    <col min="11272" max="11272" width="8.77734375" style="225"/>
    <col min="11273" max="11273" width="35.33203125" style="225" customWidth="1"/>
    <col min="11274" max="11274" width="16.109375" style="225" customWidth="1"/>
    <col min="11275" max="11275" width="9.109375" style="225" bestFit="1" customWidth="1"/>
    <col min="11276" max="11276" width="10.109375" style="225" bestFit="1" customWidth="1"/>
    <col min="11277" max="11277" width="10.77734375" style="225" customWidth="1"/>
    <col min="11278" max="11521" width="8.77734375" style="225"/>
    <col min="11522" max="11522" width="35.21875" style="225" customWidth="1"/>
    <col min="11523" max="11523" width="15.6640625" style="225" customWidth="1"/>
    <col min="11524" max="11524" width="14.77734375" style="225" bestFit="1" customWidth="1"/>
    <col min="11525" max="11525" width="1.6640625" style="225" customWidth="1"/>
    <col min="11526" max="11526" width="15.88671875" style="225" customWidth="1"/>
    <col min="11527" max="11527" width="1.44140625" style="225" customWidth="1"/>
    <col min="11528" max="11528" width="8.77734375" style="225"/>
    <col min="11529" max="11529" width="35.33203125" style="225" customWidth="1"/>
    <col min="11530" max="11530" width="16.109375" style="225" customWidth="1"/>
    <col min="11531" max="11531" width="9.109375" style="225" bestFit="1" customWidth="1"/>
    <col min="11532" max="11532" width="10.109375" style="225" bestFit="1" customWidth="1"/>
    <col min="11533" max="11533" width="10.77734375" style="225" customWidth="1"/>
    <col min="11534" max="11777" width="8.77734375" style="225"/>
    <col min="11778" max="11778" width="35.21875" style="225" customWidth="1"/>
    <col min="11779" max="11779" width="15.6640625" style="225" customWidth="1"/>
    <col min="11780" max="11780" width="14.77734375" style="225" bestFit="1" customWidth="1"/>
    <col min="11781" max="11781" width="1.6640625" style="225" customWidth="1"/>
    <col min="11782" max="11782" width="15.88671875" style="225" customWidth="1"/>
    <col min="11783" max="11783" width="1.44140625" style="225" customWidth="1"/>
    <col min="11784" max="11784" width="8.77734375" style="225"/>
    <col min="11785" max="11785" width="35.33203125" style="225" customWidth="1"/>
    <col min="11786" max="11786" width="16.109375" style="225" customWidth="1"/>
    <col min="11787" max="11787" width="9.109375" style="225" bestFit="1" customWidth="1"/>
    <col min="11788" max="11788" width="10.109375" style="225" bestFit="1" customWidth="1"/>
    <col min="11789" max="11789" width="10.77734375" style="225" customWidth="1"/>
    <col min="11790" max="12033" width="8.77734375" style="225"/>
    <col min="12034" max="12034" width="35.21875" style="225" customWidth="1"/>
    <col min="12035" max="12035" width="15.6640625" style="225" customWidth="1"/>
    <col min="12036" max="12036" width="14.77734375" style="225" bestFit="1" customWidth="1"/>
    <col min="12037" max="12037" width="1.6640625" style="225" customWidth="1"/>
    <col min="12038" max="12038" width="15.88671875" style="225" customWidth="1"/>
    <col min="12039" max="12039" width="1.44140625" style="225" customWidth="1"/>
    <col min="12040" max="12040" width="8.77734375" style="225"/>
    <col min="12041" max="12041" width="35.33203125" style="225" customWidth="1"/>
    <col min="12042" max="12042" width="16.109375" style="225" customWidth="1"/>
    <col min="12043" max="12043" width="9.109375" style="225" bestFit="1" customWidth="1"/>
    <col min="12044" max="12044" width="10.109375" style="225" bestFit="1" customWidth="1"/>
    <col min="12045" max="12045" width="10.77734375" style="225" customWidth="1"/>
    <col min="12046" max="12289" width="8.77734375" style="225"/>
    <col min="12290" max="12290" width="35.21875" style="225" customWidth="1"/>
    <col min="12291" max="12291" width="15.6640625" style="225" customWidth="1"/>
    <col min="12292" max="12292" width="14.77734375" style="225" bestFit="1" customWidth="1"/>
    <col min="12293" max="12293" width="1.6640625" style="225" customWidth="1"/>
    <col min="12294" max="12294" width="15.88671875" style="225" customWidth="1"/>
    <col min="12295" max="12295" width="1.44140625" style="225" customWidth="1"/>
    <col min="12296" max="12296" width="8.77734375" style="225"/>
    <col min="12297" max="12297" width="35.33203125" style="225" customWidth="1"/>
    <col min="12298" max="12298" width="16.109375" style="225" customWidth="1"/>
    <col min="12299" max="12299" width="9.109375" style="225" bestFit="1" customWidth="1"/>
    <col min="12300" max="12300" width="10.109375" style="225" bestFit="1" customWidth="1"/>
    <col min="12301" max="12301" width="10.77734375" style="225" customWidth="1"/>
    <col min="12302" max="12545" width="8.77734375" style="225"/>
    <col min="12546" max="12546" width="35.21875" style="225" customWidth="1"/>
    <col min="12547" max="12547" width="15.6640625" style="225" customWidth="1"/>
    <col min="12548" max="12548" width="14.77734375" style="225" bestFit="1" customWidth="1"/>
    <col min="12549" max="12549" width="1.6640625" style="225" customWidth="1"/>
    <col min="12550" max="12550" width="15.88671875" style="225" customWidth="1"/>
    <col min="12551" max="12551" width="1.44140625" style="225" customWidth="1"/>
    <col min="12552" max="12552" width="8.77734375" style="225"/>
    <col min="12553" max="12553" width="35.33203125" style="225" customWidth="1"/>
    <col min="12554" max="12554" width="16.109375" style="225" customWidth="1"/>
    <col min="12555" max="12555" width="9.109375" style="225" bestFit="1" customWidth="1"/>
    <col min="12556" max="12556" width="10.109375" style="225" bestFit="1" customWidth="1"/>
    <col min="12557" max="12557" width="10.77734375" style="225" customWidth="1"/>
    <col min="12558" max="12801" width="8.77734375" style="225"/>
    <col min="12802" max="12802" width="35.21875" style="225" customWidth="1"/>
    <col min="12803" max="12803" width="15.6640625" style="225" customWidth="1"/>
    <col min="12804" max="12804" width="14.77734375" style="225" bestFit="1" customWidth="1"/>
    <col min="12805" max="12805" width="1.6640625" style="225" customWidth="1"/>
    <col min="12806" max="12806" width="15.88671875" style="225" customWidth="1"/>
    <col min="12807" max="12807" width="1.44140625" style="225" customWidth="1"/>
    <col min="12808" max="12808" width="8.77734375" style="225"/>
    <col min="12809" max="12809" width="35.33203125" style="225" customWidth="1"/>
    <col min="12810" max="12810" width="16.109375" style="225" customWidth="1"/>
    <col min="12811" max="12811" width="9.109375" style="225" bestFit="1" customWidth="1"/>
    <col min="12812" max="12812" width="10.109375" style="225" bestFit="1" customWidth="1"/>
    <col min="12813" max="12813" width="10.77734375" style="225" customWidth="1"/>
    <col min="12814" max="13057" width="8.77734375" style="225"/>
    <col min="13058" max="13058" width="35.21875" style="225" customWidth="1"/>
    <col min="13059" max="13059" width="15.6640625" style="225" customWidth="1"/>
    <col min="13060" max="13060" width="14.77734375" style="225" bestFit="1" customWidth="1"/>
    <col min="13061" max="13061" width="1.6640625" style="225" customWidth="1"/>
    <col min="13062" max="13062" width="15.88671875" style="225" customWidth="1"/>
    <col min="13063" max="13063" width="1.44140625" style="225" customWidth="1"/>
    <col min="13064" max="13064" width="8.77734375" style="225"/>
    <col min="13065" max="13065" width="35.33203125" style="225" customWidth="1"/>
    <col min="13066" max="13066" width="16.109375" style="225" customWidth="1"/>
    <col min="13067" max="13067" width="9.109375" style="225" bestFit="1" customWidth="1"/>
    <col min="13068" max="13068" width="10.109375" style="225" bestFit="1" customWidth="1"/>
    <col min="13069" max="13069" width="10.77734375" style="225" customWidth="1"/>
    <col min="13070" max="13313" width="8.77734375" style="225"/>
    <col min="13314" max="13314" width="35.21875" style="225" customWidth="1"/>
    <col min="13315" max="13315" width="15.6640625" style="225" customWidth="1"/>
    <col min="13316" max="13316" width="14.77734375" style="225" bestFit="1" customWidth="1"/>
    <col min="13317" max="13317" width="1.6640625" style="225" customWidth="1"/>
    <col min="13318" max="13318" width="15.88671875" style="225" customWidth="1"/>
    <col min="13319" max="13319" width="1.44140625" style="225" customWidth="1"/>
    <col min="13320" max="13320" width="8.77734375" style="225"/>
    <col min="13321" max="13321" width="35.33203125" style="225" customWidth="1"/>
    <col min="13322" max="13322" width="16.109375" style="225" customWidth="1"/>
    <col min="13323" max="13323" width="9.109375" style="225" bestFit="1" customWidth="1"/>
    <col min="13324" max="13324" width="10.109375" style="225" bestFit="1" customWidth="1"/>
    <col min="13325" max="13325" width="10.77734375" style="225" customWidth="1"/>
    <col min="13326" max="13569" width="8.77734375" style="225"/>
    <col min="13570" max="13570" width="35.21875" style="225" customWidth="1"/>
    <col min="13571" max="13571" width="15.6640625" style="225" customWidth="1"/>
    <col min="13572" max="13572" width="14.77734375" style="225" bestFit="1" customWidth="1"/>
    <col min="13573" max="13573" width="1.6640625" style="225" customWidth="1"/>
    <col min="13574" max="13574" width="15.88671875" style="225" customWidth="1"/>
    <col min="13575" max="13575" width="1.44140625" style="225" customWidth="1"/>
    <col min="13576" max="13576" width="8.77734375" style="225"/>
    <col min="13577" max="13577" width="35.33203125" style="225" customWidth="1"/>
    <col min="13578" max="13578" width="16.109375" style="225" customWidth="1"/>
    <col min="13579" max="13579" width="9.109375" style="225" bestFit="1" customWidth="1"/>
    <col min="13580" max="13580" width="10.109375" style="225" bestFit="1" customWidth="1"/>
    <col min="13581" max="13581" width="10.77734375" style="225" customWidth="1"/>
    <col min="13582" max="13825" width="8.77734375" style="225"/>
    <col min="13826" max="13826" width="35.21875" style="225" customWidth="1"/>
    <col min="13827" max="13827" width="15.6640625" style="225" customWidth="1"/>
    <col min="13828" max="13828" width="14.77734375" style="225" bestFit="1" customWidth="1"/>
    <col min="13829" max="13829" width="1.6640625" style="225" customWidth="1"/>
    <col min="13830" max="13830" width="15.88671875" style="225" customWidth="1"/>
    <col min="13831" max="13831" width="1.44140625" style="225" customWidth="1"/>
    <col min="13832" max="13832" width="8.77734375" style="225"/>
    <col min="13833" max="13833" width="35.33203125" style="225" customWidth="1"/>
    <col min="13834" max="13834" width="16.109375" style="225" customWidth="1"/>
    <col min="13835" max="13835" width="9.109375" style="225" bestFit="1" customWidth="1"/>
    <col min="13836" max="13836" width="10.109375" style="225" bestFit="1" customWidth="1"/>
    <col min="13837" max="13837" width="10.77734375" style="225" customWidth="1"/>
    <col min="13838" max="14081" width="8.77734375" style="225"/>
    <col min="14082" max="14082" width="35.21875" style="225" customWidth="1"/>
    <col min="14083" max="14083" width="15.6640625" style="225" customWidth="1"/>
    <col min="14084" max="14084" width="14.77734375" style="225" bestFit="1" customWidth="1"/>
    <col min="14085" max="14085" width="1.6640625" style="225" customWidth="1"/>
    <col min="14086" max="14086" width="15.88671875" style="225" customWidth="1"/>
    <col min="14087" max="14087" width="1.44140625" style="225" customWidth="1"/>
    <col min="14088" max="14088" width="8.77734375" style="225"/>
    <col min="14089" max="14089" width="35.33203125" style="225" customWidth="1"/>
    <col min="14090" max="14090" width="16.109375" style="225" customWidth="1"/>
    <col min="14091" max="14091" width="9.109375" style="225" bestFit="1" customWidth="1"/>
    <col min="14092" max="14092" width="10.109375" style="225" bestFit="1" customWidth="1"/>
    <col min="14093" max="14093" width="10.77734375" style="225" customWidth="1"/>
    <col min="14094" max="14337" width="8.77734375" style="225"/>
    <col min="14338" max="14338" width="35.21875" style="225" customWidth="1"/>
    <col min="14339" max="14339" width="15.6640625" style="225" customWidth="1"/>
    <col min="14340" max="14340" width="14.77734375" style="225" bestFit="1" customWidth="1"/>
    <col min="14341" max="14341" width="1.6640625" style="225" customWidth="1"/>
    <col min="14342" max="14342" width="15.88671875" style="225" customWidth="1"/>
    <col min="14343" max="14343" width="1.44140625" style="225" customWidth="1"/>
    <col min="14344" max="14344" width="8.77734375" style="225"/>
    <col min="14345" max="14345" width="35.33203125" style="225" customWidth="1"/>
    <col min="14346" max="14346" width="16.109375" style="225" customWidth="1"/>
    <col min="14347" max="14347" width="9.109375" style="225" bestFit="1" customWidth="1"/>
    <col min="14348" max="14348" width="10.109375" style="225" bestFit="1" customWidth="1"/>
    <col min="14349" max="14349" width="10.77734375" style="225" customWidth="1"/>
    <col min="14350" max="14593" width="8.77734375" style="225"/>
    <col min="14594" max="14594" width="35.21875" style="225" customWidth="1"/>
    <col min="14595" max="14595" width="15.6640625" style="225" customWidth="1"/>
    <col min="14596" max="14596" width="14.77734375" style="225" bestFit="1" customWidth="1"/>
    <col min="14597" max="14597" width="1.6640625" style="225" customWidth="1"/>
    <col min="14598" max="14598" width="15.88671875" style="225" customWidth="1"/>
    <col min="14599" max="14599" width="1.44140625" style="225" customWidth="1"/>
    <col min="14600" max="14600" width="8.77734375" style="225"/>
    <col min="14601" max="14601" width="35.33203125" style="225" customWidth="1"/>
    <col min="14602" max="14602" width="16.109375" style="225" customWidth="1"/>
    <col min="14603" max="14603" width="9.109375" style="225" bestFit="1" customWidth="1"/>
    <col min="14604" max="14604" width="10.109375" style="225" bestFit="1" customWidth="1"/>
    <col min="14605" max="14605" width="10.77734375" style="225" customWidth="1"/>
    <col min="14606" max="14849" width="8.77734375" style="225"/>
    <col min="14850" max="14850" width="35.21875" style="225" customWidth="1"/>
    <col min="14851" max="14851" width="15.6640625" style="225" customWidth="1"/>
    <col min="14852" max="14852" width="14.77734375" style="225" bestFit="1" customWidth="1"/>
    <col min="14853" max="14853" width="1.6640625" style="225" customWidth="1"/>
    <col min="14854" max="14854" width="15.88671875" style="225" customWidth="1"/>
    <col min="14855" max="14855" width="1.44140625" style="225" customWidth="1"/>
    <col min="14856" max="14856" width="8.77734375" style="225"/>
    <col min="14857" max="14857" width="35.33203125" style="225" customWidth="1"/>
    <col min="14858" max="14858" width="16.109375" style="225" customWidth="1"/>
    <col min="14859" max="14859" width="9.109375" style="225" bestFit="1" customWidth="1"/>
    <col min="14860" max="14860" width="10.109375" style="225" bestFit="1" customWidth="1"/>
    <col min="14861" max="14861" width="10.77734375" style="225" customWidth="1"/>
    <col min="14862" max="15105" width="8.77734375" style="225"/>
    <col min="15106" max="15106" width="35.21875" style="225" customWidth="1"/>
    <col min="15107" max="15107" width="15.6640625" style="225" customWidth="1"/>
    <col min="15108" max="15108" width="14.77734375" style="225" bestFit="1" customWidth="1"/>
    <col min="15109" max="15109" width="1.6640625" style="225" customWidth="1"/>
    <col min="15110" max="15110" width="15.88671875" style="225" customWidth="1"/>
    <col min="15111" max="15111" width="1.44140625" style="225" customWidth="1"/>
    <col min="15112" max="15112" width="8.77734375" style="225"/>
    <col min="15113" max="15113" width="35.33203125" style="225" customWidth="1"/>
    <col min="15114" max="15114" width="16.109375" style="225" customWidth="1"/>
    <col min="15115" max="15115" width="9.109375" style="225" bestFit="1" customWidth="1"/>
    <col min="15116" max="15116" width="10.109375" style="225" bestFit="1" customWidth="1"/>
    <col min="15117" max="15117" width="10.77734375" style="225" customWidth="1"/>
    <col min="15118" max="15361" width="8.77734375" style="225"/>
    <col min="15362" max="15362" width="35.21875" style="225" customWidth="1"/>
    <col min="15363" max="15363" width="15.6640625" style="225" customWidth="1"/>
    <col min="15364" max="15364" width="14.77734375" style="225" bestFit="1" customWidth="1"/>
    <col min="15365" max="15365" width="1.6640625" style="225" customWidth="1"/>
    <col min="15366" max="15366" width="15.88671875" style="225" customWidth="1"/>
    <col min="15367" max="15367" width="1.44140625" style="225" customWidth="1"/>
    <col min="15368" max="15368" width="8.77734375" style="225"/>
    <col min="15369" max="15369" width="35.33203125" style="225" customWidth="1"/>
    <col min="15370" max="15370" width="16.109375" style="225" customWidth="1"/>
    <col min="15371" max="15371" width="9.109375" style="225" bestFit="1" customWidth="1"/>
    <col min="15372" max="15372" width="10.109375" style="225" bestFit="1" customWidth="1"/>
    <col min="15373" max="15373" width="10.77734375" style="225" customWidth="1"/>
    <col min="15374" max="15617" width="8.77734375" style="225"/>
    <col min="15618" max="15618" width="35.21875" style="225" customWidth="1"/>
    <col min="15619" max="15619" width="15.6640625" style="225" customWidth="1"/>
    <col min="15620" max="15620" width="14.77734375" style="225" bestFit="1" customWidth="1"/>
    <col min="15621" max="15621" width="1.6640625" style="225" customWidth="1"/>
    <col min="15622" max="15622" width="15.88671875" style="225" customWidth="1"/>
    <col min="15623" max="15623" width="1.44140625" style="225" customWidth="1"/>
    <col min="15624" max="15624" width="8.77734375" style="225"/>
    <col min="15625" max="15625" width="35.33203125" style="225" customWidth="1"/>
    <col min="15626" max="15626" width="16.109375" style="225" customWidth="1"/>
    <col min="15627" max="15627" width="9.109375" style="225" bestFit="1" customWidth="1"/>
    <col min="15628" max="15628" width="10.109375" style="225" bestFit="1" customWidth="1"/>
    <col min="15629" max="15629" width="10.77734375" style="225" customWidth="1"/>
    <col min="15630" max="15873" width="8.77734375" style="225"/>
    <col min="15874" max="15874" width="35.21875" style="225" customWidth="1"/>
    <col min="15875" max="15875" width="15.6640625" style="225" customWidth="1"/>
    <col min="15876" max="15876" width="14.77734375" style="225" bestFit="1" customWidth="1"/>
    <col min="15877" max="15877" width="1.6640625" style="225" customWidth="1"/>
    <col min="15878" max="15878" width="15.88671875" style="225" customWidth="1"/>
    <col min="15879" max="15879" width="1.44140625" style="225" customWidth="1"/>
    <col min="15880" max="15880" width="8.77734375" style="225"/>
    <col min="15881" max="15881" width="35.33203125" style="225" customWidth="1"/>
    <col min="15882" max="15882" width="16.109375" style="225" customWidth="1"/>
    <col min="15883" max="15883" width="9.109375" style="225" bestFit="1" customWidth="1"/>
    <col min="15884" max="15884" width="10.109375" style="225" bestFit="1" customWidth="1"/>
    <col min="15885" max="15885" width="10.77734375" style="225" customWidth="1"/>
    <col min="15886" max="16129" width="8.77734375" style="225"/>
    <col min="16130" max="16130" width="35.21875" style="225" customWidth="1"/>
    <col min="16131" max="16131" width="15.6640625" style="225" customWidth="1"/>
    <col min="16132" max="16132" width="14.77734375" style="225" bestFit="1" customWidth="1"/>
    <col min="16133" max="16133" width="1.6640625" style="225" customWidth="1"/>
    <col min="16134" max="16134" width="15.88671875" style="225" customWidth="1"/>
    <col min="16135" max="16135" width="1.44140625" style="225" customWidth="1"/>
    <col min="16136" max="16136" width="8.77734375" style="225"/>
    <col min="16137" max="16137" width="35.33203125" style="225" customWidth="1"/>
    <col min="16138" max="16138" width="16.109375" style="225" customWidth="1"/>
    <col min="16139" max="16139" width="9.109375" style="225" bestFit="1" customWidth="1"/>
    <col min="16140" max="16140" width="10.109375" style="225" bestFit="1" customWidth="1"/>
    <col min="16141" max="16141" width="10.77734375" style="225" customWidth="1"/>
    <col min="16142" max="16384" width="8.77734375" style="225"/>
  </cols>
  <sheetData>
    <row r="1" spans="1:8">
      <c r="A1" s="1008" t="s">
        <v>491</v>
      </c>
      <c r="B1" s="1008"/>
      <c r="C1" s="1008"/>
      <c r="D1" s="1008"/>
      <c r="E1" s="1008"/>
      <c r="F1" s="1008"/>
      <c r="G1" s="1008"/>
      <c r="H1" s="812"/>
    </row>
    <row r="2" spans="1:8">
      <c r="A2" s="1036" t="s">
        <v>734</v>
      </c>
      <c r="B2" s="1036"/>
      <c r="C2" s="1036"/>
      <c r="D2" s="1036"/>
      <c r="E2" s="1036"/>
      <c r="F2" s="1036"/>
      <c r="G2" s="1036"/>
      <c r="H2" s="814"/>
    </row>
    <row r="3" spans="1:8">
      <c r="A3" s="1037" t="str">
        <f>+'Attachment H-30A'!D5</f>
        <v>Transource Maryland, LLC</v>
      </c>
      <c r="B3" s="1037"/>
      <c r="C3" s="1037"/>
      <c r="D3" s="1037"/>
      <c r="E3" s="1037"/>
      <c r="F3" s="1037"/>
      <c r="G3" s="1037"/>
      <c r="H3" s="815"/>
    </row>
    <row r="4" spans="1:8">
      <c r="A4" s="675"/>
      <c r="F4" s="676"/>
    </row>
    <row r="5" spans="1:8">
      <c r="A5" s="675"/>
    </row>
    <row r="6" spans="1:8">
      <c r="A6" s="675"/>
    </row>
    <row r="7" spans="1:8">
      <c r="A7" s="677"/>
      <c r="B7" s="678"/>
      <c r="C7" s="677"/>
      <c r="D7" s="706" t="s">
        <v>190</v>
      </c>
      <c r="E7" s="677"/>
      <c r="F7" s="706" t="s">
        <v>191</v>
      </c>
      <c r="G7" s="677"/>
    </row>
    <row r="8" spans="1:8">
      <c r="F8" s="679" t="s">
        <v>487</v>
      </c>
      <c r="G8" s="680"/>
    </row>
    <row r="9" spans="1:8">
      <c r="D9" s="681" t="s">
        <v>282</v>
      </c>
      <c r="F9" s="757"/>
    </row>
    <row r="10" spans="1:8">
      <c r="A10" s="681" t="s">
        <v>8</v>
      </c>
      <c r="D10" s="681" t="s">
        <v>488</v>
      </c>
      <c r="F10" s="681" t="s">
        <v>282</v>
      </c>
    </row>
    <row r="11" spans="1:8">
      <c r="A11" s="682" t="s">
        <v>10</v>
      </c>
      <c r="B11" s="683" t="s">
        <v>474</v>
      </c>
      <c r="C11" s="682" t="s">
        <v>199</v>
      </c>
      <c r="D11" s="682" t="s">
        <v>478</v>
      </c>
      <c r="F11" s="682" t="s">
        <v>305</v>
      </c>
    </row>
    <row r="12" spans="1:8">
      <c r="F12" s="682"/>
    </row>
    <row r="13" spans="1:8">
      <c r="A13" s="684">
        <v>1</v>
      </c>
      <c r="B13" s="685" t="s">
        <v>492</v>
      </c>
      <c r="D13" s="260"/>
      <c r="E13" s="260"/>
      <c r="F13" s="686">
        <v>0</v>
      </c>
    </row>
    <row r="14" spans="1:8">
      <c r="A14" s="684">
        <f>+A13+1</f>
        <v>2</v>
      </c>
      <c r="B14" s="225" t="s">
        <v>645</v>
      </c>
      <c r="D14" s="260"/>
      <c r="E14" s="260"/>
      <c r="F14" s="686">
        <v>0</v>
      </c>
    </row>
    <row r="15" spans="1:8">
      <c r="A15" s="684">
        <f t="shared" ref="A15:A30" si="0">+A14+1</f>
        <v>3</v>
      </c>
      <c r="D15" s="687"/>
      <c r="E15" s="687"/>
      <c r="F15" s="687"/>
    </row>
    <row r="16" spans="1:8" ht="21.6" customHeight="1">
      <c r="A16" s="684">
        <f t="shared" si="0"/>
        <v>4</v>
      </c>
      <c r="B16" s="688" t="s">
        <v>493</v>
      </c>
      <c r="D16"/>
      <c r="E16" s="260"/>
      <c r="F16" s="689"/>
    </row>
    <row r="17" spans="1:14">
      <c r="A17" s="684">
        <f t="shared" si="0"/>
        <v>5</v>
      </c>
      <c r="B17" s="688" t="s">
        <v>494</v>
      </c>
      <c r="D17"/>
      <c r="E17" s="260"/>
      <c r="F17" s="686">
        <v>0</v>
      </c>
    </row>
    <row r="18" spans="1:14">
      <c r="A18" s="684">
        <f t="shared" si="0"/>
        <v>6</v>
      </c>
      <c r="D18"/>
      <c r="E18" s="260"/>
      <c r="F18" s="260"/>
    </row>
    <row r="19" spans="1:14">
      <c r="A19" s="684">
        <f t="shared" si="0"/>
        <v>7</v>
      </c>
      <c r="B19" s="225" t="s">
        <v>495</v>
      </c>
      <c r="C19" s="225" t="s">
        <v>647</v>
      </c>
      <c r="D19"/>
      <c r="E19" s="260"/>
      <c r="F19" s="690">
        <f>+F16+F17</f>
        <v>0</v>
      </c>
    </row>
    <row r="20" spans="1:14">
      <c r="A20" s="684">
        <f t="shared" si="0"/>
        <v>8</v>
      </c>
      <c r="D20" s="260"/>
      <c r="E20" s="260"/>
      <c r="F20" s="260"/>
      <c r="I20" s="691"/>
      <c r="J20" s="692"/>
      <c r="K20" s="692"/>
      <c r="L20" s="692"/>
      <c r="M20" s="692"/>
      <c r="N20" s="692"/>
    </row>
    <row r="21" spans="1:14">
      <c r="A21" s="684">
        <f t="shared" si="0"/>
        <v>9</v>
      </c>
      <c r="B21" s="225" t="s">
        <v>489</v>
      </c>
      <c r="C21" s="225" t="s">
        <v>648</v>
      </c>
      <c r="D21" s="260"/>
      <c r="E21" s="260"/>
      <c r="F21" s="260">
        <f>+F14+F19</f>
        <v>0</v>
      </c>
    </row>
    <row r="22" spans="1:14">
      <c r="A22" s="684">
        <f t="shared" si="0"/>
        <v>10</v>
      </c>
      <c r="D22" s="260"/>
      <c r="E22" s="260"/>
      <c r="F22" s="260"/>
    </row>
    <row r="23" spans="1:14">
      <c r="A23" s="684">
        <f t="shared" si="0"/>
        <v>11</v>
      </c>
      <c r="D23" s="260"/>
      <c r="E23" s="260"/>
      <c r="F23" s="260"/>
    </row>
    <row r="24" spans="1:14">
      <c r="A24" s="684">
        <f t="shared" si="0"/>
        <v>12</v>
      </c>
      <c r="B24" s="225" t="s">
        <v>495</v>
      </c>
      <c r="C24" s="225" t="s">
        <v>646</v>
      </c>
      <c r="D24" s="260"/>
      <c r="E24" s="260"/>
      <c r="F24" s="260">
        <f>+F19</f>
        <v>0</v>
      </c>
    </row>
    <row r="25" spans="1:14">
      <c r="A25" s="684">
        <f t="shared" si="0"/>
        <v>13</v>
      </c>
    </row>
    <row r="26" spans="1:14">
      <c r="A26" s="684">
        <f t="shared" si="0"/>
        <v>14</v>
      </c>
      <c r="B26" s="225" t="s">
        <v>654</v>
      </c>
      <c r="C26" s="225" t="s">
        <v>295</v>
      </c>
      <c r="F26" s="972">
        <v>2.5000000000000001E-3</v>
      </c>
    </row>
    <row r="27" spans="1:14">
      <c r="A27" s="684">
        <f t="shared" si="0"/>
        <v>15</v>
      </c>
      <c r="B27" s="225" t="s">
        <v>652</v>
      </c>
      <c r="C27" s="225" t="s">
        <v>296</v>
      </c>
      <c r="F27" s="971">
        <v>30</v>
      </c>
    </row>
    <row r="28" spans="1:14">
      <c r="A28" s="684">
        <f t="shared" si="0"/>
        <v>16</v>
      </c>
      <c r="B28" s="225" t="s">
        <v>496</v>
      </c>
      <c r="C28" s="225" t="s">
        <v>653</v>
      </c>
      <c r="F28" s="690">
        <f>+F24*F26*F27</f>
        <v>0</v>
      </c>
    </row>
    <row r="29" spans="1:14">
      <c r="A29" s="684">
        <f t="shared" si="0"/>
        <v>17</v>
      </c>
    </row>
    <row r="30" spans="1:14">
      <c r="A30" s="684">
        <f t="shared" si="0"/>
        <v>18</v>
      </c>
      <c r="B30" s="692" t="s">
        <v>649</v>
      </c>
      <c r="C30" s="692" t="s">
        <v>650</v>
      </c>
      <c r="D30" s="692"/>
      <c r="E30" s="692"/>
      <c r="F30" s="260">
        <f>+F24+F28</f>
        <v>0</v>
      </c>
      <c r="G30" s="692"/>
    </row>
    <row r="31" spans="1:14">
      <c r="A31" s="684"/>
      <c r="B31" s="692"/>
      <c r="C31" s="692"/>
      <c r="D31" s="692"/>
      <c r="E31" s="692"/>
      <c r="F31" s="692"/>
      <c r="G31" s="692"/>
    </row>
    <row r="33" spans="1:8">
      <c r="A33" s="708" t="s">
        <v>176</v>
      </c>
    </row>
    <row r="34" spans="1:8" ht="56.25" customHeight="1">
      <c r="A34" s="709" t="s">
        <v>62</v>
      </c>
      <c r="B34" s="1038" t="s">
        <v>644</v>
      </c>
      <c r="C34" s="1038"/>
      <c r="D34" s="1038"/>
      <c r="E34" s="1038"/>
      <c r="F34" s="1038"/>
      <c r="G34" s="804"/>
      <c r="H34" s="804"/>
    </row>
    <row r="35" spans="1:8" ht="86.25" customHeight="1">
      <c r="A35" s="709" t="s">
        <v>63</v>
      </c>
      <c r="B35" s="1038" t="s">
        <v>651</v>
      </c>
      <c r="C35" s="1038"/>
      <c r="D35" s="1038"/>
      <c r="E35" s="1038"/>
      <c r="F35" s="1038"/>
      <c r="G35" s="804"/>
      <c r="H35" s="804"/>
    </row>
    <row r="36" spans="1:8">
      <c r="A36" s="707"/>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zoomScaleNormal="100" zoomScaleSheetLayoutView="100" workbookViewId="0">
      <selection activeCell="D27" sqref="D27"/>
    </sheetView>
  </sheetViews>
  <sheetFormatPr defaultColWidth="8.88671875" defaultRowHeight="15.75"/>
  <cols>
    <col min="1" max="1" width="7.33203125" style="347" customWidth="1"/>
    <col min="2" max="2" width="45.6640625" style="347" customWidth="1"/>
    <col min="3" max="3" width="17" style="347" customWidth="1"/>
    <col min="4" max="4" width="11.6640625" style="347" customWidth="1"/>
    <col min="5" max="5" width="10.88671875" style="778" bestFit="1" customWidth="1"/>
    <col min="6" max="6" width="10.44140625" style="347" customWidth="1"/>
    <col min="7" max="16384" width="8.88671875" style="347"/>
  </cols>
  <sheetData>
    <row r="1" spans="1:9" ht="12.75">
      <c r="A1" s="1008" t="s">
        <v>676</v>
      </c>
      <c r="B1" s="1008"/>
      <c r="C1" s="1008"/>
      <c r="D1" s="1008"/>
      <c r="E1" s="1008"/>
      <c r="F1" s="1008"/>
      <c r="G1" s="1008"/>
      <c r="H1" s="407"/>
      <c r="I1" s="407"/>
    </row>
    <row r="2" spans="1:9" ht="12.75">
      <c r="A2" s="1036" t="s">
        <v>677</v>
      </c>
      <c r="B2" s="1036"/>
      <c r="C2" s="1036"/>
      <c r="D2" s="1036"/>
      <c r="E2" s="1036"/>
      <c r="F2" s="1036"/>
      <c r="G2" s="1036"/>
      <c r="H2" s="715"/>
      <c r="I2" s="715"/>
    </row>
    <row r="3" spans="1:9" ht="12.75">
      <c r="A3" s="1037" t="str">
        <f>+'Attachment H-30A'!D5</f>
        <v>Transource Maryland, LLC</v>
      </c>
      <c r="B3" s="1037"/>
      <c r="C3" s="1037"/>
      <c r="D3" s="1037"/>
      <c r="E3" s="1037"/>
      <c r="F3" s="1037"/>
      <c r="G3" s="1037"/>
      <c r="H3" s="368"/>
      <c r="I3" s="368"/>
    </row>
    <row r="4" spans="1:9" ht="12.75">
      <c r="A4" s="714"/>
      <c r="B4" s="714"/>
      <c r="C4" s="714"/>
      <c r="D4" s="714"/>
      <c r="E4" s="714"/>
      <c r="F4" s="714"/>
      <c r="G4" s="714"/>
      <c r="H4" s="368"/>
      <c r="I4" s="368"/>
    </row>
    <row r="5" spans="1:9">
      <c r="A5" s="759"/>
      <c r="D5" s="760"/>
      <c r="E5" s="761"/>
      <c r="F5" s="759"/>
      <c r="H5" s="762"/>
    </row>
    <row r="6" spans="1:9" ht="12.75">
      <c r="A6" s="712" t="s">
        <v>148</v>
      </c>
      <c r="B6" s="564" t="s">
        <v>690</v>
      </c>
      <c r="C6" s="564"/>
      <c r="D6" s="216" t="s">
        <v>190</v>
      </c>
      <c r="E6" s="216" t="s">
        <v>191</v>
      </c>
      <c r="F6" s="378" t="s">
        <v>688</v>
      </c>
      <c r="G6" s="763"/>
      <c r="H6" s="763"/>
      <c r="I6" s="763"/>
    </row>
    <row r="7" spans="1:9" ht="25.5">
      <c r="A7" s="346">
        <v>1</v>
      </c>
      <c r="B7" s="764" t="s">
        <v>669</v>
      </c>
      <c r="C7" s="398" t="s">
        <v>199</v>
      </c>
      <c r="D7" s="781" t="s">
        <v>18</v>
      </c>
      <c r="E7" s="377" t="s">
        <v>687</v>
      </c>
      <c r="F7" s="377" t="s">
        <v>686</v>
      </c>
    </row>
    <row r="8" spans="1:9" ht="12.75">
      <c r="A8" s="346">
        <f t="shared" ref="A8:A14" si="0">+A7+1</f>
        <v>2</v>
      </c>
      <c r="B8" s="333" t="s">
        <v>671</v>
      </c>
      <c r="C8" s="333" t="s">
        <v>679</v>
      </c>
      <c r="D8" s="767">
        <v>0</v>
      </c>
      <c r="E8" s="767">
        <v>0</v>
      </c>
      <c r="F8" s="780">
        <f>+D8-E8</f>
        <v>0</v>
      </c>
    </row>
    <row r="9" spans="1:9" ht="12.75">
      <c r="A9" s="346">
        <f t="shared" si="0"/>
        <v>3</v>
      </c>
      <c r="B9" s="333" t="s">
        <v>672</v>
      </c>
      <c r="C9" s="333" t="s">
        <v>679</v>
      </c>
      <c r="D9" s="767">
        <v>0</v>
      </c>
      <c r="E9" s="767">
        <v>0</v>
      </c>
      <c r="F9" s="780">
        <f t="shared" ref="F9:F14" si="1">+D9-E9</f>
        <v>0</v>
      </c>
    </row>
    <row r="10" spans="1:9" ht="12.75">
      <c r="A10" s="346">
        <f t="shared" si="0"/>
        <v>4</v>
      </c>
      <c r="B10" s="333" t="s">
        <v>673</v>
      </c>
      <c r="C10" s="333" t="s">
        <v>679</v>
      </c>
      <c r="D10" s="767">
        <v>0</v>
      </c>
      <c r="E10" s="767">
        <v>0</v>
      </c>
      <c r="F10" s="780">
        <f t="shared" si="1"/>
        <v>0</v>
      </c>
    </row>
    <row r="11" spans="1:9" ht="12.75">
      <c r="A11" s="346">
        <f t="shared" si="0"/>
        <v>5</v>
      </c>
      <c r="B11" s="333" t="s">
        <v>674</v>
      </c>
      <c r="C11" s="333" t="s">
        <v>679</v>
      </c>
      <c r="D11" s="767">
        <v>0</v>
      </c>
      <c r="E11" s="767">
        <v>0</v>
      </c>
      <c r="F11" s="780">
        <f t="shared" si="1"/>
        <v>0</v>
      </c>
    </row>
    <row r="12" spans="1:9" ht="12.75">
      <c r="A12" s="346">
        <f t="shared" si="0"/>
        <v>6</v>
      </c>
      <c r="B12" s="333" t="s">
        <v>675</v>
      </c>
      <c r="C12" s="333" t="s">
        <v>679</v>
      </c>
      <c r="D12" s="768">
        <v>0</v>
      </c>
      <c r="E12" s="768">
        <v>0</v>
      </c>
      <c r="F12" s="780">
        <f t="shared" si="1"/>
        <v>0</v>
      </c>
    </row>
    <row r="13" spans="1:9" ht="12.75">
      <c r="A13" s="346">
        <f t="shared" si="0"/>
        <v>7</v>
      </c>
      <c r="B13" s="333" t="s">
        <v>675</v>
      </c>
      <c r="C13" s="333" t="s">
        <v>679</v>
      </c>
      <c r="D13" s="768">
        <v>0</v>
      </c>
      <c r="E13" s="768">
        <v>0</v>
      </c>
      <c r="F13" s="780">
        <f t="shared" si="1"/>
        <v>0</v>
      </c>
    </row>
    <row r="14" spans="1:9" ht="12.75">
      <c r="A14" s="346">
        <f t="shared" si="0"/>
        <v>8</v>
      </c>
      <c r="B14" s="770" t="s">
        <v>685</v>
      </c>
      <c r="C14" s="333" t="s">
        <v>683</v>
      </c>
      <c r="D14" s="769">
        <f>+SUM(D8:D13)</f>
        <v>0</v>
      </c>
      <c r="E14" s="769">
        <f>+SUM(E8:E13)</f>
        <v>0</v>
      </c>
      <c r="F14" s="782">
        <f t="shared" si="1"/>
        <v>0</v>
      </c>
    </row>
    <row r="15" spans="1:9" ht="12.75">
      <c r="A15" s="346"/>
      <c r="B15" s="770"/>
      <c r="C15" s="770"/>
      <c r="D15" s="772"/>
      <c r="E15" s="772"/>
    </row>
    <row r="16" spans="1:9" ht="12.75">
      <c r="A16" s="346"/>
      <c r="B16" s="770"/>
      <c r="C16" s="770"/>
      <c r="D16" s="772"/>
      <c r="E16" s="772"/>
    </row>
    <row r="17" spans="1:6" ht="12.75">
      <c r="A17" s="346"/>
      <c r="B17" s="770"/>
      <c r="C17" s="770"/>
      <c r="D17" s="772"/>
      <c r="E17" s="772"/>
    </row>
    <row r="18" spans="1:6" ht="12.75">
      <c r="A18" s="302"/>
      <c r="B18" s="770" t="s">
        <v>770</v>
      </c>
      <c r="C18" s="765"/>
      <c r="D18" s="766"/>
      <c r="E18" s="347"/>
    </row>
    <row r="19" spans="1:6" ht="12.75">
      <c r="A19" s="346">
        <f>+A14+1</f>
        <v>9</v>
      </c>
      <c r="B19" s="333" t="s">
        <v>404</v>
      </c>
      <c r="C19" s="333" t="s">
        <v>679</v>
      </c>
      <c r="D19" s="767">
        <v>0</v>
      </c>
      <c r="E19" s="767">
        <v>0</v>
      </c>
      <c r="F19" s="780">
        <f t="shared" ref="F19" si="2">+D19-E19</f>
        <v>0</v>
      </c>
    </row>
    <row r="20" spans="1:6" ht="12.75">
      <c r="A20" s="346">
        <f>+A19+1</f>
        <v>10</v>
      </c>
      <c r="B20" s="333" t="s">
        <v>404</v>
      </c>
      <c r="C20" s="333" t="s">
        <v>679</v>
      </c>
      <c r="D20" s="767">
        <v>0</v>
      </c>
      <c r="E20" s="767">
        <v>0</v>
      </c>
      <c r="F20" s="780">
        <f t="shared" ref="F20:F21" si="3">+D20-E20</f>
        <v>0</v>
      </c>
    </row>
    <row r="21" spans="1:6" ht="12.75">
      <c r="A21" s="346">
        <f t="shared" ref="A21" si="4">+A20+1</f>
        <v>11</v>
      </c>
      <c r="B21" s="770" t="s">
        <v>774</v>
      </c>
      <c r="C21" s="333" t="s">
        <v>771</v>
      </c>
      <c r="D21" s="769">
        <f>+SUM(D19:D20)</f>
        <v>0</v>
      </c>
      <c r="E21" s="769">
        <f>+SUM(E19:E20)</f>
        <v>0</v>
      </c>
      <c r="F21" s="782">
        <f t="shared" si="3"/>
        <v>0</v>
      </c>
    </row>
    <row r="22" spans="1:6" ht="12.75">
      <c r="A22" s="346"/>
      <c r="B22" s="770"/>
      <c r="C22" s="333"/>
      <c r="D22" s="772"/>
      <c r="E22" s="772"/>
      <c r="F22" s="852"/>
    </row>
    <row r="23" spans="1:6" ht="12.75">
      <c r="A23" s="302"/>
      <c r="B23" s="770" t="s">
        <v>772</v>
      </c>
      <c r="C23" s="765"/>
      <c r="D23" s="766"/>
      <c r="E23" s="347"/>
    </row>
    <row r="24" spans="1:6" ht="12.75">
      <c r="A24" s="346">
        <f>+A21+1</f>
        <v>12</v>
      </c>
      <c r="B24" s="333" t="s">
        <v>681</v>
      </c>
      <c r="C24" s="333" t="s">
        <v>679</v>
      </c>
      <c r="D24" s="767">
        <v>0</v>
      </c>
      <c r="E24" s="767">
        <v>0</v>
      </c>
      <c r="F24" s="780">
        <f t="shared" ref="F24:F32" si="5">+D24-E24</f>
        <v>0</v>
      </c>
    </row>
    <row r="25" spans="1:6" ht="12.75">
      <c r="A25" s="346">
        <f t="shared" ref="A25:A32" si="6">+A24+1</f>
        <v>13</v>
      </c>
      <c r="B25" s="333" t="s">
        <v>682</v>
      </c>
      <c r="C25" s="333" t="s">
        <v>679</v>
      </c>
      <c r="D25" s="767">
        <v>0</v>
      </c>
      <c r="E25" s="767">
        <v>0</v>
      </c>
      <c r="F25" s="780">
        <f t="shared" si="5"/>
        <v>0</v>
      </c>
    </row>
    <row r="26" spans="1:6" ht="12.75">
      <c r="A26" s="346">
        <f t="shared" si="6"/>
        <v>14</v>
      </c>
      <c r="B26" s="333" t="s">
        <v>680</v>
      </c>
      <c r="C26" s="333" t="s">
        <v>679</v>
      </c>
      <c r="D26" s="767">
        <v>0</v>
      </c>
      <c r="E26" s="767">
        <v>0</v>
      </c>
      <c r="F26" s="780">
        <f t="shared" si="5"/>
        <v>0</v>
      </c>
    </row>
    <row r="27" spans="1:6" ht="12.75">
      <c r="A27" s="346">
        <f t="shared" si="6"/>
        <v>15</v>
      </c>
      <c r="B27" s="333" t="s">
        <v>689</v>
      </c>
      <c r="C27" s="333" t="s">
        <v>679</v>
      </c>
      <c r="D27" s="767">
        <f>'Attachment H-30A'!I11</f>
        <v>1898876.449819338</v>
      </c>
      <c r="E27" s="767">
        <v>0</v>
      </c>
      <c r="F27" s="780">
        <f t="shared" si="5"/>
        <v>1898876.449819338</v>
      </c>
    </row>
    <row r="28" spans="1:6" ht="12.75">
      <c r="A28" s="346">
        <f t="shared" si="6"/>
        <v>16</v>
      </c>
      <c r="B28" s="333" t="s">
        <v>404</v>
      </c>
      <c r="C28" s="333" t="s">
        <v>679</v>
      </c>
      <c r="D28" s="768">
        <v>0</v>
      </c>
      <c r="E28" s="768">
        <v>0</v>
      </c>
      <c r="F28" s="780">
        <f t="shared" si="5"/>
        <v>0</v>
      </c>
    </row>
    <row r="29" spans="1:6" ht="12.75">
      <c r="A29" s="346">
        <f t="shared" si="6"/>
        <v>17</v>
      </c>
      <c r="B29" s="333" t="s">
        <v>692</v>
      </c>
      <c r="C29" s="333" t="s">
        <v>684</v>
      </c>
      <c r="D29" s="769">
        <f>+SUM(D24:D28)</f>
        <v>1898876.449819338</v>
      </c>
      <c r="E29" s="769">
        <f>+SUM(E24:E28)</f>
        <v>0</v>
      </c>
      <c r="F29" s="782">
        <f t="shared" si="5"/>
        <v>1898876.449819338</v>
      </c>
    </row>
    <row r="30" spans="1:6" ht="12.75">
      <c r="A30" s="346">
        <f t="shared" si="6"/>
        <v>18</v>
      </c>
      <c r="B30" s="333" t="s">
        <v>691</v>
      </c>
      <c r="C30" s="333" t="s">
        <v>679</v>
      </c>
      <c r="D30" s="771">
        <f>D27</f>
        <v>1898876.449819338</v>
      </c>
      <c r="E30" s="771"/>
      <c r="F30" s="780">
        <f t="shared" si="5"/>
        <v>1898876.449819338</v>
      </c>
    </row>
    <row r="31" spans="1:6" ht="12.75">
      <c r="A31" s="346">
        <f t="shared" si="6"/>
        <v>19</v>
      </c>
      <c r="B31" s="333" t="s">
        <v>694</v>
      </c>
      <c r="C31" s="333" t="s">
        <v>679</v>
      </c>
      <c r="D31" s="771">
        <v>0</v>
      </c>
      <c r="E31" s="771"/>
      <c r="F31" s="780">
        <f t="shared" si="5"/>
        <v>0</v>
      </c>
    </row>
    <row r="32" spans="1:6" ht="12.75">
      <c r="A32" s="346">
        <f t="shared" si="6"/>
        <v>20</v>
      </c>
      <c r="B32" s="770" t="s">
        <v>693</v>
      </c>
      <c r="C32" s="541" t="str">
        <f>"(Line "&amp;A29&amp;" - line "&amp;A30&amp;" - line "&amp;A31&amp;")"</f>
        <v>(Line 17 - line 18 - line 19)</v>
      </c>
      <c r="D32" s="769">
        <f>+D29-D30-D31</f>
        <v>0</v>
      </c>
      <c r="E32" s="769">
        <f>+E29-E30-E31</f>
        <v>0</v>
      </c>
      <c r="F32" s="782">
        <f t="shared" si="5"/>
        <v>0</v>
      </c>
    </row>
    <row r="33" spans="1:9" ht="12.75">
      <c r="A33" s="346"/>
      <c r="B33" s="770"/>
      <c r="C33" s="770"/>
      <c r="D33" s="772"/>
      <c r="E33" s="772"/>
    </row>
    <row r="34" spans="1:9" ht="12.75">
      <c r="A34" s="713">
        <f>+A32+1</f>
        <v>21</v>
      </c>
      <c r="B34" s="783" t="s">
        <v>773</v>
      </c>
      <c r="C34" s="541" t="str">
        <f>"(Line "&amp;A21&amp;" + line "&amp;A32&amp;")"</f>
        <v>(Line 11 + line 20)</v>
      </c>
      <c r="D34" s="774">
        <f>+D21+D32</f>
        <v>0</v>
      </c>
      <c r="E34" s="774">
        <f>+E21+E32</f>
        <v>0</v>
      </c>
      <c r="F34" s="774">
        <f>+F21+F32</f>
        <v>0</v>
      </c>
    </row>
    <row r="35" spans="1:9" ht="14.25" customHeight="1">
      <c r="A35" s="333"/>
      <c r="B35" s="333"/>
      <c r="C35" s="333"/>
      <c r="E35" s="779"/>
      <c r="F35" s="346"/>
    </row>
    <row r="36" spans="1:9" s="775" customFormat="1" ht="12.75">
      <c r="A36" s="333"/>
      <c r="B36" s="333"/>
      <c r="C36" s="333"/>
      <c r="D36" s="333"/>
      <c r="E36" s="774"/>
      <c r="F36" s="772"/>
    </row>
    <row r="37" spans="1:9" ht="41.25" customHeight="1">
      <c r="A37" s="776" t="s">
        <v>670</v>
      </c>
      <c r="B37" s="1030" t="s">
        <v>775</v>
      </c>
      <c r="C37" s="1030"/>
      <c r="D37" s="1030"/>
      <c r="E37" s="1030"/>
      <c r="F37" s="1030"/>
      <c r="G37" s="1030"/>
    </row>
    <row r="38" spans="1:9" ht="12.75">
      <c r="A38" s="564"/>
      <c r="B38" s="564"/>
      <c r="C38" s="564"/>
      <c r="D38" s="564"/>
      <c r="E38" s="564"/>
      <c r="F38" s="564"/>
      <c r="G38" s="564"/>
      <c r="H38" s="564"/>
      <c r="I38" s="564"/>
    </row>
    <row r="42" spans="1:9" ht="12.75">
      <c r="A42" s="346"/>
      <c r="B42" s="333"/>
      <c r="C42" s="333"/>
      <c r="D42" s="777"/>
      <c r="E42" s="347"/>
    </row>
    <row r="113" spans="5:5">
      <c r="E113" s="225"/>
    </row>
    <row r="232" spans="4:8">
      <c r="D232" s="773"/>
      <c r="F232" s="773"/>
      <c r="G232" s="773"/>
      <c r="H232" s="773"/>
    </row>
    <row r="233" spans="4:8" ht="99.75" customHeight="1">
      <c r="D233" s="773"/>
      <c r="F233" s="773"/>
      <c r="G233" s="773"/>
      <c r="H233" s="773"/>
    </row>
    <row r="234" spans="4:8">
      <c r="D234" s="773"/>
      <c r="F234" s="773"/>
      <c r="G234" s="773"/>
      <c r="H234" s="773"/>
    </row>
    <row r="235" spans="4:8">
      <c r="D235" s="773"/>
      <c r="F235" s="773"/>
      <c r="G235" s="773"/>
      <c r="H235" s="773"/>
    </row>
    <row r="236" spans="4:8">
      <c r="D236" s="773"/>
      <c r="F236" s="773"/>
      <c r="G236" s="773"/>
      <c r="H236" s="773"/>
    </row>
    <row r="237" spans="4:8">
      <c r="D237" s="773"/>
      <c r="F237" s="773"/>
      <c r="G237" s="773"/>
      <c r="H237" s="773"/>
    </row>
    <row r="238" spans="4:8">
      <c r="D238" s="773"/>
      <c r="F238" s="773"/>
      <c r="G238" s="773"/>
      <c r="H238" s="773"/>
    </row>
    <row r="239" spans="4:8">
      <c r="D239" s="773"/>
      <c r="F239" s="773"/>
      <c r="G239" s="773"/>
      <c r="H239" s="773"/>
    </row>
    <row r="240" spans="4:8">
      <c r="D240" s="773"/>
      <c r="F240" s="773"/>
      <c r="G240" s="773"/>
      <c r="H240" s="773"/>
    </row>
    <row r="241" spans="4:8">
      <c r="D241" s="773"/>
      <c r="F241" s="773"/>
      <c r="G241" s="773"/>
      <c r="H241" s="773"/>
    </row>
    <row r="242" spans="4:8">
      <c r="D242" s="773"/>
      <c r="F242" s="773"/>
      <c r="G242" s="773"/>
      <c r="H242" s="773"/>
    </row>
    <row r="243" spans="4:8">
      <c r="D243" s="773"/>
      <c r="F243" s="773"/>
      <c r="G243" s="773"/>
      <c r="H243" s="773"/>
    </row>
    <row r="244" spans="4:8">
      <c r="D244" s="773"/>
      <c r="F244" s="773"/>
      <c r="G244" s="773"/>
      <c r="H244" s="773"/>
    </row>
    <row r="245" spans="4:8">
      <c r="D245" s="773"/>
      <c r="F245" s="773"/>
      <c r="G245" s="773"/>
      <c r="H245" s="773"/>
    </row>
    <row r="246" spans="4:8">
      <c r="D246" s="773"/>
      <c r="F246" s="773"/>
      <c r="G246" s="773"/>
      <c r="H246" s="773"/>
    </row>
    <row r="247" spans="4:8">
      <c r="D247" s="773"/>
      <c r="F247" s="773"/>
      <c r="G247" s="773"/>
      <c r="H247" s="773"/>
    </row>
    <row r="248" spans="4:8">
      <c r="D248" s="773"/>
      <c r="F248" s="773"/>
      <c r="G248" s="773"/>
      <c r="H248" s="773"/>
    </row>
    <row r="249" spans="4:8">
      <c r="D249" s="773"/>
      <c r="F249" s="773"/>
      <c r="G249" s="773"/>
      <c r="H249" s="773"/>
    </row>
    <row r="250" spans="4:8">
      <c r="D250" s="773"/>
      <c r="F250" s="773"/>
      <c r="G250" s="773"/>
      <c r="H250" s="773"/>
    </row>
    <row r="251" spans="4:8">
      <c r="D251" s="773"/>
      <c r="F251" s="773"/>
      <c r="G251" s="773"/>
      <c r="H251" s="773"/>
    </row>
    <row r="252" spans="4:8">
      <c r="D252" s="773"/>
      <c r="F252" s="773"/>
      <c r="G252" s="773"/>
      <c r="H252" s="773"/>
    </row>
    <row r="253" spans="4:8">
      <c r="D253" s="773"/>
      <c r="F253" s="773"/>
      <c r="G253" s="773"/>
      <c r="H253" s="773"/>
    </row>
    <row r="254" spans="4:8" ht="40.5" customHeight="1">
      <c r="D254" s="773"/>
      <c r="F254" s="773"/>
      <c r="G254" s="773"/>
      <c r="H254" s="773"/>
    </row>
    <row r="255" spans="4:8">
      <c r="D255" s="773"/>
      <c r="F255" s="773"/>
      <c r="G255" s="773"/>
      <c r="H255" s="773"/>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6"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88671875" defaultRowHeight="15.75"/>
  <cols>
    <col min="1" max="1" width="7.33203125" style="347" customWidth="1"/>
    <col min="2" max="2" width="49.6640625" style="347" customWidth="1"/>
    <col min="3" max="3" width="14.77734375" style="347" customWidth="1"/>
    <col min="4" max="4" width="11.6640625" style="347" customWidth="1"/>
    <col min="5" max="5" width="10.88671875" style="778" bestFit="1" customWidth="1"/>
    <col min="6" max="6" width="10.44140625" style="347" customWidth="1"/>
    <col min="7" max="16384" width="8.88671875" style="347"/>
  </cols>
  <sheetData>
    <row r="1" spans="1:9" ht="12.75">
      <c r="A1" s="1008" t="s">
        <v>739</v>
      </c>
      <c r="B1" s="1008"/>
      <c r="C1" s="1008"/>
      <c r="D1" s="1008"/>
      <c r="E1" s="407"/>
      <c r="F1" s="407"/>
      <c r="G1" s="407"/>
      <c r="H1" s="407"/>
      <c r="I1" s="407"/>
    </row>
    <row r="2" spans="1:9" ht="12.75">
      <c r="A2" s="1036" t="s">
        <v>740</v>
      </c>
      <c r="B2" s="1036"/>
      <c r="C2" s="1036"/>
      <c r="D2" s="1036"/>
      <c r="E2" s="715"/>
      <c r="F2" s="715"/>
      <c r="G2" s="715"/>
      <c r="H2" s="715"/>
      <c r="I2" s="715"/>
    </row>
    <row r="3" spans="1:9" ht="12.75">
      <c r="A3" s="1037" t="str">
        <f>+'Attachment H-30A'!D5</f>
        <v>Transource Maryland, LLC</v>
      </c>
      <c r="B3" s="1037"/>
      <c r="C3" s="1037"/>
      <c r="D3" s="1037"/>
      <c r="E3" s="368"/>
      <c r="F3" s="368"/>
      <c r="G3" s="368"/>
      <c r="H3" s="368"/>
      <c r="I3" s="368"/>
    </row>
    <row r="4" spans="1:9" ht="12.75">
      <c r="A4" s="841"/>
      <c r="B4" s="841"/>
      <c r="C4" s="841"/>
      <c r="D4" s="841"/>
      <c r="E4" s="841"/>
      <c r="F4" s="841"/>
      <c r="G4" s="841"/>
      <c r="H4" s="368"/>
      <c r="I4" s="368"/>
    </row>
    <row r="5" spans="1:9">
      <c r="A5" s="759"/>
      <c r="C5" s="564"/>
      <c r="D5" s="840"/>
      <c r="E5"/>
      <c r="F5"/>
      <c r="H5" s="762"/>
    </row>
    <row r="6" spans="1:9" ht="15">
      <c r="A6" s="839" t="s">
        <v>148</v>
      </c>
      <c r="B6" s="843"/>
      <c r="C6" s="398" t="s">
        <v>199</v>
      </c>
      <c r="D6" s="781" t="s">
        <v>11</v>
      </c>
      <c r="E6"/>
      <c r="F6"/>
      <c r="G6" s="763"/>
      <c r="H6" s="763"/>
      <c r="I6" s="763"/>
    </row>
    <row r="7" spans="1:9" ht="15">
      <c r="A7" s="346"/>
      <c r="B7" s="764"/>
      <c r="E7"/>
      <c r="F7"/>
    </row>
    <row r="8" spans="1:9" customFormat="1" ht="15">
      <c r="A8" s="845">
        <v>1</v>
      </c>
      <c r="B8" s="125" t="s">
        <v>740</v>
      </c>
      <c r="D8" s="767">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8" t="s">
        <v>751</v>
      </c>
      <c r="B16" s="993" t="s">
        <v>762</v>
      </c>
      <c r="C16" s="993"/>
      <c r="D16" s="993"/>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2.75">
      <c r="A30" s="564"/>
      <c r="B30" s="564"/>
      <c r="C30" s="564"/>
      <c r="D30" s="564"/>
      <c r="E30" s="564"/>
      <c r="F30" s="564"/>
      <c r="G30" s="564"/>
      <c r="H30" s="564"/>
      <c r="I30" s="564"/>
    </row>
    <row r="34" spans="1:5" ht="12.75">
      <c r="A34" s="346"/>
      <c r="B34" s="333"/>
      <c r="C34" s="333"/>
      <c r="D34" s="777"/>
      <c r="E34" s="347"/>
    </row>
    <row r="105" spans="5:5">
      <c r="E105" s="225"/>
    </row>
    <row r="224" spans="4:8">
      <c r="D224" s="773"/>
      <c r="F224" s="773"/>
      <c r="G224" s="773"/>
      <c r="H224" s="773"/>
    </row>
    <row r="225" spans="4:8" ht="99.75" customHeight="1">
      <c r="D225" s="773"/>
      <c r="F225" s="773"/>
      <c r="G225" s="773"/>
      <c r="H225" s="773"/>
    </row>
    <row r="226" spans="4:8">
      <c r="D226" s="773"/>
      <c r="F226" s="773"/>
      <c r="G226" s="773"/>
      <c r="H226" s="773"/>
    </row>
    <row r="227" spans="4:8">
      <c r="D227" s="773"/>
      <c r="F227" s="773"/>
      <c r="G227" s="773"/>
      <c r="H227" s="773"/>
    </row>
    <row r="228" spans="4:8">
      <c r="D228" s="773"/>
      <c r="F228" s="773"/>
      <c r="G228" s="773"/>
      <c r="H228" s="773"/>
    </row>
    <row r="229" spans="4:8">
      <c r="D229" s="773"/>
      <c r="F229" s="773"/>
      <c r="G229" s="773"/>
      <c r="H229" s="773"/>
    </row>
    <row r="230" spans="4:8">
      <c r="D230" s="773"/>
      <c r="F230" s="773"/>
      <c r="G230" s="773"/>
      <c r="H230" s="773"/>
    </row>
    <row r="231" spans="4:8">
      <c r="D231" s="773"/>
      <c r="F231" s="773"/>
      <c r="G231" s="773"/>
      <c r="H231" s="773"/>
    </row>
    <row r="232" spans="4:8">
      <c r="D232" s="773"/>
      <c r="F232" s="773"/>
      <c r="G232" s="773"/>
      <c r="H232" s="773"/>
    </row>
    <row r="233" spans="4:8">
      <c r="D233" s="773"/>
      <c r="F233" s="773"/>
      <c r="G233" s="773"/>
      <c r="H233" s="773"/>
    </row>
    <row r="234" spans="4:8">
      <c r="D234" s="773"/>
      <c r="F234" s="773"/>
      <c r="G234" s="773"/>
      <c r="H234" s="773"/>
    </row>
    <row r="235" spans="4:8">
      <c r="D235" s="773"/>
      <c r="F235" s="773"/>
      <c r="G235" s="773"/>
      <c r="H235" s="773"/>
    </row>
    <row r="236" spans="4:8">
      <c r="D236" s="773"/>
      <c r="F236" s="773"/>
      <c r="G236" s="773"/>
      <c r="H236" s="773"/>
    </row>
    <row r="237" spans="4:8">
      <c r="D237" s="773"/>
      <c r="F237" s="773"/>
      <c r="G237" s="773"/>
      <c r="H237" s="773"/>
    </row>
    <row r="238" spans="4:8">
      <c r="D238" s="773"/>
      <c r="F238" s="773"/>
      <c r="G238" s="773"/>
      <c r="H238" s="773"/>
    </row>
    <row r="239" spans="4:8">
      <c r="D239" s="773"/>
      <c r="F239" s="773"/>
      <c r="G239" s="773"/>
      <c r="H239" s="773"/>
    </row>
    <row r="240" spans="4:8">
      <c r="D240" s="773"/>
      <c r="F240" s="773"/>
      <c r="G240" s="773"/>
      <c r="H240" s="773"/>
    </row>
    <row r="241" spans="4:8">
      <c r="D241" s="773"/>
      <c r="F241" s="773"/>
      <c r="G241" s="773"/>
      <c r="H241" s="773"/>
    </row>
    <row r="242" spans="4:8">
      <c r="D242" s="773"/>
      <c r="F242" s="773"/>
      <c r="G242" s="773"/>
      <c r="H242" s="773"/>
    </row>
    <row r="243" spans="4:8">
      <c r="D243" s="773"/>
      <c r="F243" s="773"/>
      <c r="G243" s="773"/>
      <c r="H243" s="773"/>
    </row>
    <row r="244" spans="4:8">
      <c r="D244" s="773"/>
      <c r="F244" s="773"/>
      <c r="G244" s="773"/>
      <c r="H244" s="773"/>
    </row>
    <row r="245" spans="4:8">
      <c r="D245" s="773"/>
      <c r="F245" s="773"/>
      <c r="G245" s="773"/>
      <c r="H245" s="773"/>
    </row>
    <row r="246" spans="4:8" ht="40.5" customHeight="1">
      <c r="D246" s="773"/>
      <c r="F246" s="773"/>
      <c r="G246" s="773"/>
      <c r="H246" s="773"/>
    </row>
    <row r="247" spans="4:8">
      <c r="D247" s="773"/>
      <c r="F247" s="773"/>
      <c r="G247" s="773"/>
      <c r="H247" s="773"/>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8"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88DBC8E-E135-4F5E-ADEE-BD14D77AAFE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4.xml><?xml version="1.0" encoding="utf-8"?>
<ds:datastoreItem xmlns:ds="http://schemas.openxmlformats.org/officeDocument/2006/customXml" ds:itemID="{4A45D8E1-2072-454F-B1EA-8881187E99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H-30A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s199989</cp:lastModifiedBy>
  <cp:lastPrinted>2018-09-27T15:21:44Z</cp:lastPrinted>
  <dcterms:created xsi:type="dcterms:W3CDTF">1970-01-01T04:00:00Z</dcterms:created>
  <dcterms:modified xsi:type="dcterms:W3CDTF">2019-09-30T17:26:39Z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45ec4f70-846a-4a7e-a286-fc45c6e6624e</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10" name="bjDocumentLabelXML-0">
    <vt:lpwstr>ww.boldonjames.com/2008/01/sie/internal/label"&gt;&lt;element uid="50c31824-0780-4910-87d1-eaaffd182d42" value="" /&gt;&lt;element uid="c64218ab-b8d1-40b6-a478-cb8be1e10ecc" value="" /&gt;&lt;/sisl&gt;</vt:lpwstr>
  </property>
  <property fmtid="{D5CDD505-2E9C-101B-9397-08002B2CF9AE}" pid="11" name="Visual Markings Removed">
    <vt:lpwstr>No</vt:lpwstr>
  </property>
</Properties>
</file>