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Pennsylvania\2020 True Up\Filing Documents\"/>
    </mc:Choice>
  </mc:AlternateContent>
  <bookViews>
    <workbookView xWindow="270" yWindow="45" windowWidth="28620" windowHeight="6915" tabRatio="862"/>
  </bookViews>
  <sheets>
    <sheet name="Attachment H-29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'4a-ADIT'!$A$1:$H$78</definedName>
    <definedName name="_xlnm.Print_Area" localSheetId="6">'4b-Ending ADIT'!$A$1:$H$86</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'4a-ADIT'!$B$1:$H$99</definedName>
    <definedName name="Z_28948E05_8F34_4F1E_96FB_A80A6A844600_.wvu.PrintArea" localSheetId="6" hidden="1">'4b-Ending ADIT'!$B$1:$H$107</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'4a-ADIT'!$B$1:$H$99</definedName>
    <definedName name="Z_63011E91_4609_4523_98FE_FD252E915668_.wvu.PrintArea" localSheetId="6" hidden="1">'4b-Ending ADIT'!$B$1:$H$107</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'4a-ADIT'!$B$1:$H$99</definedName>
    <definedName name="Z_6928E596_79BD_4CEC_9F0D_07E62D69B2A5_.wvu.PrintArea" localSheetId="6" hidden="1">'4b-Ending ADIT'!$B$1:$H$107</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'4a-ADIT'!$B$1:$H$99</definedName>
    <definedName name="Z_71B42B22_A376_44B5_B0C1_23FC1AA3DBA2_.wvu.PrintArea" localSheetId="6" hidden="1">'4b-Ending ADIT'!$B$1:$H$107</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'4a-ADIT'!$B$1:$H$99</definedName>
    <definedName name="Z_8FBB4DC9_2D51_4AB9_80D8_F8474B404C29_.wvu.PrintArea" localSheetId="6" hidden="1">'4b-Ending ADIT'!$B$1:$H$107</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'4a-ADIT'!$B$1:$H$99</definedName>
    <definedName name="Z_B647CB7F_C846_4278_B6B1_1EF7F3C004F5_.wvu.PrintArea" localSheetId="6" hidden="1">'4b-Ending ADIT'!$B$1:$H$107</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'4a-ADIT'!$B$1:$H$99</definedName>
    <definedName name="Z_DC91DEF3_837B_4BB9_A81E_3B78C5914E6C_.wvu.PrintArea" localSheetId="6" hidden="1">'4b-Ending ADIT'!$B$1:$H$107</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H-29A'!$A$1:$J$247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'4a-ADIT'!$B$1:$H$99</definedName>
    <definedName name="Z_FAAD9AAC_1337_43AB_BF1F_CCF9DFCF5B78_.wvu.PrintArea" localSheetId="6" hidden="1">'4b-Ending ADIT'!$B$1:$H$107</definedName>
  </definedNames>
  <calcPr calcId="162913"/>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workbook>
</file>

<file path=xl/calcChain.xml><?xml version="1.0" encoding="utf-8"?>
<calcChain xmlns="http://schemas.openxmlformats.org/spreadsheetml/2006/main">
  <c r="D31" i="14" l="1"/>
  <c r="E29" i="18" l="1"/>
  <c r="G205" i="1" l="1"/>
  <c r="D44" i="10" l="1"/>
  <c r="H44" i="10"/>
  <c r="D72" i="21" l="1"/>
  <c r="G50" i="21" l="1"/>
  <c r="F50" i="21"/>
  <c r="E50" i="21"/>
  <c r="E53" i="21" s="1"/>
  <c r="E56" i="21" s="1"/>
  <c r="D50" i="21"/>
  <c r="G49" i="18"/>
  <c r="F49" i="18"/>
  <c r="E49" i="18"/>
  <c r="E52" i="18" s="1"/>
  <c r="D49" i="18"/>
  <c r="C50" i="21" l="1"/>
  <c r="C49" i="18"/>
  <c r="E66" i="5" l="1"/>
  <c r="D154" i="1"/>
  <c r="H1" i="18"/>
  <c r="H1" i="21"/>
  <c r="I1" i="20"/>
  <c r="G83" i="21" l="1"/>
  <c r="F83" i="21"/>
  <c r="E83" i="21"/>
  <c r="D83" i="21"/>
  <c r="G67" i="21"/>
  <c r="F67" i="21"/>
  <c r="E67" i="21"/>
  <c r="D67" i="21"/>
  <c r="B36" i="21"/>
  <c r="G29" i="21"/>
  <c r="F29" i="21"/>
  <c r="E29" i="21"/>
  <c r="D29" i="21"/>
  <c r="B1" i="21"/>
  <c r="B35" i="21" s="1"/>
  <c r="E32" i="21" l="1"/>
  <c r="E86" i="21"/>
  <c r="E70" i="21"/>
  <c r="C29" i="21"/>
  <c r="C83" i="21"/>
  <c r="C67" i="21"/>
  <c r="D75" i="18"/>
  <c r="E72"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5" i="18"/>
  <c r="F75" i="18"/>
  <c r="E75" i="18"/>
  <c r="G62" i="18"/>
  <c r="F62" i="18"/>
  <c r="E62" i="18"/>
  <c r="E65" i="18" s="1"/>
  <c r="D62" i="18"/>
  <c r="G29" i="18"/>
  <c r="F29" i="18"/>
  <c r="D29" i="18"/>
  <c r="A29" i="21" l="1"/>
  <c r="E78" i="18"/>
  <c r="E32" i="18"/>
  <c r="E13" i="20"/>
  <c r="A13" i="20"/>
  <c r="A19" i="20" s="1"/>
  <c r="A20" i="20" s="1"/>
  <c r="A21" i="20" s="1"/>
  <c r="A22" i="20" s="1"/>
  <c r="A23" i="20" s="1"/>
  <c r="A24" i="20" s="1"/>
  <c r="A25" i="20" s="1"/>
  <c r="A26" i="20" s="1"/>
  <c r="A27" i="20" s="1"/>
  <c r="A28" i="20" s="1"/>
  <c r="A29" i="20" s="1"/>
  <c r="A30" i="20" s="1"/>
  <c r="A31" i="20" s="1"/>
  <c r="A33" i="20" s="1"/>
  <c r="A35" i="20" s="1"/>
  <c r="E12" i="20"/>
  <c r="C62" i="18"/>
  <c r="C75" i="18"/>
  <c r="C29" i="18"/>
  <c r="A30" i="21" l="1"/>
  <c r="A31" i="21" s="1"/>
  <c r="A32" i="21" s="1"/>
  <c r="A48" i="21" s="1"/>
  <c r="A49" i="21" s="1"/>
  <c r="A50" i="21" s="1"/>
  <c r="A51" i="21" s="1"/>
  <c r="A52" i="21" s="1"/>
  <c r="A53" i="21" s="1"/>
  <c r="C19" i="20"/>
  <c r="B35" i="20"/>
  <c r="A54" i="21" l="1"/>
  <c r="A55" i="21" s="1"/>
  <c r="A56" i="21" s="1"/>
  <c r="A61" i="21" s="1"/>
  <c r="A62" i="21" s="1"/>
  <c r="A63" i="21" s="1"/>
  <c r="A64" i="21" s="1"/>
  <c r="A65" i="21" s="1"/>
  <c r="A66" i="21" s="1"/>
  <c r="A67" i="21" s="1"/>
  <c r="A68" i="21" s="1"/>
  <c r="A69" i="21" s="1"/>
  <c r="A70" i="21" s="1"/>
  <c r="A71" i="21" s="1"/>
  <c r="A72" i="21" s="1"/>
  <c r="A77" i="21" s="1"/>
  <c r="D19" i="20"/>
  <c r="H19" i="20"/>
  <c r="I19" i="20" s="1"/>
  <c r="E10" i="20" l="1"/>
  <c r="A78" i="21"/>
  <c r="A79" i="21" s="1"/>
  <c r="A80" i="21" s="1"/>
  <c r="A81" i="21" s="1"/>
  <c r="A82" i="21" s="1"/>
  <c r="A83" i="21" s="1"/>
  <c r="A84" i="21" s="1"/>
  <c r="A85" i="21" s="1"/>
  <c r="A86"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59" i="18" s="1"/>
  <c r="A60" i="18" s="1"/>
  <c r="A61" i="18" s="1"/>
  <c r="A62" i="18" s="1"/>
  <c r="A9" i="7"/>
  <c r="M59" i="2"/>
  <c r="E11" i="20" l="1"/>
  <c r="A63" i="18"/>
  <c r="A64" i="18" s="1"/>
  <c r="A65" i="18" s="1"/>
  <c r="A70" i="18" s="1"/>
  <c r="A71" i="18" s="1"/>
  <c r="A72" i="18" s="1"/>
  <c r="A73" i="18" s="1"/>
  <c r="A74" i="18" s="1"/>
  <c r="D9" i="9"/>
  <c r="D10" i="9" s="1"/>
  <c r="A75" i="18" l="1"/>
  <c r="A76" i="18" s="1"/>
  <c r="A77" i="18" s="1"/>
  <c r="A78" i="18" s="1"/>
  <c r="E10" i="9"/>
  <c r="E12" i="9"/>
  <c r="E32" i="8" l="1"/>
  <c r="E33" i="8" s="1"/>
  <c r="H21" i="6"/>
  <c r="H12" i="3" l="1"/>
  <c r="F5" i="2" l="1"/>
  <c r="D22" i="1" l="1"/>
  <c r="D11" i="9" l="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7" i="2"/>
  <c r="L65" i="2"/>
  <c r="L61" i="2"/>
  <c r="L64" i="2"/>
  <c r="L63" i="2"/>
  <c r="L60" i="2"/>
  <c r="L59" i="2"/>
  <c r="A69" i="2"/>
  <c r="L69" i="2" s="1"/>
  <c r="A67" i="2"/>
  <c r="R65" i="2"/>
  <c r="M65" i="2"/>
  <c r="I65" i="2"/>
  <c r="F65" i="2"/>
  <c r="R61" i="2"/>
  <c r="R69" i="2" s="1"/>
  <c r="M61" i="2"/>
  <c r="A31" i="4" l="1"/>
  <c r="C21" i="1"/>
  <c r="M69" i="2"/>
  <c r="E29" i="4"/>
  <c r="A23" i="8"/>
  <c r="A24" i="8" s="1"/>
  <c r="A25" i="8" s="1"/>
  <c r="A26" i="8" s="1"/>
  <c r="A27" i="8" s="1"/>
  <c r="A28" i="8" s="1"/>
  <c r="A29" i="8" s="1"/>
  <c r="A30" i="8" s="1"/>
  <c r="A32" i="8" s="1"/>
  <c r="A33" i="8" s="1"/>
  <c r="A3" i="11"/>
  <c r="A3" i="10"/>
  <c r="D13" i="9" l="1"/>
  <c r="D15" i="9" s="1"/>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51" i="10"/>
  <c r="D51" i="10"/>
  <c r="G43" i="10"/>
  <c r="I43" i="10" s="1"/>
  <c r="G42" i="10"/>
  <c r="I42" i="10" s="1"/>
  <c r="G41" i="10"/>
  <c r="I41" i="10" s="1"/>
  <c r="G40" i="10"/>
  <c r="I40" i="10" s="1"/>
  <c r="G39" i="10"/>
  <c r="I39" i="10" s="1"/>
  <c r="G38" i="10"/>
  <c r="I38" i="10" s="1"/>
  <c r="F22" i="10"/>
  <c r="G22" i="10" s="1"/>
  <c r="F21" i="10"/>
  <c r="G21" i="10" s="1"/>
  <c r="F20" i="10"/>
  <c r="G20" i="10" s="1"/>
  <c r="H20" i="10"/>
  <c r="D14" i="11"/>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G40" i="6" l="1"/>
  <c r="F14" i="6" s="1"/>
  <c r="F40" i="6" l="1"/>
  <c r="F13" i="6" s="1"/>
  <c r="E40" i="6"/>
  <c r="F11" i="6" s="1"/>
  <c r="D40" i="6"/>
  <c r="F20" i="6" s="1"/>
  <c r="C40" i="6"/>
  <c r="F19" i="6" s="1"/>
  <c r="H20" i="6" l="1"/>
  <c r="G204" i="1" s="1"/>
  <c r="H11" i="3" s="1"/>
  <c r="D204" i="1"/>
  <c r="E11" i="3" s="1"/>
  <c r="F12" i="6"/>
  <c r="F15" i="6" s="1"/>
  <c r="F21" i="6" s="1"/>
  <c r="D203" i="1"/>
  <c r="E10" i="3" s="1"/>
  <c r="F17" i="7"/>
  <c r="F23" i="7" s="1"/>
  <c r="F24" i="7" s="1"/>
  <c r="F25" i="7" s="1"/>
  <c r="F26" i="7" s="1"/>
  <c r="F27" i="7" s="1"/>
  <c r="F28" i="7" s="1"/>
  <c r="F29" i="7" s="1"/>
  <c r="F30" i="7" s="1"/>
  <c r="F31" i="7" s="1"/>
  <c r="F32" i="7" s="1"/>
  <c r="F33" i="7" s="1"/>
  <c r="F34" i="7" s="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H19" i="12"/>
  <c r="G19" i="12"/>
  <c r="G18" i="12"/>
  <c r="H18" i="12" s="1"/>
  <c r="G17" i="12"/>
  <c r="H17" i="12" s="1"/>
  <c r="G16" i="12"/>
  <c r="H16" i="12" s="1"/>
  <c r="G15" i="12"/>
  <c r="H15" i="12" s="1"/>
  <c r="F41" i="7" l="1"/>
  <c r="F42" i="7" s="1"/>
  <c r="F43" i="7" s="1"/>
  <c r="F44" i="7" s="1"/>
  <c r="F45" i="7" s="1"/>
  <c r="F46" i="7" s="1"/>
  <c r="F47" i="7" s="1"/>
  <c r="F48" i="7" s="1"/>
  <c r="F49" i="7" s="1"/>
  <c r="F50" i="7" s="1"/>
  <c r="F51" i="7" s="1"/>
  <c r="F52" i="7" s="1"/>
  <c r="F38" i="7"/>
  <c r="D205" i="1"/>
  <c r="E12" i="3" s="1"/>
  <c r="E13" i="3" s="1"/>
  <c r="I72" i="1"/>
  <c r="I67" i="1"/>
  <c r="I65" i="1"/>
  <c r="K72" i="5" l="1"/>
  <c r="K71" i="5"/>
  <c r="D126" i="1" l="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D206" i="1"/>
  <c r="U68" i="2"/>
  <c r="D3" i="8"/>
  <c r="A9" i="6"/>
  <c r="A11" i="6" s="1"/>
  <c r="A12" i="6" s="1"/>
  <c r="A13" i="6" s="1"/>
  <c r="D14" i="1"/>
  <c r="I42" i="5"/>
  <c r="D90" i="1" s="1"/>
  <c r="I139" i="1"/>
  <c r="E22" i="3"/>
  <c r="J23" i="5"/>
  <c r="D75" i="1" s="1"/>
  <c r="F129" i="1"/>
  <c r="I23" i="5"/>
  <c r="D73" i="1" s="1"/>
  <c r="D42" i="5"/>
  <c r="D94" i="1" s="1"/>
  <c r="I94" i="1" s="1"/>
  <c r="C42" i="5"/>
  <c r="D93" i="1" s="1"/>
  <c r="I93" i="1" s="1"/>
  <c r="H23" i="5"/>
  <c r="D102" i="1" s="1"/>
  <c r="G23" i="5"/>
  <c r="D101" i="1" s="1"/>
  <c r="F23" i="5"/>
  <c r="D97"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3"/>
  <c r="A17" i="3" s="1"/>
  <c r="B21" i="3" s="1"/>
  <c r="D158" i="1"/>
  <c r="A16" i="1"/>
  <c r="A17" i="1" s="1"/>
  <c r="C18" i="1" s="1"/>
  <c r="A194" i="1"/>
  <c r="A195" i="1" s="1"/>
  <c r="A196" i="1" s="1"/>
  <c r="A197" i="1" s="1"/>
  <c r="A127" i="1"/>
  <c r="A128" i="1" s="1"/>
  <c r="A129" i="1" s="1"/>
  <c r="A130" i="1" s="1"/>
  <c r="A131" i="1" s="1"/>
  <c r="A67" i="1"/>
  <c r="A68" i="1" s="1"/>
  <c r="A69" i="1" s="1"/>
  <c r="F22" i="6"/>
  <c r="D76" i="1"/>
  <c r="I187" i="1"/>
  <c r="D80" i="1"/>
  <c r="E26" i="3"/>
  <c r="E27" i="3"/>
  <c r="I131" i="1"/>
  <c r="A18" i="3" l="1"/>
  <c r="B25" i="3" s="1"/>
  <c r="E205" i="1"/>
  <c r="F12" i="3" s="1"/>
  <c r="A132" i="1"/>
  <c r="A133" i="1" s="1"/>
  <c r="A134" i="1" s="1"/>
  <c r="C197" i="1"/>
  <c r="A18" i="1"/>
  <c r="A200" i="1"/>
  <c r="A201" i="1" s="1"/>
  <c r="A202" i="1" s="1"/>
  <c r="A203" i="1" s="1"/>
  <c r="A71" i="1"/>
  <c r="A72" i="1" s="1"/>
  <c r="C79" i="1" s="1"/>
  <c r="I189" i="1"/>
  <c r="A19" i="3"/>
  <c r="A20" i="3" s="1"/>
  <c r="A21" i="3" s="1"/>
  <c r="D163" i="1"/>
  <c r="D164" i="1"/>
  <c r="D165" i="1"/>
  <c r="A136" i="1" l="1"/>
  <c r="A137" i="1" s="1"/>
  <c r="A138" i="1" s="1"/>
  <c r="C100"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C155" i="1" l="1"/>
  <c r="A22" i="1"/>
  <c r="A24" i="1" s="1"/>
  <c r="C24" i="1"/>
  <c r="F10" i="3"/>
  <c r="F11" i="3"/>
  <c r="I11" i="3" s="1"/>
  <c r="I204" i="1"/>
  <c r="C80" i="1"/>
  <c r="C14" i="1"/>
  <c r="A212" i="1"/>
  <c r="C15" i="1" s="1"/>
  <c r="C206" i="1"/>
  <c r="A139" i="1"/>
  <c r="C140" i="1" s="1"/>
  <c r="A75" i="1"/>
  <c r="C81" i="1"/>
  <c r="I101" i="1"/>
  <c r="I197" i="1"/>
  <c r="I17" i="1"/>
  <c r="I73" i="1"/>
  <c r="I80" i="1" s="1"/>
  <c r="I120" i="1"/>
  <c r="B26" i="3"/>
  <c r="B28" i="3"/>
  <c r="I97" i="1"/>
  <c r="I137" i="1"/>
  <c r="B27" i="3"/>
  <c r="A26" i="3"/>
  <c r="A27" i="3" s="1"/>
  <c r="A28" i="3" s="1"/>
  <c r="A29" i="3" s="1"/>
  <c r="A31" i="3" l="1"/>
  <c r="D31" i="3"/>
  <c r="G68" i="21"/>
  <c r="G70" i="21" s="1"/>
  <c r="G72" i="21" s="1"/>
  <c r="G30" i="21"/>
  <c r="G32" i="21" s="1"/>
  <c r="G84" i="21"/>
  <c r="G86" i="21" s="1"/>
  <c r="G54" i="21"/>
  <c r="G51" i="21"/>
  <c r="G53" i="21" s="1"/>
  <c r="G50" i="18"/>
  <c r="G52" i="18" s="1"/>
  <c r="G76" i="18"/>
  <c r="G78" i="18" s="1"/>
  <c r="G63" i="18"/>
  <c r="G65" i="18" s="1"/>
  <c r="G30" i="18"/>
  <c r="G32" i="18" s="1"/>
  <c r="G125" i="1"/>
  <c r="G124" i="1"/>
  <c r="A140" i="1"/>
  <c r="C82" i="1"/>
  <c r="A76" i="1"/>
  <c r="G145" i="1"/>
  <c r="G126" i="1"/>
  <c r="G144" i="1"/>
  <c r="G123" i="1"/>
  <c r="G68" i="1"/>
  <c r="G138" i="1"/>
  <c r="G122" i="1"/>
  <c r="G128" i="1"/>
  <c r="G121" i="1"/>
  <c r="G75" i="1"/>
  <c r="I75" i="1" s="1"/>
  <c r="I16" i="1"/>
  <c r="A33" i="3"/>
  <c r="B29" i="3"/>
  <c r="A34" i="3" l="1"/>
  <c r="A35" i="3" s="1"/>
  <c r="A36" i="3" s="1"/>
  <c r="A37" i="3" s="1"/>
  <c r="A38" i="3" s="1"/>
  <c r="G56" i="21"/>
  <c r="A142" i="1"/>
  <c r="A143" i="1" s="1"/>
  <c r="A144" i="1" s="1"/>
  <c r="A145" i="1" s="1"/>
  <c r="A146" i="1" s="1"/>
  <c r="A147" i="1" s="1"/>
  <c r="A148" i="1" s="1"/>
  <c r="A149" i="1" s="1"/>
  <c r="A150" i="1" s="1"/>
  <c r="A151" i="1" s="1"/>
  <c r="A153" i="1" s="1"/>
  <c r="A154" i="1" s="1"/>
  <c r="A78" i="1"/>
  <c r="A79" i="1" s="1"/>
  <c r="A80" i="1" s="1"/>
  <c r="C83" i="1"/>
  <c r="I76" i="1"/>
  <c r="I122" i="1"/>
  <c r="D36" i="3" l="1"/>
  <c r="D35" i="3"/>
  <c r="A81" i="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A91" i="1" l="1"/>
  <c r="A92" i="1" s="1"/>
  <c r="C165" i="1"/>
  <c r="C163" i="1"/>
  <c r="C164" i="1"/>
  <c r="A163" i="1"/>
  <c r="A164" i="1" s="1"/>
  <c r="A165" i="1" s="1"/>
  <c r="A166" i="1" s="1"/>
  <c r="A93" i="1" l="1"/>
  <c r="A94" i="1" s="1"/>
  <c r="C95" i="1" s="1"/>
  <c r="F15" i="2"/>
  <c r="A168" i="1"/>
  <c r="A169" i="1" s="1"/>
  <c r="C171" i="1" s="1"/>
  <c r="C166" i="1"/>
  <c r="F16" i="2" l="1"/>
  <c r="A95" i="1"/>
  <c r="A97" i="1"/>
  <c r="A99" i="1" s="1"/>
  <c r="A100" i="1" s="1"/>
  <c r="A101" i="1" s="1"/>
  <c r="A102" i="1" s="1"/>
  <c r="A103" i="1" s="1"/>
  <c r="A105" i="1" s="1"/>
  <c r="A171" i="1"/>
  <c r="C162" i="1"/>
  <c r="I21" i="6"/>
  <c r="C169" i="1" l="1"/>
  <c r="C5" i="3"/>
  <c r="C103" i="1"/>
  <c r="C105" i="1"/>
  <c r="I205" i="1"/>
  <c r="I12" i="3"/>
  <c r="A21" i="14" l="1"/>
  <c r="A24" i="14" l="1"/>
  <c r="A25" i="14" s="1"/>
  <c r="A26" i="14" s="1"/>
  <c r="A27" i="14" s="1"/>
  <c r="A28" i="14" s="1"/>
  <c r="A29" i="14" s="1"/>
  <c r="A30" i="14" l="1"/>
  <c r="A31" i="14" s="1"/>
  <c r="A32" i="14" s="1"/>
  <c r="C32" i="14"/>
  <c r="H12" i="20"/>
  <c r="H13" i="20" s="1"/>
  <c r="A34" i="14" l="1"/>
  <c r="C212" i="1" s="1"/>
  <c r="C34" i="14"/>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1" i="21" l="1"/>
  <c r="C71" i="21" l="1"/>
  <c r="F54" i="5" l="1"/>
  <c r="F55" i="5"/>
  <c r="F56" i="5"/>
  <c r="F57" i="5"/>
  <c r="F58" i="5"/>
  <c r="F59" i="5"/>
  <c r="F60" i="5"/>
  <c r="F61" i="5"/>
  <c r="F62" i="5"/>
  <c r="F63" i="5"/>
  <c r="F64" i="5"/>
  <c r="F65" i="5"/>
  <c r="F53" i="5"/>
  <c r="D23" i="5" l="1"/>
  <c r="D68" i="1" s="1"/>
  <c r="D69" i="1" s="1"/>
  <c r="F66" i="5"/>
  <c r="C66" i="5" s="1"/>
  <c r="I68" i="1" l="1"/>
  <c r="I82" i="1" s="1"/>
  <c r="I83" i="1" s="1"/>
  <c r="D82" i="1"/>
  <c r="D83" i="1" s="1"/>
  <c r="G83" i="1" l="1"/>
  <c r="G89" i="1" s="1"/>
  <c r="I69" i="1"/>
  <c r="G69" i="1" s="1"/>
  <c r="G147" i="1" s="1"/>
  <c r="G165" i="1" l="1"/>
  <c r="I165" i="1" s="1"/>
  <c r="F31" i="21"/>
  <c r="F32" i="21" s="1"/>
  <c r="C32" i="21" s="1"/>
  <c r="G150" i="1"/>
  <c r="I150" i="1" s="1"/>
  <c r="G88" i="1"/>
  <c r="G164" i="1"/>
  <c r="I164" i="1" s="1"/>
  <c r="F64" i="18"/>
  <c r="F65" i="18" s="1"/>
  <c r="C65" i="18" s="1"/>
  <c r="F85" i="21"/>
  <c r="F86" i="21" s="1"/>
  <c r="C86" i="21" s="1"/>
  <c r="G149" i="1"/>
  <c r="I149" i="1" s="1"/>
  <c r="G87" i="1"/>
  <c r="F69" i="21"/>
  <c r="F70" i="21" s="1"/>
  <c r="F72" i="21" s="1"/>
  <c r="C72" i="21" s="1"/>
  <c r="G90" i="1"/>
  <c r="I90" i="1" s="1"/>
  <c r="F31" i="18"/>
  <c r="F32" i="18" s="1"/>
  <c r="C32" i="18" s="1"/>
  <c r="G163" i="1"/>
  <c r="I163" i="1" s="1"/>
  <c r="H26" i="3"/>
  <c r="I26" i="3" s="1"/>
  <c r="F77" i="18"/>
  <c r="F78" i="18" s="1"/>
  <c r="C78" i="18" s="1"/>
  <c r="G102" i="1"/>
  <c r="I102" i="1" s="1"/>
  <c r="F52" i="21"/>
  <c r="F53" i="21" s="1"/>
  <c r="C53" i="21" s="1"/>
  <c r="F55" i="21"/>
  <c r="F51" i="18"/>
  <c r="F52" i="18" s="1"/>
  <c r="C52" i="18" s="1"/>
  <c r="C70" i="21" l="1"/>
  <c r="F56" i="21"/>
  <c r="C56" i="21" s="1"/>
  <c r="H27" i="3"/>
  <c r="H28" i="3" s="1"/>
  <c r="I28" i="3" s="1"/>
  <c r="I27" i="3" l="1"/>
  <c r="E23" i="5"/>
  <c r="D92" i="1" s="1"/>
  <c r="I92" i="1" l="1"/>
  <c r="I15" i="2" l="1"/>
  <c r="I16" i="2"/>
  <c r="I59" i="2" s="1"/>
  <c r="I61" i="2" s="1"/>
  <c r="I69" i="2" s="1"/>
  <c r="F59" i="2" l="1"/>
  <c r="F61" i="2" s="1"/>
  <c r="F69" i="2" s="1"/>
  <c r="I127" i="1" l="1"/>
  <c r="I125" i="1"/>
  <c r="I124" i="1"/>
  <c r="I121" i="1"/>
  <c r="I119" i="1"/>
  <c r="I118" i="1" l="1"/>
  <c r="D140" i="1"/>
  <c r="I138" i="1"/>
  <c r="D151" i="1"/>
  <c r="I147" i="1"/>
  <c r="I151" i="1" s="1"/>
  <c r="I27" i="2" s="1"/>
  <c r="I28" i="2" s="1"/>
  <c r="K28" i="2" s="1"/>
  <c r="D133" i="1" l="1"/>
  <c r="I132" i="1"/>
  <c r="I133" i="1" s="1"/>
  <c r="I134" i="1" s="1"/>
  <c r="I23" i="2"/>
  <c r="I24" i="2" s="1"/>
  <c r="K24" i="2" s="1"/>
  <c r="I140" i="1"/>
  <c r="D134" i="1" l="1"/>
  <c r="D100" i="1" s="1"/>
  <c r="D103" i="1" s="1"/>
  <c r="I19" i="2"/>
  <c r="I20" i="2" s="1"/>
  <c r="K20" i="2" s="1"/>
  <c r="I100" i="1"/>
  <c r="I103" i="1" s="1"/>
  <c r="G42" i="5" l="1"/>
  <c r="D88" i="1" s="1"/>
  <c r="I88" i="1" s="1"/>
  <c r="E42" i="5"/>
  <c r="D86" i="1" s="1"/>
  <c r="H42" i="5" l="1"/>
  <c r="D89" i="1" s="1"/>
  <c r="I89" i="1" s="1"/>
  <c r="F42" i="5" l="1"/>
  <c r="D87" i="1" s="1"/>
  <c r="D95" i="1" s="1"/>
  <c r="D105" i="1" s="1"/>
  <c r="I87" i="1" l="1"/>
  <c r="I95" i="1" s="1"/>
  <c r="I105" i="1" s="1"/>
  <c r="J5" i="3" l="1"/>
  <c r="J37" i="3" l="1"/>
  <c r="D33" i="11" l="1"/>
  <c r="D35" i="11" s="1"/>
  <c r="H19" i="6" s="1"/>
  <c r="G203" i="1" s="1"/>
  <c r="I19" i="6" l="1"/>
  <c r="I22" i="6" s="1"/>
  <c r="H10" i="3"/>
  <c r="I10" i="3" s="1"/>
  <c r="I13" i="3" s="1"/>
  <c r="I203" i="1"/>
  <c r="I206" i="1" l="1"/>
  <c r="D155" i="1" s="1"/>
  <c r="E18" i="3"/>
  <c r="J14" i="3"/>
  <c r="I25" i="3" l="1"/>
  <c r="I29" i="3" s="1"/>
  <c r="J29" i="3" s="1"/>
  <c r="J31" i="3" s="1"/>
  <c r="D169" i="1"/>
  <c r="D162" i="1" s="1"/>
  <c r="D166" i="1" s="1"/>
  <c r="D171" i="1" s="1"/>
  <c r="I169" i="1"/>
  <c r="J33" i="3" l="1"/>
  <c r="I162" i="1"/>
  <c r="I166" i="1" s="1"/>
  <c r="I40" i="2"/>
  <c r="I41" i="2" s="1"/>
  <c r="I171" i="1" l="1"/>
  <c r="I11" i="1" s="1"/>
  <c r="I36" i="2"/>
  <c r="I37" i="2" s="1"/>
  <c r="K37" i="2" s="1"/>
  <c r="J34" i="3"/>
  <c r="J35" i="3" s="1"/>
  <c r="J36" i="3" s="1"/>
  <c r="J38" i="3" s="1"/>
  <c r="K41" i="2"/>
  <c r="I43" i="2" l="1"/>
  <c r="P63" i="2"/>
  <c r="P60" i="2"/>
  <c r="P64" i="2"/>
  <c r="P59" i="2"/>
  <c r="K43" i="2"/>
  <c r="D30" i="14"/>
  <c r="F30" i="14" s="1"/>
  <c r="F27" i="14"/>
  <c r="D29" i="14"/>
  <c r="P61" i="2" l="1"/>
  <c r="F29" i="14"/>
  <c r="D32" i="14"/>
  <c r="J63" i="2"/>
  <c r="K63" i="2" s="1"/>
  <c r="J64" i="2"/>
  <c r="K64" i="2" s="1"/>
  <c r="J60" i="2"/>
  <c r="K60" i="2" s="1"/>
  <c r="J59" i="2"/>
  <c r="K59" i="2" s="1"/>
  <c r="P65" i="2"/>
  <c r="P69" i="2" l="1"/>
  <c r="K61" i="2"/>
  <c r="K65" i="2"/>
  <c r="D34" i="14"/>
  <c r="F32" i="14"/>
  <c r="K69" i="2" l="1"/>
  <c r="I212" i="1"/>
  <c r="D15" i="1" s="1"/>
  <c r="F34" i="14"/>
  <c r="D18" i="1" l="1"/>
  <c r="I15" i="1"/>
  <c r="I18" i="1" s="1"/>
  <c r="I30" i="2" s="1"/>
  <c r="I31" i="2" s="1"/>
  <c r="K31" i="2" s="1"/>
  <c r="K33" i="2" s="1"/>
  <c r="G60" i="2" l="1"/>
  <c r="H60" i="2" s="1"/>
  <c r="N60" i="2" s="1"/>
  <c r="G63" i="2"/>
  <c r="H63" i="2" s="1"/>
  <c r="G59" i="2"/>
  <c r="H59" i="2" s="1"/>
  <c r="G64" i="2"/>
  <c r="H64" i="2" s="1"/>
  <c r="N64" i="2" s="1"/>
  <c r="Q64" i="2" l="1"/>
  <c r="S64" i="2"/>
  <c r="N59" i="2"/>
  <c r="H61" i="2"/>
  <c r="H65" i="2"/>
  <c r="N63" i="2"/>
  <c r="S60" i="2"/>
  <c r="Q60" i="2"/>
  <c r="H69" i="2" l="1"/>
  <c r="N65" i="2"/>
  <c r="Q63" i="2"/>
  <c r="Q65" i="2" s="1"/>
  <c r="S63" i="2"/>
  <c r="S59" i="2"/>
  <c r="N61" i="2"/>
  <c r="Q59" i="2"/>
  <c r="Q61" i="2" s="1"/>
  <c r="H24" i="4"/>
  <c r="I24" i="4" s="1"/>
  <c r="H20" i="4"/>
  <c r="I20" i="4" s="1"/>
  <c r="Q69" i="2" l="1"/>
  <c r="N69" i="2"/>
  <c r="S61" i="2"/>
  <c r="H19" i="4"/>
  <c r="S65" i="2"/>
  <c r="H23" i="4"/>
  <c r="H25" i="4" l="1"/>
  <c r="I23" i="4"/>
  <c r="I25" i="4" s="1"/>
  <c r="H21" i="4"/>
  <c r="I19" i="4"/>
  <c r="I21" i="4" s="1"/>
  <c r="S69" i="2"/>
  <c r="I29" i="4" l="1"/>
  <c r="H29" i="4"/>
  <c r="D9" i="7" s="1"/>
  <c r="G9" i="7" s="1"/>
  <c r="I56" i="7" l="1"/>
  <c r="D23" i="7"/>
  <c r="H23" i="7" l="1"/>
  <c r="K23" i="7" s="1"/>
  <c r="D24" i="7"/>
  <c r="D25" i="7" l="1"/>
  <c r="H24" i="7"/>
  <c r="K24" i="7" s="1"/>
  <c r="D26" i="7" l="1"/>
  <c r="H25" i="7"/>
  <c r="K25" i="7" s="1"/>
  <c r="H26" i="7" l="1"/>
  <c r="K26" i="7" s="1"/>
  <c r="D27" i="7"/>
  <c r="H27" i="7" l="1"/>
  <c r="K27" i="7" s="1"/>
  <c r="D28" i="7"/>
  <c r="D29" i="7" l="1"/>
  <c r="H28" i="7"/>
  <c r="K28" i="7" s="1"/>
  <c r="D30" i="7" l="1"/>
  <c r="H29" i="7"/>
  <c r="K29" i="7" s="1"/>
  <c r="H30" i="7" l="1"/>
  <c r="K30" i="7" s="1"/>
  <c r="D31" i="7"/>
  <c r="H31" i="7" l="1"/>
  <c r="K31" i="7" s="1"/>
  <c r="D32" i="7"/>
  <c r="D33" i="7" l="1"/>
  <c r="H32" i="7"/>
  <c r="K32" i="7" l="1"/>
  <c r="D34" i="7"/>
  <c r="H34" i="7" s="1"/>
  <c r="K34" i="7" s="1"/>
  <c r="H33" i="7"/>
  <c r="K33" i="7" s="1"/>
  <c r="K35" i="7" l="1"/>
  <c r="D38" i="7" s="1"/>
  <c r="H38" i="7" s="1"/>
  <c r="K38" i="7" s="1"/>
  <c r="H35" i="7"/>
  <c r="D41" i="7" l="1"/>
  <c r="I41" i="7"/>
  <c r="I42" i="7" l="1"/>
  <c r="I43" i="7" s="1"/>
  <c r="I44" i="7" s="1"/>
  <c r="I45" i="7" s="1"/>
  <c r="I46" i="7" s="1"/>
  <c r="I47" i="7" s="1"/>
  <c r="I48" i="7" s="1"/>
  <c r="I49" i="7" s="1"/>
  <c r="I50" i="7" s="1"/>
  <c r="I51" i="7" s="1"/>
  <c r="I52" i="7" s="1"/>
  <c r="I55" i="7" s="1"/>
  <c r="I57" i="7" s="1"/>
  <c r="K41" i="7"/>
  <c r="D42" i="7" s="1"/>
  <c r="H41" i="7"/>
  <c r="J31" i="4" l="1"/>
  <c r="J24" i="4" s="1"/>
  <c r="L24" i="4" s="1"/>
  <c r="T64" i="2" s="1"/>
  <c r="U64" i="2" s="1"/>
  <c r="H42" i="7"/>
  <c r="K42" i="7"/>
  <c r="D43" i="7" s="1"/>
  <c r="J17" i="4" l="1"/>
  <c r="L17" i="4" s="1"/>
  <c r="J20" i="4"/>
  <c r="L20" i="4" s="1"/>
  <c r="T60" i="2" s="1"/>
  <c r="U60" i="2" s="1"/>
  <c r="J23" i="4"/>
  <c r="J25" i="4" s="1"/>
  <c r="J19" i="4"/>
  <c r="L19" i="4" s="1"/>
  <c r="H43" i="7"/>
  <c r="K43" i="7"/>
  <c r="D44" i="7" s="1"/>
  <c r="L23" i="4" l="1"/>
  <c r="L25" i="4" s="1"/>
  <c r="J21" i="4"/>
  <c r="J29" i="4" s="1"/>
  <c r="I21" i="1" s="1"/>
  <c r="I24" i="1" s="1"/>
  <c r="L21" i="4"/>
  <c r="K44" i="7"/>
  <c r="D45" i="7" s="1"/>
  <c r="H44" i="7"/>
  <c r="T63" i="2" l="1"/>
  <c r="U63" i="2" s="1"/>
  <c r="U65" i="2" s="1"/>
  <c r="K45" i="7"/>
  <c r="D46" i="7" s="1"/>
  <c r="H45" i="7"/>
  <c r="T61" i="2"/>
  <c r="U59" i="2"/>
  <c r="U61" i="2" s="1"/>
  <c r="L29" i="4"/>
  <c r="T65" i="2" l="1"/>
  <c r="T69" i="2" s="1"/>
  <c r="U69" i="2"/>
  <c r="H46" i="7"/>
  <c r="K46" i="7"/>
  <c r="D47" i="7" s="1"/>
  <c r="K47" i="7" l="1"/>
  <c r="D48" i="7" s="1"/>
  <c r="H47" i="7"/>
  <c r="H48" i="7" l="1"/>
  <c r="K48" i="7"/>
  <c r="D49" i="7" s="1"/>
  <c r="H49" i="7" l="1"/>
  <c r="K49" i="7"/>
  <c r="D50" i="7" s="1"/>
  <c r="H50" i="7" l="1"/>
  <c r="K50" i="7"/>
  <c r="D51" i="7" s="1"/>
  <c r="K51" i="7" l="1"/>
  <c r="D52" i="7" s="1"/>
  <c r="H51" i="7"/>
  <c r="K52" i="7" l="1"/>
  <c r="H52" i="7"/>
  <c r="H53" i="7" s="1"/>
</calcChain>
</file>

<file path=xl/comments1.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2.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<sst xmlns="http://schemas.openxmlformats.org/spreadsheetml/2006/main" count="1607" uniqueCount="932">
  <si>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</si>
  <si>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</si>
  <si>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</si>
  <si>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</si>
  <si>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</si>
  <si>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</si>
  <si>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</si>
  <si>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</si>
  <si>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</si>
  <si>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</si>
  <si>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</si>
  <si>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</si>
  <si>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</si>
  <si>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</si>
  <si>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</si>
  <si>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</si>
  <si>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</si>
  <si>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</si>
  <si>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</si>
  <si>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</si>
  <si>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</si>
  <si>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</si>
  <si>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</si>
  <si>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</si>
  <si>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</si>
  <si>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</si>
  <si>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</si>
  <si>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</si>
  <si>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</si>
  <si>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</si>
  <si>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</si>
  <si>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</si>
  <si>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</si>
  <si>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</si>
  <si>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</si>
  <si>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</si>
  <si>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</si>
  <si>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</si>
  <si>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</si>
  <si>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</si>
  <si>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</si>
  <si>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</si>
  <si>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</si>
  <si>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</si>
  <si>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</si>
  <si>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</si>
  <si>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</si>
  <si>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</si>
  <si>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</si>
  <si>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</si>
  <si>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</si>
  <si>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</si>
  <si>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</si>
  <si>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</si>
  <si>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</si>
  <si>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</si>
  <si>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</si>
  <si>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</si>
  <si>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</si>
  <si>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</si>
  <si>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</si>
  <si>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</si>
  <si>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</si>
  <si>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</si>
  <si>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</si>
  <si>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</si>
  <si>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</si>
  <si>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</si>
  <si>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</si>
  <si>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</si>
  <si>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</si>
  <si>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</si>
  <si>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</si>
  <si>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</si>
  <si>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</si>
  <si>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</si>
  <si>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</si>
  <si>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</si>
  <si>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</si>
  <si>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</si>
  <si>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</si>
  <si>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</si>
  <si>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</si>
  <si>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</si>
  <si>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</si>
  <si>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</si>
  <si>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</si>
  <si>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</si>
  <si>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</si>
  <si>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</si>
  <si>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</si>
  <si>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</si>
  <si>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</si>
  <si>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</si>
  <si>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</si>
  <si>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</si>
  <si>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</si>
  <si>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</si>
  <si>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</si>
  <si>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</si>
  <si>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</si>
  <si>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</si>
  <si>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</si>
  <si>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</si>
  <si>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</si>
  <si>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</si>
  <si>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</si>
  <si>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</si>
  <si>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</si>
  <si>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</si>
  <si>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</si>
  <si>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</si>
  <si>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</si>
  <si>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</si>
  <si>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</si>
  <si>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</si>
  <si>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</si>
  <si>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</si>
  <si>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</si>
  <si>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</si>
  <si>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</si>
  <si>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</si>
  <si>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</si>
  <si>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</si>
  <si>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</si>
  <si>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</si>
  <si>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</si>
  <si>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</si>
  <si>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</si>
  <si>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</si>
  <si>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</si>
  <si>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</si>
  <si>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</si>
  <si>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</si>
  <si>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</si>
  <si>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</si>
  <si>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</si>
  <si>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</si>
  <si>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</si>
  <si>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</si>
  <si>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</si>
  <si>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</si>
  <si>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</si>
  <si>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</si>
  <si>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</si>
  <si>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</si>
  <si>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</si>
  <si>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</si>
  <si>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</si>
  <si>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</si>
  <si>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</si>
  <si>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</si>
  <si>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</si>
  <si>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</si>
  <si>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</si>
  <si>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</si>
  <si>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</si>
  <si>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</si>
  <si>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</si>
  <si>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</si>
  <si>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</si>
  <si>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</si>
  <si>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</si>
  <si>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</si>
  <si>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</si>
  <si>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</si>
  <si>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</si>
  <si>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</si>
  <si>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</si>
  <si>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</si>
  <si>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</si>
  <si>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</si>
  <si>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</si>
  <si>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</si>
  <si>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</si>
  <si>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</si>
  <si>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</si>
  <si>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</si>
  <si>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</si>
  <si>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</si>
  <si>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</si>
  <si>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</si>
  <si>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</si>
  <si>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</si>
  <si>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</si>
  <si>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</si>
  <si>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</si>
  <si>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</si>
  <si>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</si>
  <si>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</si>
  <si>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</si>
  <si>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</si>
  <si>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</si>
  <si>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</si>
  <si>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</si>
  <si>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</si>
  <si>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</si>
  <si>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</si>
  <si>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</si>
  <si>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</si>
  <si>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</si>
  <si>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</si>
  <si>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</si>
  <si>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</si>
  <si>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</si>
  <si>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</si>
  <si>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</si>
  <si>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</si>
  <si>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</si>
  <si>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</si>
  <si>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</si>
  <si>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</si>
  <si>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</si>
  <si>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</si>
  <si>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</si>
  <si>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</si>
  <si>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</si>
  <si>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</si>
  <si>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</si>
  <si>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</si>
  <si>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</si>
  <si>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</si>
  <si>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</si>
  <si>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</si>
  <si>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</si>
  <si>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</si>
  <si>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</si>
  <si>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</si>
  <si>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</si>
  <si>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</si>
  <si>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</si>
  <si>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</si>
  <si>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</si>
  <si>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</si>
  <si>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</si>
  <si>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</si>
  <si>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</si>
  <si>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</si>
  <si>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</si>
  <si>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</si>
  <si>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</si>
  <si>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</si>
  <si>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</si>
  <si>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</si>
  <si>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</si>
  <si>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</si>
  <si>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</si>
  <si>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</si>
  <si>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</si>
  <si>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</si>
  <si>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</si>
  <si>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</si>
  <si>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</si>
  <si>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</si>
  <si>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</si>
  <si>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</si>
  <si>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</si>
  <si>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</si>
  <si>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</si>
  <si>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</si>
  <si>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</si>
  <si>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</si>
  <si>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</si>
  <si>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</si>
  <si>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</si>
  <si>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</si>
  <si>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</si>
  <si>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</si>
  <si>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</si>
  <si>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</si>
  <si>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</si>
  <si>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</si>
  <si>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</si>
  <si>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</si>
  <si>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</si>
  <si>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</si>
  <si>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</si>
  <si>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</si>
  <si>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</si>
  <si>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</si>
  <si>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</si>
  <si>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</si>
  <si>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</si>
  <si>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</si>
  <si>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</si>
  <si>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</si>
  <si>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</si>
  <si>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</si>
  <si>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</si>
  <si>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</si>
  <si>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</si>
  <si>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</si>
  <si>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</si>
  <si>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</si>
  <si>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</si>
  <si>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</si>
  <si>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</si>
  <si>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</si>
  <si>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</si>
  <si>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</si>
  <si>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</si>
  <si>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</si>
  <si>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</si>
  <si>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</si>
  <si>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</si>
  <si>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</si>
  <si>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</si>
  <si>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</si>
  <si>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</si>
  <si>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</si>
  <si>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</si>
  <si>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</si>
  <si>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</si>
  <si>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</si>
  <si>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</si>
  <si>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</si>
  <si>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</si>
  <si>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</si>
  <si>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</si>
  <si>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</si>
  <si>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</si>
  <si>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</si>
  <si>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</si>
  <si>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</si>
  <si>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</si>
  <si>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</si>
  <si>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</si>
  <si>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</si>
  <si>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</si>
  <si>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</si>
  <si>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</si>
  <si>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</si>
  <si>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</si>
  <si>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</si>
  <si>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</si>
  <si>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</si>
  <si>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</si>
  <si>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</si>
  <si>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</si>
  <si>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</si>
  <si>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</si>
  <si>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</si>
  <si>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</si>
  <si>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</si>
  <si>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</si>
  <si>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</si>
  <si>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</si>
  <si>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</si>
  <si>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</si>
  <si>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</si>
  <si>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</si>
  <si>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</si>
  <si>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</si>
  <si>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</si>
  <si>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</si>
  <si>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</si>
  <si>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</si>
  <si>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</si>
  <si>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</si>
  <si>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</si>
  <si>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</si>
  <si>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</si>
  <si>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</si>
  <si>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</si>
  <si>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</si>
  <si>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</si>
  <si>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</si>
  <si>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</si>
  <si>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</si>
  <si>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</si>
  <si>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</si>
  <si>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</si>
  <si>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</si>
  <si>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</si>
  <si>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</si>
  <si>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</si>
  <si>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</si>
  <si>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</si>
  <si>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</si>
  <si>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</si>
  <si>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</si>
  <si>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</si>
  <si>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</si>
  <si>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</si>
  <si>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</si>
  <si>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</si>
  <si>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</si>
  <si>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</si>
  <si>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</si>
  <si>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</si>
  <si>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</si>
  <si>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</si>
  <si>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</si>
  <si>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</si>
  <si>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</si>
  <si>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</si>
  <si>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</si>
  <si>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</si>
  <si>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</si>
  <si>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</si>
  <si>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</si>
  <si>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</si>
  <si>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</si>
  <si>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</si>
  <si>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</si>
  <si>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</si>
  <si>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</si>
  <si>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</si>
  <si>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</si>
  <si>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</si>
  <si>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</si>
  <si>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</si>
  <si>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</si>
  <si>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</si>
  <si>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</si>
  <si>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</si>
  <si>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</si>
  <si>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</si>
  <si>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</si>
  <si>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</si>
  <si>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</si>
  <si>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</si>
  <si>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</si>
  <si>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</si>
  <si>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</si>
  <si>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</si>
  <si>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</si>
  <si>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</si>
  <si>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</si>
  <si>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</si>
  <si>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</si>
  <si>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</si>
  <si>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</si>
  <si>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</si>
  <si>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</si>
  <si>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</si>
  <si>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</si>
  <si>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</si>
  <si>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</si>
  <si>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</si>
  <si>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</si>
  <si>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</si>
  <si>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</si>
  <si>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</si>
  <si>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</si>
  <si>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</si>
  <si>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</si>
  <si>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</si>
  <si>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</si>
  <si>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</si>
  <si>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</si>
  <si>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</si>
  <si>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</si>
  <si>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</si>
  <si>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</si>
  <si>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</si>
  <si>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</si>
  <si>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</si>
  <si>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</si>
  <si>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</si>
  <si>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</si>
  <si>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</si>
  <si>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</si>
  <si>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</si>
  <si>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</si>
  <si>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</si>
  <si>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</si>
  <si>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</si>
  <si>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</si>
  <si>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</si>
  <si>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</si>
  <si>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</si>
  <si>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</si>
  <si>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</si>
  <si>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</si>
  <si>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</si>
  <si>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</si>
  <si>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</si>
  <si>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</si>
  <si>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</si>
  <si>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</si>
  <si>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</si>
  <si>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</si>
  <si>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</si>
  <si>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</si>
  <si>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</si>
  <si>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</si>
  <si>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</si>
  <si>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</si>
  <si>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</si>
  <si>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</si>
  <si>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</si>
  <si>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</si>
  <si>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</si>
  <si>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</si>
  <si>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</si>
  <si>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</si>
  <si>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</si>
  <si>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</si>
  <si>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</si>
  <si>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</si>
  <si>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</si>
  <si>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</si>
  <si>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</si>
  <si>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</si>
  <si>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</si>
  <si>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</si>
  <si>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</si>
  <si>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</si>
  <si>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</si>
  <si>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</si>
  <si>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</si>
  <si>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</si>
  <si>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</si>
  <si>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</si>
  <si>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</si>
  <si>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</si>
  <si>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</si>
  <si>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</si>
  <si>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</si>
  <si>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</si>
  <si>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</si>
  <si>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</si>
  <si>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</si>
  <si>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</si>
  <si>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</si>
  <si>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</si>
  <si>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</si>
  <si>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</si>
  <si>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</si>
  <si>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</si>
  <si>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</si>
  <si>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</si>
  <si>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</si>
  <si>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</si>
  <si>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</si>
  <si>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</si>
  <si>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</si>
  <si>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</si>
  <si>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</si>
  <si>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</si>
  <si>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</si>
  <si>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</si>
  <si>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</si>
  <si>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</si>
  <si>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</si>
  <si>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</si>
  <si>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</si>
  <si>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</si>
  <si>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</si>
  <si>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</si>
  <si>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</si>
  <si>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</si>
  <si>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</si>
  <si>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</si>
  <si>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</si>
  <si>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</si>
  <si>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</si>
  <si>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</si>
  <si>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</si>
  <si>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</si>
  <si>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</si>
  <si>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</si>
  <si>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</si>
  <si>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</si>
  <si>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</si>
  <si>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</si>
  <si>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</si>
  <si>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</si>
  <si>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</si>
  <si>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</si>
  <si>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</si>
  <si>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</si>
  <si>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</si>
  <si>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</si>
  <si>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</si>
  <si>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</si>
  <si>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</si>
  <si>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</si>
  <si>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</si>
  <si>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</si>
  <si>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</si>
  <si>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</si>
  <si>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</si>
  <si>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</si>
  <si>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</si>
  <si>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</si>
  <si>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</si>
  <si>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</si>
  <si>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</si>
  <si>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</si>
  <si>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</si>
  <si>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</si>
  <si>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</si>
  <si>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</si>
  <si>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</si>
  <si>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</si>
  <si>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</si>
  <si>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</si>
  <si>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</si>
  <si>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</si>
  <si>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</si>
  <si>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</si>
  <si>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</si>
  <si>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</si>
  <si>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</si>
  <si>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</si>
  <si>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</si>
  <si>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</si>
  <si>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</si>
  <si>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</si>
  <si>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</si>
  <si>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</si>
  <si>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</si>
  <si>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</si>
  <si>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</si>
  <si>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</si>
  <si>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</si>
  <si>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</si>
  <si>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</si>
  <si>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</si>
  <si>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</si>
  <si>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</si>
  <si>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</si>
  <si>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</si>
  <si>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</si>
  <si>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</si>
  <si>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</si>
  <si>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</si>
  <si>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</si>
  <si>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</si>
  <si>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</si>
  <si>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</si>
  <si>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</si>
  <si>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</si>
  <si>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</si>
  <si>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</si>
  <si>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</si>
  <si>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</si>
  <si>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</si>
  <si>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</si>
  <si>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</si>
  <si>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</si>
  <si>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</si>
  <si>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</si>
  <si>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</si>
  <si>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</si>
  <si>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</si>
  <si>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</si>
  <si>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</si>
  <si>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</si>
  <si>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</si>
  <si>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</si>
  <si>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</si>
  <si>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</si>
  <si>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</si>
  <si>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</si>
  <si>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</si>
  <si>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</si>
  <si>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</si>
  <si>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</si>
  <si>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</si>
  <si>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</si>
  <si>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</si>
  <si>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</si>
  <si>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</si>
  <si>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</si>
  <si>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</si>
  <si>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</si>
  <si>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</si>
  <si>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</si>
  <si>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</si>
  <si>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</si>
  <si>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</si>
  <si>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</si>
  <si>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</si>
  <si>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</si>
  <si>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</si>
  <si>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</si>
  <si>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</si>
  <si>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</si>
  <si>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</si>
  <si>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</si>
  <si>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</si>
  <si>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</si>
  <si>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</si>
  <si>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</si>
  <si>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</si>
  <si>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</si>
  <si>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</si>
  <si>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</si>
  <si>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</si>
  <si>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</si>
  <si>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</si>
  <si>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</si>
  <si>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</si>
  <si>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</si>
  <si>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</si>
  <si>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</si>
  <si>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</si>
  <si>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</si>
  <si>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</si>
  <si>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</si>
  <si>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</si>
  <si>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</si>
  <si>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</si>
  <si>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</si>
  <si>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</si>
  <si>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</si>
  <si>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</si>
  <si>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</si>
  <si>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</si>
  <si>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</si>
  <si>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</si>
  <si>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</si>
  <si>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</si>
  <si>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</si>
  <si>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</si>
  <si>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</si>
  <si>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</si>
  <si>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</si>
  <si>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</si>
  <si>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</si>
  <si>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</si>
  <si>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</si>
  <si>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</si>
  <si>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</si>
  <si>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</si>
  <si>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</si>
  <si>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</si>
  <si>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</si>
  <si>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</si>
  <si>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</si>
  <si>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</si>
  <si>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</si>
  <si>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</si>
  <si>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</si>
  <si>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</si>
  <si>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</si>
  <si>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</si>
  <si>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</si>
  <si>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</si>
  <si>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</si>
  <si>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</si>
  <si>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</si>
  <si>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</si>
  <si>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</si>
  <si>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</si>
  <si>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</si>
  <si>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</si>
  <si>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</si>
  <si>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</si>
  <si>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</si>
  <si>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</si>
  <si>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</si>
  <si>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</si>
  <si>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</si>
  <si>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</si>
  <si>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</si>
  <si>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</si>
  <si>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</si>
  <si>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</si>
  <si>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</si>
  <si>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</si>
  <si>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</si>
  <si>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</si>
  <si>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</si>
  <si>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</si>
  <si>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</si>
  <si>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</si>
  <si>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</si>
  <si>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</si>
  <si>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</si>
  <si>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</si>
  <si>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</si>
  <si>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</si>
  <si>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</si>
  <si>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</si>
  <si>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</si>
  <si>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</si>
  <si>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</si>
  <si>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</si>
  <si>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</si>
  <si>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</si>
  <si>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</si>
  <si>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</si>
  <si>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</si>
  <si>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</si>
  <si>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</si>
  <si>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</si>
  <si>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</si>
  <si>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</si>
  <si>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</si>
  <si>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</si>
  <si>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</si>
  <si>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</si>
  <si>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</si>
  <si>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</si>
  <si>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</si>
  <si>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</si>
  <si>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</si>
  <si>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</si>
  <si>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</si>
  <si>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</si>
  <si>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</si>
  <si>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</si>
  <si>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</si>
  <si>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</si>
  <si>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</si>
  <si>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</si>
  <si>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</si>
  <si>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</si>
  <si>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</si>
  <si>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</si>
  <si>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</si>
  <si>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</si>
  <si>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</si>
  <si>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</si>
  <si>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</si>
  <si>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</si>
  <si>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</si>
  <si>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</si>
  <si>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</si>
  <si>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</si>
  <si>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</si>
  <si>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</si>
  <si>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</si>
  <si>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</si>
  <si>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</si>
  <si>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</si>
  <si>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</si>
  <si>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</si>
  <si>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</si>
  <si>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</si>
  <si>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</si>
  <si>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</si>
  <si>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</si>
  <si>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</si>
  <si>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</si>
  <si>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</si>
  <si>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</si>
  <si>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</si>
  <si>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</si>
  <si>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</si>
  <si>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</si>
  <si>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</si>
  <si>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</si>
  <si>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</si>
  <si>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</si>
  <si>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</si>
  <si>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</si>
  <si>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</si>
  <si>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</si>
  <si>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</si>
  <si>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</si>
  <si>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</si>
  <si>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</si>
  <si>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</si>
  <si>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</si>
  <si>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</si>
  <si>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</si>
  <si>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</si>
  <si>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</si>
  <si>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</si>
  <si>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</si>
  <si>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</si>
  <si>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</si>
  <si>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</si>
  <si>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</si>
  <si>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</si>
  <si>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</si>
  <si>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</si>
  <si>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</si>
  <si>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</si>
  <si>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</si>
  <si>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</si>
  <si>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</si>
  <si>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</si>
  <si>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</si>
  <si>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</si>
  <si>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</si>
  <si>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</si>
  <si>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</si>
  <si>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</si>
  <si>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</si>
  <si>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</si>
  <si>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</si>
  <si>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</si>
  <si>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</si>
  <si>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</si>
  <si>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</si>
  <si>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</si>
  <si>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</si>
  <si>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</si>
  <si>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</si>
  <si>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</si>
  <si>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</si>
  <si>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</si>
  <si>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</si>
  <si>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</si>
  <si>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</si>
  <si>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</si>
  <si>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</si>
  <si>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</si>
  <si>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</si>
  <si>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</si>
  <si>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</si>
  <si>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</si>
  <si>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</si>
  <si>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</si>
  <si>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12/31/2020</t>
  </si>
  <si>
    <t>520A  Provision for Possible Revenue Refunds</t>
  </si>
  <si>
    <t>Revenue Refund Timing Differences</t>
  </si>
  <si>
    <t>601E- Insurance Premiums Accrued</t>
  </si>
  <si>
    <t>Book Accrual Timing Differences</t>
  </si>
  <si>
    <t>612Y  Accrued Companywide Incentive Plan</t>
  </si>
  <si>
    <t>911Q-DSIT  DSIT Entry-Normalized</t>
  </si>
  <si>
    <t>Federal taxable loss</t>
  </si>
  <si>
    <t>014C-PA - NOL-State C/F-Deferred Tax Asset</t>
  </si>
  <si>
    <t xml:space="preserve">Pennsylvania taxable loss </t>
  </si>
  <si>
    <t>712K  Capitalized Software Cost</t>
  </si>
  <si>
    <t>Related to Capitalized Software Timing Differences</t>
  </si>
  <si>
    <t>310A AOFUDC</t>
  </si>
  <si>
    <t>Related to Capitalized Interest Timing Differences</t>
  </si>
  <si>
    <t>960F-XS Exess ADFIT 282.1 - Protected</t>
  </si>
  <si>
    <t>Related to Excess ADIT on Plant Timing Differences</t>
  </si>
  <si>
    <t>DFIT on Pennsylvania State NOL carryforward in 190</t>
  </si>
  <si>
    <t>Electric operations DSIT</t>
  </si>
  <si>
    <t>671S Reg Asset - Pre Construction</t>
  </si>
  <si>
    <t>Book Deferral Timing Differences</t>
  </si>
  <si>
    <t>960F-XS Excess ADFIT 283.1 - Unprotected</t>
  </si>
  <si>
    <t>Related to Excess ADIT on Non-Plant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</si>
</sst>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19">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046">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6" fontId="57" fillId="15" borderId="10" xfId="93" applyNumberFormat="1" applyFont="1" applyFill="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10" fontId="57" fillId="14" borderId="0" xfId="265" applyNumberFormat="1" applyFont="1" applyFill="1" applyAlignment="1"/>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0" fontId="57" fillId="0" borderId="0" xfId="59" applyNumberFormat="1" applyFont="1" applyFill="1" applyBorder="1"/>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0" fontId="17" fillId="15" borderId="42" xfId="184" applyFont="1" applyFill="1" applyBorder="1" applyAlignment="1">
      <alignment wrapText="1"/>
    </xf>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0" fontId="57" fillId="14" borderId="0" xfId="187" applyFont="1" applyFill="1" applyBorder="1"/>
    <xf numFmtId="10" fontId="57" fillId="14" borderId="0" xfId="187" applyNumberFormat="1" applyFont="1" applyFill="1" applyBorder="1"/>
    <xf numFmtId="10" fontId="57" fillId="15" borderId="0" xfId="79" applyNumberFormat="1" applyFont="1" applyFill="1" applyBorder="1"/>
    <xf numFmtId="10" fontId="57" fillId="15" borderId="0" xfId="187" applyNumberFormat="1" applyFont="1" applyFill="1" applyBorder="1"/>
    <xf numFmtId="0" fontId="57" fillId="14" borderId="0" xfId="59"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0" fontId="147" fillId="0" borderId="0" xfId="184" applyFont="1" applyFill="1" applyBorder="1" applyAlignment="1"/>
    <xf numFmtId="10" fontId="57" fillId="14" borderId="0" xfId="265" applyNumberFormat="1" applyFont="1" applyFill="1" applyAlignment="1" applyProtection="1">
      <alignment vertical="top"/>
      <protection locked="0"/>
    </xf>
    <xf numFmtId="10" fontId="57" fillId="14" borderId="0" xfId="265" applyNumberFormat="1" applyFont="1" applyFill="1" applyAlignment="1">
      <alignment horizontal="right"/>
    </xf>
    <xf numFmtId="175" fontId="57" fillId="14" borderId="0" xfId="59" applyNumberFormat="1" applyFont="1" applyFill="1" applyBorder="1"/>
    <xf numFmtId="43" fontId="57" fillId="15" borderId="3" xfId="59" applyFont="1" applyFill="1" applyBorder="1"/>
    <xf numFmtId="43" fontId="57" fillId="15" borderId="0" xfId="59" applyFont="1" applyFill="1" applyBorder="1"/>
    <xf numFmtId="43" fontId="57" fillId="15" borderId="1" xfId="59" applyFont="1" applyFill="1" applyBorder="1"/>
    <xf numFmtId="10" fontId="57" fillId="15" borderId="1" xfId="187" applyNumberFormat="1" applyFont="1" applyFill="1" applyBorder="1"/>
    <xf numFmtId="0" fontId="57" fillId="14" borderId="1" xfId="59" applyNumberFormat="1" applyFont="1" applyFill="1" applyBorder="1"/>
    <xf numFmtId="175" fontId="57" fillId="14" borderId="1" xfId="59" applyNumberFormat="1" applyFont="1" applyFill="1" applyBorder="1"/>
    <xf numFmtId="41" fontId="57" fillId="15" borderId="0" xfId="211" applyNumberFormat="1" applyFont="1" applyFill="1"/>
    <xf numFmtId="175" fontId="57" fillId="15" borderId="0" xfId="86" applyNumberFormat="1" applyFont="1" applyFill="1" applyBorder="1" applyAlignment="1">
      <alignment horizontal="right"/>
    </xf>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Alignment="1">
      <alignment horizontal="center" wrapText="1"/>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0" fontId="147" fillId="0" borderId="0" xfId="184" applyFont="1" applyFill="1" applyBorder="1" applyAlignment="1">
      <alignment horizontal="center"/>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19">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6" name="Object 2" hidden="1">
              <a:extLst>
                <a:ext uri="{63B3BB69-23CF-44E3-9099-C40C66FF867C}">
                  <a14:compatExt spid="_x0000_s983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3.bin"/><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view="pageBreakPreview" zoomScale="85" zoomScaleNormal="85" zoomScaleSheetLayoutView="85" workbookViewId="0"/>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746</v>
      </c>
      <c r="E3" s="26"/>
      <c r="F3" s="26"/>
      <c r="G3" s="106"/>
      <c r="H3" s="107"/>
      <c r="I3" s="108"/>
      <c r="J3" s="19" t="s">
        <v>910</v>
      </c>
    </row>
    <row r="4" spans="1:10">
      <c r="A4" s="34"/>
      <c r="C4" s="27"/>
      <c r="D4" s="30" t="s">
        <v>97</v>
      </c>
      <c r="E4" s="27"/>
      <c r="F4" s="27"/>
      <c r="G4" s="27"/>
      <c r="H4" s="109"/>
      <c r="I4" s="109"/>
      <c r="J4" s="110"/>
    </row>
    <row r="5" spans="1:10" ht="13.5">
      <c r="A5" s="34"/>
      <c r="B5" s="111"/>
      <c r="C5" s="118"/>
      <c r="D5" s="264" t="s">
        <v>733</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4335371.3983763261</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797</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5">
        <f>+G20*D20</f>
        <v>0</v>
      </c>
      <c r="J20" s="110"/>
      <c r="L20" s="123"/>
    </row>
    <row r="21" spans="1:12">
      <c r="A21" s="124">
        <f>+A20+1</f>
        <v>8</v>
      </c>
      <c r="B21" s="125" t="s">
        <v>98</v>
      </c>
      <c r="C21" s="301" t="str">
        <f>"Attachment 3, line "&amp;'3-Project True-up'!A29&amp;", Col. G+H"</f>
        <v>Attachment 3, line 9, Col. G+H</v>
      </c>
      <c r="D21" s="158">
        <v>0</v>
      </c>
      <c r="E21" s="126"/>
      <c r="F21" s="127" t="s">
        <v>77</v>
      </c>
      <c r="G21" s="167">
        <v>1</v>
      </c>
      <c r="H21" s="126"/>
      <c r="I21" s="16">
        <f>+G21*D21</f>
        <v>0</v>
      </c>
      <c r="J21" s="128"/>
    </row>
    <row r="22" spans="1:12" s="321" customFormat="1">
      <c r="A22" s="124">
        <f>+A21+1</f>
        <v>9</v>
      </c>
      <c r="B22" s="125" t="s">
        <v>741</v>
      </c>
      <c r="C22" s="301" t="s">
        <v>740</v>
      </c>
      <c r="D22" s="158">
        <f>+'13 - 30.9 credits'!D8</f>
        <v>0</v>
      </c>
      <c r="E22" s="126"/>
      <c r="F22" s="541" t="s">
        <v>77</v>
      </c>
      <c r="G22" s="167">
        <v>1</v>
      </c>
      <c r="H22" s="126"/>
      <c r="I22" s="405">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4335371.3983763261</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H-29A</v>
      </c>
      <c r="E56" s="29"/>
      <c r="F56" s="29"/>
      <c r="G56" s="29"/>
      <c r="H56" s="29"/>
      <c r="I56" s="103"/>
      <c r="J56" s="138" t="str">
        <f>J3</f>
        <v>For  the 12 months ended 12/31/2020</v>
      </c>
    </row>
    <row r="57" spans="1:10">
      <c r="A57" s="34"/>
      <c r="B57" s="139"/>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995"/>
      <c r="B59" s="995"/>
      <c r="C59" s="995"/>
      <c r="D59" s="995"/>
      <c r="E59" s="995"/>
      <c r="F59" s="995"/>
      <c r="G59" s="995"/>
      <c r="H59" s="995"/>
      <c r="I59" s="995"/>
      <c r="J59" s="995"/>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231624.13384615385</v>
      </c>
      <c r="E68" s="27"/>
      <c r="F68" s="27" t="s">
        <v>23</v>
      </c>
      <c r="G68" s="167">
        <f>$I$197</f>
        <v>1</v>
      </c>
      <c r="H68" s="42"/>
      <c r="I68" s="147">
        <f>+G68*D68</f>
        <v>231624.13384615385</v>
      </c>
      <c r="J68" s="27"/>
    </row>
    <row r="69" spans="1:10">
      <c r="A69" s="299">
        <f t="shared" si="0"/>
        <v>5</v>
      </c>
      <c r="B69" s="26" t="s">
        <v>212</v>
      </c>
      <c r="C69" s="27" t="s">
        <v>507</v>
      </c>
      <c r="D69" s="405">
        <f>SUM(D65:D68)</f>
        <v>231624.13384615385</v>
      </c>
      <c r="E69" s="27"/>
      <c r="F69" s="27" t="s">
        <v>24</v>
      </c>
      <c r="G69" s="330">
        <f>IF(I69&gt;0,I69/D69,1)</f>
        <v>1</v>
      </c>
      <c r="H69" s="42"/>
      <c r="I69" s="405">
        <f>SUM(I65:I68)</f>
        <v>231624.13384615385</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47468.395384615374</v>
      </c>
      <c r="E75" s="27"/>
      <c r="F75" s="27" t="s">
        <v>23</v>
      </c>
      <c r="G75" s="167">
        <f>$I$197</f>
        <v>1</v>
      </c>
      <c r="H75" s="42"/>
      <c r="I75" s="147">
        <f>+G75*D75</f>
        <v>47468.395384615374</v>
      </c>
      <c r="J75" s="27"/>
    </row>
    <row r="76" spans="1:10">
      <c r="A76" s="299">
        <f t="shared" si="0"/>
        <v>11</v>
      </c>
      <c r="B76" s="29" t="s">
        <v>213</v>
      </c>
      <c r="C76" s="27" t="s">
        <v>226</v>
      </c>
      <c r="D76" s="405">
        <f>SUM(D72:D75)</f>
        <v>47468.395384615374</v>
      </c>
      <c r="E76" s="27"/>
      <c r="F76" s="27"/>
      <c r="G76" s="25"/>
      <c r="H76" s="42"/>
      <c r="I76" s="405">
        <f>SUM(I72:I75)</f>
        <v>47468.395384615374</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184155.73846153848</v>
      </c>
      <c r="E82" s="42"/>
      <c r="F82" s="42"/>
      <c r="G82" s="148"/>
      <c r="H82" s="42"/>
      <c r="I82" s="147">
        <f>I68-I75</f>
        <v>184155.73846153848</v>
      </c>
      <c r="J82" s="149"/>
    </row>
    <row r="83" spans="1:10">
      <c r="A83" s="299">
        <f t="shared" si="0"/>
        <v>17</v>
      </c>
      <c r="B83" s="29" t="s">
        <v>215</v>
      </c>
      <c r="C83" s="27" t="str">
        <f>"( Sum of line "&amp;A69&amp;" - line "&amp;A76&amp;")"</f>
        <v>( Sum of line 5 - line 11)</v>
      </c>
      <c r="D83" s="405">
        <f>SUM(D79:D82)</f>
        <v>184155.73846153848</v>
      </c>
      <c r="E83" s="42"/>
      <c r="F83" s="42" t="s">
        <v>26</v>
      </c>
      <c r="G83" s="330">
        <f>IF(I83&gt;0,I83/D83,1)</f>
        <v>1</v>
      </c>
      <c r="H83" s="42"/>
      <c r="I83" s="405">
        <f>SUM(I79:I82)</f>
        <v>184155.73846153848</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884</v>
      </c>
      <c r="C86" s="541" t="s">
        <v>513</v>
      </c>
      <c r="D86" s="47">
        <f>-'4- Rate Base'!E42</f>
        <v>0</v>
      </c>
      <c r="E86" s="27"/>
      <c r="F86" s="502" t="s">
        <v>21</v>
      </c>
      <c r="G86" s="955" t="s">
        <v>105</v>
      </c>
      <c r="H86" s="42"/>
      <c r="I86" s="16">
        <v>0</v>
      </c>
      <c r="J86" s="149"/>
    </row>
    <row r="87" spans="1:10" s="321" customFormat="1">
      <c r="A87" s="299">
        <f t="shared" ref="A87:A90" si="1">+A86+1</f>
        <v>20</v>
      </c>
      <c r="B87" s="542" t="s">
        <v>885</v>
      </c>
      <c r="C87" s="541" t="s">
        <v>886</v>
      </c>
      <c r="D87" s="545">
        <f>-'4- Rate Base'!F42</f>
        <v>-67891.794999999998</v>
      </c>
      <c r="E87" s="541"/>
      <c r="F87" s="502" t="s">
        <v>27</v>
      </c>
      <c r="G87" s="167">
        <f>+G83</f>
        <v>1</v>
      </c>
      <c r="H87" s="42"/>
      <c r="I87" s="405">
        <f t="shared" ref="I87:I89" si="2">D87*G87</f>
        <v>-67891.794999999998</v>
      </c>
      <c r="J87" s="149"/>
    </row>
    <row r="88" spans="1:10" s="321" customFormat="1">
      <c r="A88" s="299">
        <f t="shared" si="1"/>
        <v>21</v>
      </c>
      <c r="B88" s="542" t="s">
        <v>887</v>
      </c>
      <c r="C88" s="541" t="s">
        <v>888</v>
      </c>
      <c r="D88" s="545">
        <f>-'4- Rate Base'!G42</f>
        <v>50403.635000000009</v>
      </c>
      <c r="E88" s="541"/>
      <c r="F88" s="502" t="s">
        <v>27</v>
      </c>
      <c r="G88" s="167">
        <f>+G83</f>
        <v>1</v>
      </c>
      <c r="H88" s="42"/>
      <c r="I88" s="405">
        <f t="shared" si="2"/>
        <v>50403.635000000009</v>
      </c>
      <c r="J88" s="149"/>
    </row>
    <row r="89" spans="1:10" s="321" customFormat="1">
      <c r="A89" s="299">
        <f t="shared" si="1"/>
        <v>22</v>
      </c>
      <c r="B89" s="542" t="s">
        <v>889</v>
      </c>
      <c r="C89" s="541" t="s">
        <v>890</v>
      </c>
      <c r="D89" s="545">
        <f>+'4- Rate Base'!H42</f>
        <v>349166.39</v>
      </c>
      <c r="E89" s="541"/>
      <c r="F89" s="502" t="s">
        <v>27</v>
      </c>
      <c r="G89" s="167">
        <f>+G83</f>
        <v>1</v>
      </c>
      <c r="H89" s="42"/>
      <c r="I89" s="405">
        <f t="shared" si="2"/>
        <v>349166.39</v>
      </c>
      <c r="J89" s="149"/>
    </row>
    <row r="90" spans="1:10">
      <c r="A90" s="299">
        <f t="shared" si="1"/>
        <v>23</v>
      </c>
      <c r="B90" s="34" t="s">
        <v>89</v>
      </c>
      <c r="C90" s="34" t="s">
        <v>891</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894</v>
      </c>
      <c r="D92" s="47">
        <f>'4- Rate Base'!E23</f>
        <v>37170524.737692311</v>
      </c>
      <c r="E92" s="152"/>
      <c r="F92" s="153" t="str">
        <f>+F93</f>
        <v>DA</v>
      </c>
      <c r="G92" s="169">
        <v>1</v>
      </c>
      <c r="H92" s="152"/>
      <c r="I92" s="40">
        <f>+G92*D92</f>
        <v>37170524.737692311</v>
      </c>
      <c r="J92" s="149"/>
    </row>
    <row r="93" spans="1:10">
      <c r="A93" s="299">
        <f t="shared" si="0"/>
        <v>26</v>
      </c>
      <c r="B93" s="154" t="s">
        <v>100</v>
      </c>
      <c r="C93" s="155" t="s">
        <v>514</v>
      </c>
      <c r="D93" s="47">
        <f>+'4- Rate Base'!C42</f>
        <v>395589.50000000041</v>
      </c>
      <c r="E93" s="153"/>
      <c r="F93" s="153" t="str">
        <f>+F94</f>
        <v>DA</v>
      </c>
      <c r="G93" s="169">
        <v>1</v>
      </c>
      <c r="H93" s="153"/>
      <c r="I93" s="40">
        <f>+G93*D93</f>
        <v>395589.50000000041</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37897792.467692308</v>
      </c>
      <c r="E95" s="27"/>
      <c r="F95" s="27"/>
      <c r="G95" s="482"/>
      <c r="H95" s="42"/>
      <c r="I95" s="16">
        <f>SUM(I86:I94)</f>
        <v>37897792.467692308</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38998.057943474152</v>
      </c>
      <c r="E100" s="35"/>
      <c r="F100" s="35"/>
      <c r="G100" s="329"/>
      <c r="H100" s="159"/>
      <c r="I100" s="158">
        <f>(I134-I131)/8</f>
        <v>38998.057943474152</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20640.893846153846</v>
      </c>
      <c r="E102" s="27"/>
      <c r="F102" s="27" t="s">
        <v>28</v>
      </c>
      <c r="G102" s="329">
        <f>+$G$69</f>
        <v>1</v>
      </c>
      <c r="H102" s="42"/>
      <c r="I102" s="147">
        <f>+G102*D102</f>
        <v>20640.893846153846</v>
      </c>
      <c r="J102" s="149"/>
    </row>
    <row r="103" spans="1:10">
      <c r="A103" s="105">
        <f t="shared" si="0"/>
        <v>34</v>
      </c>
      <c r="B103" s="29" t="s">
        <v>217</v>
      </c>
      <c r="C103" s="27" t="str">
        <f>"( Sum of line "&amp;A100&amp;" - line "&amp;A102&amp;")"</f>
        <v>( Sum of line 31 - line 33)</v>
      </c>
      <c r="D103" s="16">
        <f>SUM(D100:D102)</f>
        <v>59638.951789628001</v>
      </c>
      <c r="E103" s="110"/>
      <c r="F103" s="110"/>
      <c r="G103" s="156"/>
      <c r="H103" s="160"/>
      <c r="I103" s="16">
        <f>I100+I101+I102</f>
        <v>59638.951789628001</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38141587.157943472</v>
      </c>
      <c r="E105" s="42"/>
      <c r="F105" s="42"/>
      <c r="G105" s="162"/>
      <c r="H105" s="42"/>
      <c r="I105" s="161">
        <f>+I103+I97+I95+I83</f>
        <v>38141587.157943472</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H-29A</v>
      </c>
      <c r="E110" s="27"/>
      <c r="F110" s="27"/>
      <c r="G110" s="27"/>
      <c r="H110" s="27"/>
      <c r="I110" s="103"/>
      <c r="J110" s="164" t="str">
        <f>J3</f>
        <v>For  the 12 months ended 12/31/2020</v>
      </c>
    </row>
    <row r="111" spans="1:10">
      <c r="A111" s="105"/>
      <c r="B111" s="29"/>
      <c r="C111" s="27"/>
      <c r="D111" s="30" t="s">
        <v>97</v>
      </c>
      <c r="E111" s="27"/>
      <c r="F111" s="27"/>
      <c r="G111" s="27"/>
      <c r="H111" s="27"/>
      <c r="I111" s="27"/>
      <c r="J111" s="27"/>
    </row>
    <row r="112" spans="1:10">
      <c r="A112" s="105"/>
      <c r="B112" s="34"/>
      <c r="C112" s="27"/>
      <c r="D112" s="30" t="str">
        <f>+D58</f>
        <v>Transource Pennsylvania, LLC</v>
      </c>
      <c r="E112" s="27"/>
      <c r="F112" s="27"/>
      <c r="G112" s="27"/>
      <c r="H112" s="27"/>
      <c r="I112" s="27"/>
      <c r="J112" s="27"/>
    </row>
    <row r="113" spans="1:10">
      <c r="A113" s="996"/>
      <c r="B113" s="996"/>
      <c r="C113" s="996"/>
      <c r="D113" s="996"/>
      <c r="E113" s="996"/>
      <c r="F113" s="996"/>
      <c r="G113" s="996"/>
      <c r="H113" s="996"/>
      <c r="I113" s="996"/>
      <c r="J113" s="996"/>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364291.12000000005</v>
      </c>
      <c r="E118" s="27"/>
      <c r="F118" s="27" t="s">
        <v>15</v>
      </c>
      <c r="G118" s="167">
        <f>$I$189</f>
        <v>1</v>
      </c>
      <c r="H118" s="42"/>
      <c r="I118" s="16">
        <f t="shared" ref="I118:I129" si="3">+G118*D118</f>
        <v>364291.12000000005</v>
      </c>
      <c r="J118" s="27"/>
    </row>
    <row r="119" spans="1:10">
      <c r="A119" s="124">
        <f>+A118+1</f>
        <v>2</v>
      </c>
      <c r="B119" s="165" t="s">
        <v>94</v>
      </c>
      <c r="C119" s="27" t="s">
        <v>440</v>
      </c>
      <c r="D119" s="563">
        <v>315223.16000000003</v>
      </c>
      <c r="E119" s="155"/>
      <c r="F119" s="155" t="str">
        <f>+F118</f>
        <v>TP</v>
      </c>
      <c r="G119" s="167">
        <f>$I$189</f>
        <v>1</v>
      </c>
      <c r="H119" s="155"/>
      <c r="I119" s="158">
        <f>+G119*D119</f>
        <v>315223.16000000003</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112367.792</v>
      </c>
      <c r="E121" s="27"/>
      <c r="F121" s="27" t="s">
        <v>23</v>
      </c>
      <c r="G121" s="167">
        <f t="shared" ref="G121:G126" si="5">$I$197</f>
        <v>1</v>
      </c>
      <c r="H121" s="42"/>
      <c r="I121" s="16">
        <f t="shared" si="3"/>
        <v>112367.792</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9453.09</v>
      </c>
      <c r="E124" s="27"/>
      <c r="F124" s="27" t="s">
        <v>23</v>
      </c>
      <c r="G124" s="167">
        <f t="shared" si="5"/>
        <v>1</v>
      </c>
      <c r="H124" s="42"/>
      <c r="I124" s="405">
        <f>+G124*D124</f>
        <v>9453.09</v>
      </c>
      <c r="J124" s="27"/>
    </row>
    <row r="125" spans="1:10" s="321" customFormat="1">
      <c r="A125" s="326">
        <f t="shared" si="4"/>
        <v>8</v>
      </c>
      <c r="B125" s="38" t="s">
        <v>561</v>
      </c>
      <c r="C125" s="502" t="s">
        <v>519</v>
      </c>
      <c r="D125" s="563">
        <v>0.09</v>
      </c>
      <c r="E125" s="27"/>
      <c r="F125" s="27" t="s">
        <v>23</v>
      </c>
      <c r="G125" s="167">
        <f t="shared" si="5"/>
        <v>1</v>
      </c>
      <c r="H125" s="42"/>
      <c r="I125" s="405">
        <f>+G125*D125</f>
        <v>0.09</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9452.85</v>
      </c>
      <c r="E127" s="27"/>
      <c r="F127" s="166" t="s">
        <v>15</v>
      </c>
      <c r="G127" s="167">
        <f>$I$189</f>
        <v>1</v>
      </c>
      <c r="H127" s="42"/>
      <c r="I127" s="16">
        <f t="shared" si="3"/>
        <v>9452.85</v>
      </c>
      <c r="J127" s="27"/>
    </row>
    <row r="128" spans="1:10" s="13" customFormat="1">
      <c r="A128" s="326">
        <f t="shared" si="4"/>
        <v>11</v>
      </c>
      <c r="B128" s="38" t="s">
        <v>206</v>
      </c>
      <c r="C128" s="502" t="s">
        <v>742</v>
      </c>
      <c r="D128" s="173">
        <f>+'7 - PBOP'!F15</f>
        <v>-6438.3184522068168</v>
      </c>
      <c r="E128" s="100"/>
      <c r="F128" s="27" t="s">
        <v>23</v>
      </c>
      <c r="G128" s="167">
        <f>$I$197</f>
        <v>1</v>
      </c>
      <c r="H128" s="42"/>
      <c r="I128" s="16">
        <f>+G128*D128</f>
        <v>-6438.3184522068168</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158235.80000000002</v>
      </c>
      <c r="E131" s="153"/>
      <c r="F131" s="153" t="s">
        <v>77</v>
      </c>
      <c r="G131" s="169">
        <v>1</v>
      </c>
      <c r="H131" s="153"/>
      <c r="I131" s="47">
        <f>+G131*D131</f>
        <v>158235.80000000002</v>
      </c>
      <c r="J131" s="27"/>
    </row>
    <row r="132" spans="1:10">
      <c r="A132" s="326">
        <f t="shared" si="4"/>
        <v>15</v>
      </c>
      <c r="B132" s="499" t="s">
        <v>564</v>
      </c>
      <c r="C132" s="502" t="s">
        <v>714</v>
      </c>
      <c r="D132" s="563">
        <v>156987.36000000002</v>
      </c>
      <c r="E132" s="153"/>
      <c r="F132" s="153" t="s">
        <v>15</v>
      </c>
      <c r="G132" s="167">
        <f>$I$189</f>
        <v>1</v>
      </c>
      <c r="H132" s="153"/>
      <c r="I132" s="47">
        <f>+G132*D132</f>
        <v>156987.36000000002</v>
      </c>
      <c r="J132" s="27"/>
    </row>
    <row r="133" spans="1:10" ht="13.5" thickBot="1">
      <c r="A133" s="326">
        <f t="shared" si="4"/>
        <v>16</v>
      </c>
      <c r="B133" s="165" t="s">
        <v>96</v>
      </c>
      <c r="C133" s="155" t="str">
        <f>"( Sum of line "&amp;A131&amp;" - line "&amp;A132&amp;")"" Ties to 321.97b"</f>
        <v>( Sum of line 14 - line 15)" Ties to 321.97b</v>
      </c>
      <c r="D133" s="170">
        <f>SUM(D131:D132)</f>
        <v>315223.16000000003</v>
      </c>
      <c r="E133" s="153"/>
      <c r="F133" s="153"/>
      <c r="G133" s="169"/>
      <c r="H133" s="153"/>
      <c r="I133" s="170">
        <f>SUM(I131:I132)</f>
        <v>315223.16000000003</v>
      </c>
      <c r="J133" s="27"/>
    </row>
    <row r="134" spans="1:10">
      <c r="A134" s="326">
        <f t="shared" si="4"/>
        <v>17</v>
      </c>
      <c r="B134" s="171" t="s">
        <v>219</v>
      </c>
      <c r="C134" s="838" t="s">
        <v>563</v>
      </c>
      <c r="D134" s="16">
        <f>+D118-D119-D120+D121-D122-D123-D124-D125-D126+D127+D128+D129+D133</f>
        <v>470220.26354779326</v>
      </c>
      <c r="E134" s="16"/>
      <c r="F134" s="16"/>
      <c r="G134" s="16"/>
      <c r="H134" s="16"/>
      <c r="I134" s="405">
        <f>+I118-I119-I120+I121-I122-I123-I124-I125-I126+I127+I128+I129+I133</f>
        <v>470220.26354779326</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9" t="s">
        <v>443</v>
      </c>
      <c r="D137" s="150">
        <v>0</v>
      </c>
      <c r="E137" s="16"/>
      <c r="F137" s="16" t="s">
        <v>15</v>
      </c>
      <c r="G137" s="167">
        <f>$I$189</f>
        <v>1</v>
      </c>
      <c r="H137" s="16"/>
      <c r="I137" s="16">
        <f>+G137*D137</f>
        <v>0</v>
      </c>
      <c r="J137" s="149"/>
    </row>
    <row r="138" spans="1:10">
      <c r="A138" s="326">
        <f t="shared" si="4"/>
        <v>20</v>
      </c>
      <c r="B138" s="172" t="s">
        <v>88</v>
      </c>
      <c r="C138" s="839" t="s">
        <v>444</v>
      </c>
      <c r="D138" s="150">
        <v>42595.3</v>
      </c>
      <c r="E138" s="16"/>
      <c r="F138" s="16" t="s">
        <v>23</v>
      </c>
      <c r="G138" s="167">
        <f>$I$197</f>
        <v>1</v>
      </c>
      <c r="H138" s="16"/>
      <c r="I138" s="16">
        <f>+G138*D138</f>
        <v>42595.3</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5">
        <f>SUM(D137:D139)</f>
        <v>42595.3</v>
      </c>
      <c r="E140" s="16"/>
      <c r="F140" s="16"/>
      <c r="G140" s="167"/>
      <c r="H140" s="16"/>
      <c r="I140" s="16">
        <f>SUM(I137:I139)</f>
        <v>42595.3</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9" t="s">
        <v>715</v>
      </c>
      <c r="D144" s="150">
        <v>0</v>
      </c>
      <c r="E144" s="16"/>
      <c r="F144" s="16" t="s">
        <v>23</v>
      </c>
      <c r="G144" s="167">
        <f>$I$197</f>
        <v>1</v>
      </c>
      <c r="H144" s="16"/>
      <c r="I144" s="16">
        <f>+G144*D144</f>
        <v>0</v>
      </c>
    </row>
    <row r="145" spans="1:10">
      <c r="A145" s="326">
        <f t="shared" si="4"/>
        <v>26</v>
      </c>
      <c r="B145" s="29" t="s">
        <v>34</v>
      </c>
      <c r="C145" s="839" t="s">
        <v>715</v>
      </c>
      <c r="D145" s="563">
        <v>0</v>
      </c>
      <c r="E145" s="16"/>
      <c r="F145" s="16" t="s">
        <v>23</v>
      </c>
      <c r="G145" s="167">
        <f>$I$197</f>
        <v>1</v>
      </c>
      <c r="H145" s="16"/>
      <c r="I145" s="16">
        <f>+G145*D145</f>
        <v>0</v>
      </c>
    </row>
    <row r="146" spans="1:10">
      <c r="A146" s="326">
        <f t="shared" si="4"/>
        <v>27</v>
      </c>
      <c r="B146" s="29" t="s">
        <v>35</v>
      </c>
      <c r="C146" s="839" t="s">
        <v>2</v>
      </c>
      <c r="D146" s="158"/>
      <c r="E146" s="16"/>
      <c r="F146" s="16"/>
      <c r="G146" s="167"/>
      <c r="H146" s="16"/>
      <c r="I146" s="16"/>
    </row>
    <row r="147" spans="1:10">
      <c r="A147" s="326">
        <f t="shared" si="4"/>
        <v>28</v>
      </c>
      <c r="B147" s="29" t="s">
        <v>36</v>
      </c>
      <c r="C147" s="839" t="s">
        <v>715</v>
      </c>
      <c r="D147" s="150">
        <v>0</v>
      </c>
      <c r="E147" s="16"/>
      <c r="F147" s="16" t="s">
        <v>28</v>
      </c>
      <c r="G147" s="329">
        <f>+$G$69</f>
        <v>1</v>
      </c>
      <c r="H147" s="16"/>
      <c r="I147" s="16">
        <f>+G147*D147</f>
        <v>0</v>
      </c>
    </row>
    <row r="148" spans="1:10">
      <c r="A148" s="326">
        <f t="shared" si="4"/>
        <v>29</v>
      </c>
      <c r="B148" s="29" t="s">
        <v>37</v>
      </c>
      <c r="C148" s="839" t="s">
        <v>715</v>
      </c>
      <c r="D148" s="150">
        <v>0</v>
      </c>
      <c r="E148" s="16"/>
      <c r="F148" s="158" t="s">
        <v>21</v>
      </c>
      <c r="G148" s="186" t="s">
        <v>105</v>
      </c>
      <c r="H148" s="16"/>
      <c r="I148" s="325">
        <v>0</v>
      </c>
    </row>
    <row r="149" spans="1:10">
      <c r="A149" s="326">
        <f t="shared" si="4"/>
        <v>30</v>
      </c>
      <c r="B149" s="29" t="s">
        <v>38</v>
      </c>
      <c r="C149" s="839" t="s">
        <v>715</v>
      </c>
      <c r="D149" s="150">
        <v>0</v>
      </c>
      <c r="E149" s="16"/>
      <c r="F149" s="16" t="s">
        <v>28</v>
      </c>
      <c r="G149" s="329">
        <f>+$G$69</f>
        <v>1</v>
      </c>
      <c r="H149" s="16"/>
      <c r="I149" s="16">
        <f>+G149*D149</f>
        <v>0</v>
      </c>
    </row>
    <row r="150" spans="1:10" ht="13.5" thickBot="1">
      <c r="A150" s="326">
        <f t="shared" si="4"/>
        <v>31</v>
      </c>
      <c r="B150" s="29" t="s">
        <v>39</v>
      </c>
      <c r="C150" s="839"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0</v>
      </c>
      <c r="E151" s="16"/>
      <c r="F151" s="16"/>
      <c r="G151" s="16"/>
      <c r="H151" s="16"/>
      <c r="I151" s="16">
        <f>SUM(I144:I150)</f>
        <v>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7">
        <f>IF(D237&gt;0,1-(((1-D238)*(1-D237))/(1-D238*D237*D239))*(1-D240),0)</f>
        <v>0.28892099999999998</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7">
        <f>IF(I203&gt;0,(D154/(1-D154))*(1-I203/I206),0)</f>
        <v>0.33865702697562933</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7">
        <f>IF(D154=0,0,1/(1-D154))</f>
        <v>1.4063135038441579</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862</v>
      </c>
      <c r="C160" s="502" t="s">
        <v>864</v>
      </c>
      <c r="D160" s="150">
        <v>0</v>
      </c>
      <c r="E160" s="27"/>
      <c r="F160" s="34"/>
      <c r="G160" s="40"/>
      <c r="H160" s="27"/>
      <c r="I160" s="16"/>
    </row>
    <row r="161" spans="1:10">
      <c r="A161" s="326">
        <f t="shared" si="4"/>
        <v>41</v>
      </c>
      <c r="B161" s="38" t="s">
        <v>264</v>
      </c>
      <c r="C161" s="502" t="s">
        <v>864</v>
      </c>
      <c r="D161" s="150">
        <v>0</v>
      </c>
      <c r="E161" s="27"/>
      <c r="F161" s="34"/>
      <c r="G161" s="36"/>
      <c r="H161" s="27"/>
      <c r="I161" s="16"/>
      <c r="J161" s="34"/>
    </row>
    <row r="162" spans="1:10">
      <c r="A162" s="326">
        <f t="shared" si="4"/>
        <v>42</v>
      </c>
      <c r="B162" s="39" t="s">
        <v>229</v>
      </c>
      <c r="C162" s="41" t="str">
        <f>"(Line "&amp;A155&amp;" times Line "&amp;A169&amp;")"</f>
        <v>(Line 35 times Line 48)</v>
      </c>
      <c r="D162" s="261">
        <f>+D155*D169</f>
        <v>967040.37582805229</v>
      </c>
      <c r="E162" s="42"/>
      <c r="F162" s="42" t="s">
        <v>21</v>
      </c>
      <c r="G162" s="43"/>
      <c r="H162" s="42"/>
      <c r="I162" s="261">
        <f>+D155*I169</f>
        <v>967040.37582805229</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863</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967040.37582805229</v>
      </c>
      <c r="E166" s="42"/>
      <c r="F166" s="42" t="s">
        <v>2</v>
      </c>
      <c r="G166" s="43" t="s">
        <v>2</v>
      </c>
      <c r="H166" s="42"/>
      <c r="I166" s="173">
        <f>SUM(I162:I165)</f>
        <v>967040.37582805229</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6">
        <f>+$I206*D105</f>
        <v>2855515.4590004804</v>
      </c>
      <c r="E169" s="42"/>
      <c r="F169" s="42" t="s">
        <v>21</v>
      </c>
      <c r="G169" s="175"/>
      <c r="H169" s="42"/>
      <c r="I169" s="405">
        <f>+$I206*I105</f>
        <v>2855515.4590004804</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4335371.3983763261</v>
      </c>
      <c r="E171" s="42"/>
      <c r="F171" s="42"/>
      <c r="G171" s="163"/>
      <c r="H171" s="42"/>
      <c r="I171" s="177">
        <f>+I169+I166+I151+I140+I134</f>
        <v>4335371.3983763261</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H-29A</v>
      </c>
      <c r="E175" s="34"/>
      <c r="F175" s="34"/>
      <c r="G175" s="34"/>
      <c r="H175" s="34"/>
      <c r="I175" s="103"/>
      <c r="J175" s="178" t="str">
        <f>J3</f>
        <v>For  the 12 months ended 12/31/2020</v>
      </c>
    </row>
    <row r="176" spans="1:10">
      <c r="A176" s="105"/>
      <c r="B176" s="29"/>
      <c r="C176" s="34"/>
      <c r="D176" s="210" t="s">
        <v>97</v>
      </c>
      <c r="E176" s="34"/>
      <c r="F176" s="34"/>
      <c r="G176" s="34"/>
      <c r="H176" s="34"/>
      <c r="I176" s="34"/>
      <c r="J176" s="27"/>
    </row>
    <row r="177" spans="1:10">
      <c r="A177" s="105"/>
      <c r="B177" s="34"/>
      <c r="C177" s="34"/>
      <c r="D177" s="210" t="str">
        <f>+D112</f>
        <v>Transource Pennsylvania, LLC</v>
      </c>
      <c r="E177" s="34"/>
      <c r="F177" s="34"/>
      <c r="G177" s="34"/>
      <c r="H177" s="34"/>
      <c r="I177" s="34"/>
      <c r="J177" s="27"/>
    </row>
    <row r="178" spans="1:10">
      <c r="A178" s="996"/>
      <c r="B178" s="996"/>
      <c r="C178" s="996"/>
      <c r="D178" s="996"/>
      <c r="E178" s="996"/>
      <c r="F178" s="996"/>
      <c r="G178" s="996"/>
      <c r="H178" s="996"/>
      <c r="I178" s="996"/>
      <c r="J178" s="996"/>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19753846.153846152</v>
      </c>
      <c r="E203" s="786">
        <f>+'5-Return'!G19</f>
        <v>0.4</v>
      </c>
      <c r="F203" s="25"/>
      <c r="G203" s="368">
        <f>'5-Return'!H19</f>
        <v>3.1165484696261687E-2</v>
      </c>
      <c r="H203" s="25"/>
      <c r="I203" s="213">
        <f>E203*G203</f>
        <v>1.2466193878504676E-2</v>
      </c>
      <c r="J203" s="34"/>
    </row>
    <row r="204" spans="1:10">
      <c r="A204" s="299">
        <f t="shared" si="6"/>
        <v>16</v>
      </c>
      <c r="B204" s="26" t="s">
        <v>109</v>
      </c>
      <c r="C204" s="32" t="s">
        <v>452</v>
      </c>
      <c r="D204" s="194">
        <f>+'5-Return'!F20</f>
        <v>0</v>
      </c>
      <c r="E204" s="786">
        <f>+'5-Return'!G20</f>
        <v>0</v>
      </c>
      <c r="F204" s="25"/>
      <c r="G204" s="368">
        <f>+'5-Return'!H20</f>
        <v>0</v>
      </c>
      <c r="H204" s="25"/>
      <c r="I204" s="213">
        <f>E204*G204</f>
        <v>0</v>
      </c>
      <c r="J204" s="34"/>
    </row>
    <row r="205" spans="1:10" ht="13.5" thickBot="1">
      <c r="A205" s="299">
        <f t="shared" si="6"/>
        <v>17</v>
      </c>
      <c r="B205" s="26" t="s">
        <v>262</v>
      </c>
      <c r="C205" s="32" t="s">
        <v>546</v>
      </c>
      <c r="D205" s="194">
        <f>+'5-Return'!F21</f>
        <v>13657586.908846153</v>
      </c>
      <c r="E205" s="787">
        <f>+'5-Return'!G21</f>
        <v>0.6</v>
      </c>
      <c r="F205" s="33"/>
      <c r="G205" s="804">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33411433.062692307</v>
      </c>
      <c r="E206" s="27" t="s">
        <v>2</v>
      </c>
      <c r="F206" s="27"/>
      <c r="G206" s="27"/>
      <c r="H206" s="27"/>
      <c r="I206" s="213">
        <f>SUM(I203:I205)</f>
        <v>7.4866193878504683E-2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805</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H-29A</v>
      </c>
      <c r="E216" s="27"/>
      <c r="F216" s="27"/>
      <c r="G216" s="27"/>
      <c r="H216" s="109"/>
      <c r="I216" s="103"/>
      <c r="J216" s="203" t="str">
        <f>J3</f>
        <v>For  the 12 months ended 12/31/2020</v>
      </c>
    </row>
    <row r="217" spans="1:10">
      <c r="A217" s="105"/>
      <c r="B217" s="201"/>
      <c r="C217" s="105"/>
      <c r="D217" s="30" t="s">
        <v>97</v>
      </c>
      <c r="E217" s="27"/>
      <c r="F217" s="27"/>
      <c r="G217" s="27"/>
      <c r="H217" s="109"/>
      <c r="I217" s="204"/>
      <c r="J217" s="200"/>
    </row>
    <row r="218" spans="1:10">
      <c r="A218" s="105"/>
      <c r="B218" s="201"/>
      <c r="C218" s="105"/>
      <c r="D218" s="30" t="str">
        <f>+D177</f>
        <v>Transource Pennsylvania, LLC</v>
      </c>
      <c r="E218" s="27"/>
      <c r="F218" s="27"/>
      <c r="G218" s="27"/>
      <c r="H218" s="109"/>
      <c r="I218" s="204"/>
      <c r="J218" s="200"/>
    </row>
    <row r="219" spans="1:10">
      <c r="A219" s="996"/>
      <c r="B219" s="996"/>
      <c r="C219" s="996"/>
      <c r="D219" s="996"/>
      <c r="E219" s="996"/>
      <c r="F219" s="996"/>
      <c r="G219" s="996"/>
      <c r="H219" s="996"/>
      <c r="I219" s="996"/>
      <c r="J219" s="996"/>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97"/>
      <c r="C223" s="997"/>
      <c r="D223" s="205"/>
      <c r="E223" s="205"/>
      <c r="F223" s="205"/>
      <c r="G223" s="205"/>
      <c r="H223" s="206"/>
      <c r="I223" s="205"/>
      <c r="J223" s="205"/>
    </row>
    <row r="224" spans="1:10" ht="30.75" customHeight="1">
      <c r="A224" s="808" t="s">
        <v>177</v>
      </c>
      <c r="B224" s="998" t="s">
        <v>798</v>
      </c>
      <c r="C224" s="999"/>
      <c r="D224" s="999"/>
      <c r="E224" s="999"/>
      <c r="F224" s="999"/>
      <c r="G224" s="999"/>
      <c r="H224" s="999"/>
      <c r="I224" s="999"/>
      <c r="J224" s="999"/>
    </row>
    <row r="225" spans="1:10">
      <c r="A225" s="808" t="s">
        <v>178</v>
      </c>
      <c r="B225" s="989" t="s">
        <v>270</v>
      </c>
      <c r="C225" s="989"/>
      <c r="D225" s="989"/>
      <c r="E225" s="989"/>
      <c r="F225" s="989"/>
      <c r="G225" s="989"/>
      <c r="H225" s="989"/>
      <c r="I225" s="989"/>
      <c r="J225" s="989"/>
    </row>
    <row r="226" spans="1:10" s="13" customFormat="1" ht="22.5" customHeight="1">
      <c r="A226" s="809" t="s">
        <v>64</v>
      </c>
      <c r="B226" s="267" t="s">
        <v>530</v>
      </c>
      <c r="C226" s="253"/>
      <c r="D226" s="253"/>
      <c r="E226" s="253"/>
      <c r="F226" s="253"/>
      <c r="G226" s="253"/>
      <c r="H226" s="254"/>
      <c r="I226" s="255"/>
      <c r="J226" s="256"/>
    </row>
    <row r="227" spans="1:10" ht="44.25" customHeight="1">
      <c r="A227" s="808" t="s">
        <v>512</v>
      </c>
      <c r="B227" s="989" t="s">
        <v>900</v>
      </c>
      <c r="C227" s="989"/>
      <c r="D227" s="989"/>
      <c r="E227" s="989"/>
      <c r="F227" s="989"/>
      <c r="G227" s="989"/>
      <c r="H227" s="989"/>
      <c r="I227" s="989"/>
      <c r="J227" s="989"/>
    </row>
    <row r="228" spans="1:10" s="13" customFormat="1" ht="37.5" customHeight="1">
      <c r="A228" s="809" t="s">
        <v>66</v>
      </c>
      <c r="B228" s="994" t="s">
        <v>794</v>
      </c>
      <c r="C228" s="994"/>
      <c r="D228" s="994"/>
      <c r="E228" s="994"/>
      <c r="F228" s="994"/>
      <c r="G228" s="994"/>
      <c r="H228" s="994"/>
      <c r="I228" s="994"/>
      <c r="J228" s="994"/>
    </row>
    <row r="229" spans="1:10" ht="30.75" customHeight="1">
      <c r="A229" s="809" t="s">
        <v>67</v>
      </c>
      <c r="B229" s="1000" t="s">
        <v>631</v>
      </c>
      <c r="C229" s="1000"/>
      <c r="D229" s="1000"/>
      <c r="E229" s="1000"/>
      <c r="F229" s="1000"/>
      <c r="G229" s="1000"/>
      <c r="H229" s="1000"/>
      <c r="I229" s="1000"/>
      <c r="J229" s="1000"/>
    </row>
    <row r="230" spans="1:10" ht="19.5" customHeight="1">
      <c r="A230" s="808" t="s">
        <v>68</v>
      </c>
      <c r="B230" s="989" t="s">
        <v>578</v>
      </c>
      <c r="C230" s="989"/>
      <c r="D230" s="989"/>
      <c r="E230" s="989"/>
      <c r="F230" s="989"/>
      <c r="G230" s="989"/>
      <c r="H230" s="989"/>
      <c r="I230" s="989"/>
      <c r="J230" s="989"/>
    </row>
    <row r="231" spans="1:10" ht="39" customHeight="1">
      <c r="A231" s="808" t="s">
        <v>69</v>
      </c>
      <c r="B231" s="989" t="s">
        <v>517</v>
      </c>
      <c r="C231" s="989"/>
      <c r="D231" s="989"/>
      <c r="E231" s="989"/>
      <c r="F231" s="989"/>
      <c r="G231" s="989"/>
      <c r="H231" s="989"/>
      <c r="I231" s="989"/>
      <c r="J231" s="989"/>
    </row>
    <row r="232" spans="1:10" ht="35.25" customHeight="1">
      <c r="A232" s="810" t="s">
        <v>70</v>
      </c>
      <c r="B232" s="989" t="s">
        <v>721</v>
      </c>
      <c r="C232" s="989"/>
      <c r="D232" s="989"/>
      <c r="E232" s="989"/>
      <c r="F232" s="989"/>
      <c r="G232" s="989"/>
      <c r="H232" s="989"/>
      <c r="I232" s="989"/>
      <c r="J232" s="989"/>
    </row>
    <row r="233" spans="1:10" s="215" customFormat="1" ht="28.5" customHeight="1">
      <c r="A233" s="808" t="s">
        <v>71</v>
      </c>
      <c r="B233" s="989" t="s">
        <v>897</v>
      </c>
      <c r="C233" s="989"/>
      <c r="D233" s="989"/>
      <c r="E233" s="989"/>
      <c r="F233" s="989"/>
      <c r="G233" s="989"/>
      <c r="H233" s="989"/>
      <c r="I233" s="989"/>
      <c r="J233" s="989"/>
    </row>
    <row r="234" spans="1:10" s="215" customFormat="1" ht="18.75" customHeight="1">
      <c r="A234" s="808" t="s">
        <v>99</v>
      </c>
      <c r="B234" s="252" t="s">
        <v>522</v>
      </c>
      <c r="C234" s="837"/>
      <c r="D234" s="837"/>
      <c r="E234" s="837"/>
      <c r="F234" s="837"/>
      <c r="G234" s="837"/>
      <c r="H234" s="837"/>
      <c r="I234" s="837"/>
      <c r="J234" s="837"/>
    </row>
    <row r="235" spans="1:10" ht="49.5" customHeight="1">
      <c r="A235" s="810" t="s">
        <v>116</v>
      </c>
      <c r="B235" s="989" t="s">
        <v>796</v>
      </c>
      <c r="C235" s="989"/>
      <c r="D235" s="989"/>
      <c r="E235" s="989"/>
      <c r="F235" s="989"/>
      <c r="G235" s="989"/>
      <c r="H235" s="989"/>
      <c r="I235" s="989"/>
      <c r="J235" s="989"/>
    </row>
    <row r="236" spans="1:10" ht="51" customHeight="1">
      <c r="A236" s="990" t="s">
        <v>532</v>
      </c>
      <c r="B236" s="989" t="s">
        <v>179</v>
      </c>
      <c r="C236" s="989"/>
      <c r="D236" s="989"/>
      <c r="E236" s="989"/>
      <c r="F236" s="989"/>
      <c r="G236" s="989"/>
      <c r="H236" s="989"/>
      <c r="I236" s="989"/>
      <c r="J236" s="989"/>
    </row>
    <row r="237" spans="1:10">
      <c r="A237" s="990"/>
      <c r="B237" s="252" t="s">
        <v>72</v>
      </c>
      <c r="C237" s="252" t="s">
        <v>666</v>
      </c>
      <c r="D237" s="979">
        <v>0.21</v>
      </c>
      <c r="E237" s="252" t="s">
        <v>333</v>
      </c>
      <c r="F237" s="252"/>
      <c r="G237" s="252"/>
      <c r="H237" s="252"/>
      <c r="I237" s="252"/>
      <c r="J237" s="252"/>
    </row>
    <row r="238" spans="1:10">
      <c r="A238" s="990"/>
      <c r="B238" s="252"/>
      <c r="C238" s="252" t="s">
        <v>73</v>
      </c>
      <c r="D238" s="978">
        <v>9.9900000000000003E-2</v>
      </c>
      <c r="E238" s="252" t="s">
        <v>112</v>
      </c>
      <c r="F238" s="252"/>
      <c r="G238" s="252"/>
      <c r="H238" s="252"/>
      <c r="I238" s="252"/>
      <c r="J238" s="252"/>
    </row>
    <row r="239" spans="1:10">
      <c r="A239" s="990"/>
      <c r="B239" s="252"/>
      <c r="C239" s="252" t="s">
        <v>74</v>
      </c>
      <c r="D239" s="386">
        <v>0</v>
      </c>
      <c r="E239" s="252" t="s">
        <v>113</v>
      </c>
      <c r="F239" s="252"/>
      <c r="G239" s="252"/>
      <c r="H239" s="252"/>
      <c r="I239" s="252"/>
      <c r="J239" s="252"/>
    </row>
    <row r="240" spans="1:10">
      <c r="A240" s="990"/>
      <c r="B240" s="252"/>
      <c r="C240" s="252" t="s">
        <v>114</v>
      </c>
      <c r="D240" s="386">
        <v>0</v>
      </c>
      <c r="E240" s="252" t="s">
        <v>115</v>
      </c>
      <c r="F240" s="252"/>
      <c r="G240" s="252"/>
      <c r="H240" s="252"/>
      <c r="I240" s="252"/>
      <c r="J240" s="252"/>
    </row>
    <row r="241" spans="1:10" ht="47.25" customHeight="1">
      <c r="A241" s="850" t="s">
        <v>540</v>
      </c>
      <c r="B241" s="993" t="s">
        <v>903</v>
      </c>
      <c r="C241" s="993"/>
      <c r="D241" s="993"/>
      <c r="E241" s="993"/>
      <c r="F241" s="993"/>
      <c r="G241" s="993"/>
      <c r="H241" s="993"/>
      <c r="I241" s="993"/>
      <c r="J241" s="993"/>
    </row>
    <row r="242" spans="1:10" ht="19.5" customHeight="1">
      <c r="A242" s="808" t="s">
        <v>118</v>
      </c>
      <c r="B242" s="989" t="s">
        <v>117</v>
      </c>
      <c r="C242" s="989"/>
      <c r="D242" s="989"/>
      <c r="E242" s="989"/>
      <c r="F242" s="989"/>
      <c r="G242" s="989"/>
      <c r="H242" s="989"/>
      <c r="I242" s="989"/>
      <c r="J242" s="989"/>
    </row>
    <row r="243" spans="1:10" s="565" customFormat="1" ht="99" customHeight="1">
      <c r="A243" s="808" t="s">
        <v>119</v>
      </c>
      <c r="B243" s="991" t="s">
        <v>906</v>
      </c>
      <c r="C243" s="991"/>
      <c r="D243" s="991"/>
      <c r="E243" s="991"/>
      <c r="F243" s="991"/>
      <c r="G243" s="991"/>
      <c r="H243" s="991"/>
      <c r="I243" s="991"/>
      <c r="J243" s="991"/>
    </row>
    <row r="244" spans="1:10" s="215" customFormat="1" ht="30.75" customHeight="1">
      <c r="A244" s="809" t="s">
        <v>120</v>
      </c>
      <c r="B244" s="992" t="s">
        <v>790</v>
      </c>
      <c r="C244" s="992"/>
      <c r="D244" s="992"/>
      <c r="E244" s="992"/>
      <c r="F244" s="992"/>
      <c r="G244" s="992"/>
      <c r="H244" s="992"/>
      <c r="I244" s="992"/>
      <c r="J244" s="992"/>
    </row>
    <row r="245" spans="1:10" s="215" customFormat="1" ht="31.5" customHeight="1">
      <c r="A245" s="809" t="s">
        <v>543</v>
      </c>
      <c r="B245" s="989" t="s">
        <v>549</v>
      </c>
      <c r="C245" s="989"/>
      <c r="D245" s="989"/>
      <c r="E245" s="989"/>
      <c r="F245" s="989"/>
      <c r="G245" s="989"/>
      <c r="H245" s="989"/>
      <c r="I245" s="989"/>
      <c r="J245" s="989"/>
    </row>
    <row r="246" spans="1:10" ht="21" customHeight="1">
      <c r="A246" s="808" t="s">
        <v>545</v>
      </c>
      <c r="B246" s="989" t="s">
        <v>632</v>
      </c>
      <c r="C246" s="989"/>
      <c r="D246" s="989"/>
      <c r="E246" s="989"/>
      <c r="F246" s="989"/>
      <c r="G246" s="989"/>
      <c r="H246" s="989"/>
      <c r="I246" s="989"/>
      <c r="J246" s="989"/>
    </row>
    <row r="247" spans="1:10">
      <c r="A247" s="808" t="s">
        <v>547</v>
      </c>
      <c r="B247" s="989" t="s">
        <v>548</v>
      </c>
      <c r="C247" s="989"/>
      <c r="D247" s="989"/>
      <c r="E247" s="989"/>
      <c r="F247" s="989"/>
      <c r="G247" s="989"/>
      <c r="H247" s="989"/>
      <c r="I247" s="989"/>
      <c r="J247" s="989"/>
    </row>
    <row r="248" spans="1:10" s="321" customFormat="1">
      <c r="A248" s="811" t="s">
        <v>235</v>
      </c>
      <c r="B248" s="501" t="s">
        <v>577</v>
      </c>
      <c r="C248" s="492"/>
      <c r="D248" s="492"/>
      <c r="E248" s="492"/>
      <c r="F248" s="492"/>
      <c r="G248" s="492"/>
      <c r="H248" s="492"/>
      <c r="I248" s="492"/>
      <c r="J248" s="492"/>
    </row>
    <row r="249" spans="1:10" s="321" customFormat="1" ht="43.5" customHeight="1">
      <c r="A249" s="811" t="s">
        <v>893</v>
      </c>
      <c r="B249" s="994" t="s">
        <v>902</v>
      </c>
      <c r="C249" s="994"/>
      <c r="D249" s="994"/>
      <c r="E249" s="994"/>
      <c r="F249" s="994"/>
      <c r="G249" s="994"/>
      <c r="H249" s="994"/>
      <c r="I249" s="994"/>
      <c r="J249" s="491"/>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sqref="A1:K1"/>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14" t="s">
        <v>185</v>
      </c>
      <c r="B1" s="1014"/>
      <c r="C1" s="1014"/>
      <c r="D1" s="1014"/>
      <c r="E1" s="1014"/>
      <c r="F1" s="1014"/>
      <c r="G1" s="1014"/>
      <c r="H1" s="1014"/>
      <c r="I1" s="1014"/>
      <c r="J1" s="1014"/>
      <c r="K1" s="1014"/>
    </row>
    <row r="2" spans="1:11" s="608" customFormat="1">
      <c r="A2" s="1015" t="s">
        <v>622</v>
      </c>
      <c r="B2" s="1015"/>
      <c r="C2" s="1015"/>
      <c r="D2" s="1015"/>
      <c r="E2" s="1015"/>
      <c r="F2" s="1015"/>
      <c r="G2" s="1015"/>
      <c r="H2" s="1015"/>
      <c r="I2" s="1015"/>
      <c r="J2" s="1015"/>
      <c r="K2" s="1015"/>
    </row>
    <row r="3" spans="1:11" s="608" customFormat="1" ht="18" customHeight="1">
      <c r="A3" s="1016" t="str">
        <f>+'Attachment H-29A'!D5</f>
        <v>Transource Pennsylvania, LLC</v>
      </c>
      <c r="B3" s="1016"/>
      <c r="C3" s="1016"/>
      <c r="D3" s="1016"/>
      <c r="E3" s="1016"/>
      <c r="F3" s="1016"/>
      <c r="G3" s="1016"/>
      <c r="H3" s="1016"/>
      <c r="I3" s="1016"/>
      <c r="J3" s="1016"/>
      <c r="K3" s="1016"/>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2020</v>
      </c>
      <c r="B6" s="620"/>
      <c r="C6" s="620"/>
      <c r="D6" s="788">
        <f>+A6</f>
        <v>2020</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5">
        <f>+'3-Project True-up'!E19</f>
        <v>6147836.3304333836</v>
      </c>
      <c r="B9" s="626" t="s">
        <v>606</v>
      </c>
      <c r="C9" s="627"/>
      <c r="D9" s="625">
        <f>'3-Project True-up'!H29</f>
        <v>4335371.3983763251</v>
      </c>
      <c r="E9" s="628"/>
      <c r="F9" s="626" t="s">
        <v>607</v>
      </c>
      <c r="G9" s="629">
        <f>IF(D9=0,0,A9-D9)</f>
        <v>1812464.9320570584</v>
      </c>
      <c r="J9" s="621"/>
      <c r="K9" s="621"/>
    </row>
    <row r="10" spans="1:11" s="564" customFormat="1" ht="12.75">
      <c r="A10" s="628"/>
      <c r="B10" s="627"/>
      <c r="C10" s="627"/>
      <c r="D10" s="628"/>
      <c r="E10" s="628"/>
      <c r="F10" s="627"/>
      <c r="G10" s="628"/>
      <c r="H10" s="621"/>
      <c r="I10" s="621"/>
      <c r="J10" s="621"/>
      <c r="K10" s="621"/>
    </row>
    <row r="11" spans="1:11" s="564" customFormat="1" ht="12.75">
      <c r="A11" s="628" t="s">
        <v>766</v>
      </c>
      <c r="B11" s="627"/>
      <c r="C11" s="627"/>
      <c r="D11" s="628"/>
      <c r="E11" s="628"/>
      <c r="F11" s="627"/>
      <c r="G11" s="628"/>
      <c r="H11" s="621"/>
      <c r="I11" s="621"/>
      <c r="J11" s="621"/>
      <c r="K11" s="621"/>
    </row>
    <row r="12" spans="1:11" s="564" customFormat="1" ht="12.75">
      <c r="A12" s="628" t="s">
        <v>767</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3.1320833333333322E-3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2020</v>
      </c>
      <c r="C23" s="621"/>
      <c r="D23" s="820">
        <f>+G9/12</f>
        <v>151038.7443380882</v>
      </c>
      <c r="E23" s="643"/>
      <c r="F23" s="644">
        <f>+F17</f>
        <v>3.1320833333333322E-3</v>
      </c>
      <c r="G23" s="643">
        <v>12</v>
      </c>
      <c r="H23" s="820">
        <f>F23*D23*G23*-1</f>
        <v>-5676.7912059470436</v>
      </c>
      <c r="I23" s="820"/>
      <c r="J23" s="820"/>
      <c r="K23" s="820">
        <f>(-H23+D23)*-1</f>
        <v>-156715.53554403526</v>
      </c>
    </row>
    <row r="24" spans="1:11" s="564" customFormat="1" ht="12.75">
      <c r="A24" s="621" t="s">
        <v>84</v>
      </c>
      <c r="B24" s="642" t="str">
        <f>+B23</f>
        <v>Year 2020</v>
      </c>
      <c r="C24" s="621"/>
      <c r="D24" s="820">
        <f>+D23</f>
        <v>151038.7443380882</v>
      </c>
      <c r="E24" s="643"/>
      <c r="F24" s="644">
        <f>+F23</f>
        <v>3.1320833333333322E-3</v>
      </c>
      <c r="G24" s="363">
        <f t="shared" ref="G24:G34" si="0">+G23-1</f>
        <v>11</v>
      </c>
      <c r="H24" s="820">
        <f t="shared" ref="H24:H34" si="1">F24*D24*G24*-1</f>
        <v>-5203.725272118123</v>
      </c>
      <c r="I24" s="820"/>
      <c r="J24" s="820"/>
      <c r="K24" s="820">
        <f t="shared" ref="K24:K34" si="2">(-H24+D24)*-1</f>
        <v>-156242.46961020632</v>
      </c>
    </row>
    <row r="25" spans="1:11" s="564" customFormat="1" ht="12.75">
      <c r="A25" s="621" t="s">
        <v>83</v>
      </c>
      <c r="B25" s="642" t="str">
        <f t="shared" ref="B25:B34" si="3">+B24</f>
        <v>Year 2020</v>
      </c>
      <c r="C25" s="621"/>
      <c r="D25" s="820">
        <f t="shared" ref="D25:D34" si="4">+D24</f>
        <v>151038.7443380882</v>
      </c>
      <c r="E25" s="643"/>
      <c r="F25" s="644">
        <f t="shared" ref="F25:F34" si="5">+F24</f>
        <v>3.1320833333333322E-3</v>
      </c>
      <c r="G25" s="363">
        <f t="shared" si="0"/>
        <v>10</v>
      </c>
      <c r="H25" s="820">
        <f t="shared" si="1"/>
        <v>-4730.6593382892024</v>
      </c>
      <c r="I25" s="820"/>
      <c r="J25" s="820"/>
      <c r="K25" s="820">
        <f t="shared" si="2"/>
        <v>-155769.40367637741</v>
      </c>
    </row>
    <row r="26" spans="1:11" s="564" customFormat="1" ht="12.75">
      <c r="A26" s="621" t="s">
        <v>76</v>
      </c>
      <c r="B26" s="642" t="str">
        <f t="shared" si="3"/>
        <v>Year 2020</v>
      </c>
      <c r="C26" s="621"/>
      <c r="D26" s="820">
        <f t="shared" si="4"/>
        <v>151038.7443380882</v>
      </c>
      <c r="E26" s="643"/>
      <c r="F26" s="644">
        <f t="shared" si="5"/>
        <v>3.1320833333333322E-3</v>
      </c>
      <c r="G26" s="363">
        <f t="shared" si="0"/>
        <v>9</v>
      </c>
      <c r="H26" s="820">
        <f t="shared" si="1"/>
        <v>-4257.5934044602827</v>
      </c>
      <c r="I26" s="820"/>
      <c r="J26" s="820"/>
      <c r="K26" s="820">
        <f t="shared" si="2"/>
        <v>-155296.33774254849</v>
      </c>
    </row>
    <row r="27" spans="1:11" s="564" customFormat="1" ht="12.75">
      <c r="A27" s="621" t="s">
        <v>75</v>
      </c>
      <c r="B27" s="642" t="str">
        <f t="shared" si="3"/>
        <v>Year 2020</v>
      </c>
      <c r="C27" s="621"/>
      <c r="D27" s="820">
        <f t="shared" si="4"/>
        <v>151038.7443380882</v>
      </c>
      <c r="E27" s="643"/>
      <c r="F27" s="644">
        <f t="shared" si="5"/>
        <v>3.1320833333333322E-3</v>
      </c>
      <c r="G27" s="363">
        <f t="shared" si="0"/>
        <v>8</v>
      </c>
      <c r="H27" s="820">
        <f t="shared" si="1"/>
        <v>-3784.5274706313621</v>
      </c>
      <c r="I27" s="820"/>
      <c r="J27" s="820"/>
      <c r="K27" s="820">
        <f t="shared" si="2"/>
        <v>-154823.27180871955</v>
      </c>
    </row>
    <row r="28" spans="1:11" s="564" customFormat="1" ht="12.75">
      <c r="A28" s="621" t="s">
        <v>92</v>
      </c>
      <c r="B28" s="642" t="str">
        <f t="shared" si="3"/>
        <v>Year 2020</v>
      </c>
      <c r="C28" s="621"/>
      <c r="D28" s="820">
        <f t="shared" si="4"/>
        <v>151038.7443380882</v>
      </c>
      <c r="E28" s="643"/>
      <c r="F28" s="644">
        <f t="shared" si="5"/>
        <v>3.1320833333333322E-3</v>
      </c>
      <c r="G28" s="363">
        <f t="shared" si="0"/>
        <v>7</v>
      </c>
      <c r="H28" s="820">
        <f t="shared" si="1"/>
        <v>-3311.461536802442</v>
      </c>
      <c r="I28" s="820"/>
      <c r="J28" s="820"/>
      <c r="K28" s="820">
        <f t="shared" si="2"/>
        <v>-154350.20587489064</v>
      </c>
    </row>
    <row r="29" spans="1:11" s="564" customFormat="1" ht="12.75">
      <c r="A29" s="621" t="s">
        <v>82</v>
      </c>
      <c r="B29" s="642" t="str">
        <f t="shared" si="3"/>
        <v>Year 2020</v>
      </c>
      <c r="C29" s="621"/>
      <c r="D29" s="820">
        <f t="shared" si="4"/>
        <v>151038.7443380882</v>
      </c>
      <c r="E29" s="643"/>
      <c r="F29" s="644">
        <f t="shared" si="5"/>
        <v>3.1320833333333322E-3</v>
      </c>
      <c r="G29" s="363">
        <f t="shared" si="0"/>
        <v>6</v>
      </c>
      <c r="H29" s="820">
        <f t="shared" si="1"/>
        <v>-2838.3956029735218</v>
      </c>
      <c r="I29" s="820"/>
      <c r="J29" s="820"/>
      <c r="K29" s="820">
        <f t="shared" si="2"/>
        <v>-153877.13994106173</v>
      </c>
    </row>
    <row r="30" spans="1:11" s="564" customFormat="1" ht="12.75">
      <c r="A30" s="621" t="s">
        <v>81</v>
      </c>
      <c r="B30" s="642" t="str">
        <f t="shared" si="3"/>
        <v>Year 2020</v>
      </c>
      <c r="C30" s="621"/>
      <c r="D30" s="820">
        <f t="shared" si="4"/>
        <v>151038.7443380882</v>
      </c>
      <c r="E30" s="643"/>
      <c r="F30" s="644">
        <f t="shared" si="5"/>
        <v>3.1320833333333322E-3</v>
      </c>
      <c r="G30" s="363">
        <f t="shared" si="0"/>
        <v>5</v>
      </c>
      <c r="H30" s="820">
        <f t="shared" si="1"/>
        <v>-2365.3296691446012</v>
      </c>
      <c r="I30" s="820"/>
      <c r="J30" s="820"/>
      <c r="K30" s="820">
        <f t="shared" si="2"/>
        <v>-153404.07400723279</v>
      </c>
    </row>
    <row r="31" spans="1:11" s="564" customFormat="1" ht="12.75">
      <c r="A31" s="621" t="s">
        <v>80</v>
      </c>
      <c r="B31" s="642" t="str">
        <f t="shared" si="3"/>
        <v>Year 2020</v>
      </c>
      <c r="C31" s="621"/>
      <c r="D31" s="820">
        <f t="shared" si="4"/>
        <v>151038.7443380882</v>
      </c>
      <c r="E31" s="643"/>
      <c r="F31" s="644">
        <f t="shared" si="5"/>
        <v>3.1320833333333322E-3</v>
      </c>
      <c r="G31" s="363">
        <f t="shared" si="0"/>
        <v>4</v>
      </c>
      <c r="H31" s="820">
        <f t="shared" si="1"/>
        <v>-1892.2637353156811</v>
      </c>
      <c r="I31" s="820"/>
      <c r="J31" s="820"/>
      <c r="K31" s="820">
        <f t="shared" si="2"/>
        <v>-152931.00807340388</v>
      </c>
    </row>
    <row r="32" spans="1:11" s="564" customFormat="1" ht="12.75">
      <c r="A32" s="621" t="s">
        <v>86</v>
      </c>
      <c r="B32" s="642" t="str">
        <f t="shared" si="3"/>
        <v>Year 2020</v>
      </c>
      <c r="C32" s="621"/>
      <c r="D32" s="820">
        <f t="shared" si="4"/>
        <v>151038.7443380882</v>
      </c>
      <c r="E32" s="643"/>
      <c r="F32" s="644">
        <f t="shared" si="5"/>
        <v>3.1320833333333322E-3</v>
      </c>
      <c r="G32" s="363">
        <f t="shared" si="0"/>
        <v>3</v>
      </c>
      <c r="H32" s="820">
        <f t="shared" si="1"/>
        <v>-1419.1978014867609</v>
      </c>
      <c r="I32" s="820"/>
      <c r="J32" s="820"/>
      <c r="K32" s="820">
        <f t="shared" si="2"/>
        <v>-152457.94213957497</v>
      </c>
    </row>
    <row r="33" spans="1:13" s="564" customFormat="1" ht="12.75">
      <c r="A33" s="621" t="s">
        <v>79</v>
      </c>
      <c r="B33" s="642" t="str">
        <f t="shared" si="3"/>
        <v>Year 2020</v>
      </c>
      <c r="C33" s="621"/>
      <c r="D33" s="820">
        <f t="shared" si="4"/>
        <v>151038.7443380882</v>
      </c>
      <c r="E33" s="643"/>
      <c r="F33" s="644">
        <f t="shared" si="5"/>
        <v>3.1320833333333322E-3</v>
      </c>
      <c r="G33" s="363">
        <f t="shared" si="0"/>
        <v>2</v>
      </c>
      <c r="H33" s="820">
        <f t="shared" si="1"/>
        <v>-946.13186765784053</v>
      </c>
      <c r="I33" s="820"/>
      <c r="J33" s="820"/>
      <c r="K33" s="820">
        <f t="shared" si="2"/>
        <v>-151984.87620574606</v>
      </c>
    </row>
    <row r="34" spans="1:13" s="564" customFormat="1" ht="12.75">
      <c r="A34" s="621" t="s">
        <v>78</v>
      </c>
      <c r="B34" s="642" t="str">
        <f t="shared" si="3"/>
        <v>Year 2020</v>
      </c>
      <c r="C34" s="621"/>
      <c r="D34" s="820">
        <f t="shared" si="4"/>
        <v>151038.7443380882</v>
      </c>
      <c r="E34" s="643"/>
      <c r="F34" s="644">
        <f t="shared" si="5"/>
        <v>3.1320833333333322E-3</v>
      </c>
      <c r="G34" s="363">
        <f t="shared" si="0"/>
        <v>1</v>
      </c>
      <c r="H34" s="822">
        <f t="shared" si="1"/>
        <v>-473.06593382892027</v>
      </c>
      <c r="I34" s="820"/>
      <c r="J34" s="820"/>
      <c r="K34" s="820">
        <f t="shared" si="2"/>
        <v>-151511.81027191711</v>
      </c>
    </row>
    <row r="35" spans="1:13" s="564" customFormat="1" ht="12.75">
      <c r="A35" s="621"/>
      <c r="B35" s="621"/>
      <c r="C35" s="621"/>
      <c r="D35" s="820"/>
      <c r="E35" s="643"/>
      <c r="F35" s="644"/>
      <c r="G35" s="363"/>
      <c r="H35" s="820">
        <f>SUM(H23:H34)</f>
        <v>-36899.142838655782</v>
      </c>
      <c r="I35" s="820"/>
      <c r="J35" s="820"/>
      <c r="K35" s="821">
        <f>SUM(K23:K34)</f>
        <v>-1849364.0748957144</v>
      </c>
    </row>
    <row r="36" spans="1:13" s="564" customFormat="1" ht="12.75">
      <c r="A36" s="621"/>
      <c r="B36" s="621"/>
      <c r="C36" s="621"/>
      <c r="D36" s="820"/>
      <c r="E36" s="643"/>
      <c r="F36" s="644"/>
      <c r="G36" s="643"/>
      <c r="H36" s="643"/>
      <c r="I36" s="643" t="s">
        <v>2</v>
      </c>
      <c r="J36" s="643"/>
      <c r="K36" s="566"/>
    </row>
    <row r="37" spans="1:13" s="564" customFormat="1" ht="12.75">
      <c r="A37" s="621"/>
      <c r="B37" s="621"/>
      <c r="C37" s="621"/>
      <c r="D37" s="820"/>
      <c r="E37" s="628"/>
      <c r="F37" s="644"/>
      <c r="G37" s="643"/>
      <c r="H37" s="646" t="s">
        <v>617</v>
      </c>
      <c r="I37" s="643"/>
      <c r="J37" s="643"/>
      <c r="K37" s="643"/>
    </row>
    <row r="38" spans="1:13" s="564" customFormat="1" ht="12.75">
      <c r="A38" s="621" t="s">
        <v>711</v>
      </c>
      <c r="B38" s="642" t="str">
        <f>"Year "&amp;$A$6+1</f>
        <v>Year 2021</v>
      </c>
      <c r="C38" s="621"/>
      <c r="D38" s="820">
        <f>K35</f>
        <v>-1849364.0748957144</v>
      </c>
      <c r="E38" s="628"/>
      <c r="F38" s="644">
        <f>+F34</f>
        <v>3.1320833333333322E-3</v>
      </c>
      <c r="G38" s="643">
        <v>12</v>
      </c>
      <c r="H38" s="643">
        <f>+G38*F38*D38</f>
        <v>-69508.348754955397</v>
      </c>
      <c r="I38" s="643"/>
      <c r="J38" s="643"/>
      <c r="K38" s="645">
        <f>+D38+H38</f>
        <v>-1918872.4236506699</v>
      </c>
    </row>
    <row r="39" spans="1:13" s="564" customFormat="1" ht="12.75">
      <c r="A39" s="621"/>
      <c r="B39" s="621"/>
      <c r="C39" s="621"/>
      <c r="D39" s="820"/>
      <c r="E39" s="628"/>
      <c r="F39" s="644"/>
      <c r="G39" s="621"/>
      <c r="H39" s="643"/>
      <c r="I39" s="643"/>
      <c r="J39" s="643"/>
      <c r="K39" s="643"/>
    </row>
    <row r="40" spans="1:13" s="564" customFormat="1" ht="12.75">
      <c r="A40" s="647" t="s">
        <v>618</v>
      </c>
      <c r="B40" s="621"/>
      <c r="C40" s="621"/>
      <c r="D40" s="820"/>
      <c r="E40" s="643"/>
      <c r="F40" s="644"/>
      <c r="G40" s="621"/>
      <c r="H40" s="646" t="s">
        <v>616</v>
      </c>
      <c r="I40" s="643"/>
      <c r="J40" s="643"/>
      <c r="K40" s="643"/>
    </row>
    <row r="41" spans="1:13" s="564" customFormat="1" ht="12.75">
      <c r="A41" s="621" t="s">
        <v>85</v>
      </c>
      <c r="B41" s="642" t="str">
        <f>"Year "&amp;$A$6+2</f>
        <v>Year 2022</v>
      </c>
      <c r="C41" s="621"/>
      <c r="D41" s="821">
        <f>-K38</f>
        <v>1918872.4236506699</v>
      </c>
      <c r="E41" s="628"/>
      <c r="F41" s="644">
        <f>+F34</f>
        <v>3.1320833333333322E-3</v>
      </c>
      <c r="G41" s="621"/>
      <c r="H41" s="820">
        <f xml:space="preserve"> -F41*D41</f>
        <v>-6010.0683369092003</v>
      </c>
      <c r="I41" s="820">
        <f>PMT(F41,12,K$38)</f>
        <v>163180.15264451827</v>
      </c>
      <c r="J41" s="820"/>
      <c r="K41" s="820">
        <f>(+D41+D41*F41-I41)*-1</f>
        <v>-1761702.3393430607</v>
      </c>
      <c r="L41" s="648"/>
      <c r="M41" s="649"/>
    </row>
    <row r="42" spans="1:13" s="564" customFormat="1" ht="12.75">
      <c r="A42" s="621" t="s">
        <v>84</v>
      </c>
      <c r="B42" s="642" t="str">
        <f>+B41</f>
        <v>Year 2022</v>
      </c>
      <c r="C42" s="621"/>
      <c r="D42" s="820">
        <f>-K41</f>
        <v>1761702.3393430607</v>
      </c>
      <c r="E42" s="628"/>
      <c r="F42" s="644">
        <f>+F41</f>
        <v>3.1320833333333322E-3</v>
      </c>
      <c r="G42" s="621"/>
      <c r="H42" s="820">
        <f t="shared" ref="H42:H52" si="6" xml:space="preserve"> -F42*D42</f>
        <v>-5517.7985353507429</v>
      </c>
      <c r="I42" s="820">
        <f>I41</f>
        <v>163180.15264451827</v>
      </c>
      <c r="J42" s="820"/>
      <c r="K42" s="820">
        <f t="shared" ref="K42:K52" si="7">(+D42+D42*F42-I42)*-1</f>
        <v>-1604039.9852338932</v>
      </c>
      <c r="L42" s="648"/>
      <c r="M42" s="649"/>
    </row>
    <row r="43" spans="1:13" s="564" customFormat="1" ht="12.75">
      <c r="A43" s="621" t="s">
        <v>83</v>
      </c>
      <c r="B43" s="642" t="str">
        <f>+B42</f>
        <v>Year 2022</v>
      </c>
      <c r="C43" s="621"/>
      <c r="D43" s="820">
        <f t="shared" ref="D43:D52" si="8">-K42</f>
        <v>1604039.9852338932</v>
      </c>
      <c r="E43" s="628"/>
      <c r="F43" s="644">
        <f t="shared" ref="F43:F52" si="9">+F42</f>
        <v>3.1320833333333322E-3</v>
      </c>
      <c r="G43" s="621"/>
      <c r="H43" s="820">
        <f t="shared" si="6"/>
        <v>-5023.9869037513208</v>
      </c>
      <c r="I43" s="820">
        <f t="shared" ref="I43:I52" si="10">I42</f>
        <v>163180.15264451827</v>
      </c>
      <c r="J43" s="820"/>
      <c r="K43" s="820">
        <f t="shared" si="7"/>
        <v>-1445883.8194931261</v>
      </c>
      <c r="L43" s="648"/>
      <c r="M43" s="649"/>
    </row>
    <row r="44" spans="1:13" s="564" customFormat="1" ht="12.75">
      <c r="A44" s="621" t="s">
        <v>76</v>
      </c>
      <c r="B44" s="642" t="str">
        <f>+B43</f>
        <v>Year 2022</v>
      </c>
      <c r="C44" s="621"/>
      <c r="D44" s="820">
        <f t="shared" si="8"/>
        <v>1445883.8194931261</v>
      </c>
      <c r="E44" s="628"/>
      <c r="F44" s="644">
        <f t="shared" si="9"/>
        <v>3.1320833333333322E-3</v>
      </c>
      <c r="G44" s="621"/>
      <c r="H44" s="820">
        <f t="shared" si="6"/>
        <v>-4528.6286129707605</v>
      </c>
      <c r="I44" s="820">
        <f t="shared" si="10"/>
        <v>163180.15264451827</v>
      </c>
      <c r="J44" s="820"/>
      <c r="K44" s="820">
        <f t="shared" si="7"/>
        <v>-1287232.2954615785</v>
      </c>
      <c r="L44" s="648"/>
      <c r="M44" s="649"/>
    </row>
    <row r="45" spans="1:13" s="564" customFormat="1" ht="12.75">
      <c r="A45" s="621" t="s">
        <v>75</v>
      </c>
      <c r="B45" s="642" t="str">
        <f>+B44</f>
        <v>Year 2022</v>
      </c>
      <c r="C45" s="621"/>
      <c r="D45" s="820">
        <f t="shared" si="8"/>
        <v>1287232.2954615785</v>
      </c>
      <c r="E45" s="628"/>
      <c r="F45" s="644">
        <f t="shared" si="9"/>
        <v>3.1320833333333322E-3</v>
      </c>
      <c r="G45" s="621"/>
      <c r="H45" s="820">
        <f t="shared" si="6"/>
        <v>-4031.7188187436177</v>
      </c>
      <c r="I45" s="820">
        <f t="shared" si="10"/>
        <v>163180.15264451827</v>
      </c>
      <c r="J45" s="820"/>
      <c r="K45" s="820">
        <f t="shared" si="7"/>
        <v>-1128083.8616358039</v>
      </c>
      <c r="L45" s="648"/>
      <c r="M45" s="649"/>
    </row>
    <row r="46" spans="1:13" s="564" customFormat="1" ht="12.75">
      <c r="A46" s="621" t="s">
        <v>92</v>
      </c>
      <c r="B46" s="642" t="str">
        <f>B45</f>
        <v>Year 2022</v>
      </c>
      <c r="C46" s="621"/>
      <c r="D46" s="820">
        <f t="shared" si="8"/>
        <v>1128083.8616358039</v>
      </c>
      <c r="E46" s="628"/>
      <c r="F46" s="644">
        <f t="shared" si="9"/>
        <v>3.1320833333333322E-3</v>
      </c>
      <c r="G46" s="621"/>
      <c r="H46" s="820">
        <f t="shared" si="6"/>
        <v>-3533.2526616318064</v>
      </c>
      <c r="I46" s="820">
        <f t="shared" si="10"/>
        <v>163180.15264451827</v>
      </c>
      <c r="J46" s="820"/>
      <c r="K46" s="820">
        <f t="shared" si="7"/>
        <v>-968436.96165291755</v>
      </c>
      <c r="L46" s="648"/>
      <c r="M46" s="649"/>
    </row>
    <row r="47" spans="1:13" s="564" customFormat="1" ht="12.75">
      <c r="A47" s="621" t="s">
        <v>82</v>
      </c>
      <c r="B47" s="642" t="str">
        <f t="shared" ref="B47:B52" si="11">+B46</f>
        <v>Year 2022</v>
      </c>
      <c r="C47" s="621"/>
      <c r="D47" s="820">
        <f t="shared" si="8"/>
        <v>968436.96165291755</v>
      </c>
      <c r="E47" s="628"/>
      <c r="F47" s="644">
        <f t="shared" si="9"/>
        <v>3.1320833333333322E-3</v>
      </c>
      <c r="G47" s="621"/>
      <c r="H47" s="820">
        <f t="shared" si="6"/>
        <v>-3033.2252669770746</v>
      </c>
      <c r="I47" s="820">
        <f t="shared" si="10"/>
        <v>163180.15264451827</v>
      </c>
      <c r="J47" s="820"/>
      <c r="K47" s="820">
        <f t="shared" si="7"/>
        <v>-808290.03427537635</v>
      </c>
      <c r="L47" s="648"/>
      <c r="M47" s="649"/>
    </row>
    <row r="48" spans="1:13" s="564" customFormat="1" ht="12.75">
      <c r="A48" s="621" t="s">
        <v>81</v>
      </c>
      <c r="B48" s="642" t="str">
        <f t="shared" si="11"/>
        <v>Year 2022</v>
      </c>
      <c r="C48" s="621"/>
      <c r="D48" s="820">
        <f t="shared" si="8"/>
        <v>808290.03427537635</v>
      </c>
      <c r="E48" s="628"/>
      <c r="F48" s="644">
        <f t="shared" si="9"/>
        <v>3.1320833333333322E-3</v>
      </c>
      <c r="G48" s="621"/>
      <c r="H48" s="820">
        <f t="shared" si="6"/>
        <v>-2531.6317448533341</v>
      </c>
      <c r="I48" s="820">
        <f t="shared" si="10"/>
        <v>163180.15264451827</v>
      </c>
      <c r="J48" s="820"/>
      <c r="K48" s="820">
        <f t="shared" si="7"/>
        <v>-647641.51337571139</v>
      </c>
      <c r="L48" s="648"/>
      <c r="M48" s="649"/>
    </row>
    <row r="49" spans="1:13" s="564" customFormat="1" ht="12.75">
      <c r="A49" s="621" t="s">
        <v>80</v>
      </c>
      <c r="B49" s="642" t="str">
        <f t="shared" si="11"/>
        <v>Year 2022</v>
      </c>
      <c r="C49" s="621"/>
      <c r="D49" s="820">
        <f t="shared" si="8"/>
        <v>647641.51337571139</v>
      </c>
      <c r="E49" s="628"/>
      <c r="F49" s="644">
        <f t="shared" si="9"/>
        <v>3.1320833333333322E-3</v>
      </c>
      <c r="G49" s="621"/>
      <c r="H49" s="820">
        <f t="shared" si="6"/>
        <v>-2028.4671900188421</v>
      </c>
      <c r="I49" s="820">
        <f t="shared" si="10"/>
        <v>163180.15264451827</v>
      </c>
      <c r="J49" s="820"/>
      <c r="K49" s="820">
        <f t="shared" si="7"/>
        <v>-486489.82792121195</v>
      </c>
      <c r="L49" s="648"/>
      <c r="M49" s="649"/>
    </row>
    <row r="50" spans="1:13" s="564" customFormat="1" ht="12.75">
      <c r="A50" s="621" t="s">
        <v>86</v>
      </c>
      <c r="B50" s="642" t="str">
        <f t="shared" si="11"/>
        <v>Year 2022</v>
      </c>
      <c r="C50" s="621"/>
      <c r="D50" s="820">
        <f t="shared" si="8"/>
        <v>486489.82792121195</v>
      </c>
      <c r="E50" s="628"/>
      <c r="F50" s="644">
        <f t="shared" si="9"/>
        <v>3.1320833333333322E-3</v>
      </c>
      <c r="G50" s="621"/>
      <c r="H50" s="820">
        <f t="shared" si="6"/>
        <v>-1523.7266818682288</v>
      </c>
      <c r="I50" s="820">
        <f t="shared" si="10"/>
        <v>163180.15264451827</v>
      </c>
      <c r="J50" s="820"/>
      <c r="K50" s="820">
        <f t="shared" si="7"/>
        <v>-324833.40195856197</v>
      </c>
      <c r="L50" s="648"/>
      <c r="M50" s="649"/>
    </row>
    <row r="51" spans="1:13" s="564" customFormat="1" ht="12.75">
      <c r="A51" s="621" t="s">
        <v>79</v>
      </c>
      <c r="B51" s="642" t="str">
        <f t="shared" si="11"/>
        <v>Year 2022</v>
      </c>
      <c r="C51" s="621"/>
      <c r="D51" s="820">
        <f t="shared" si="8"/>
        <v>324833.40195856197</v>
      </c>
      <c r="E51" s="628"/>
      <c r="F51" s="644">
        <f t="shared" si="9"/>
        <v>3.1320833333333322E-3</v>
      </c>
      <c r="G51" s="621"/>
      <c r="H51" s="820">
        <f t="shared" si="6"/>
        <v>-1017.4052843843789</v>
      </c>
      <c r="I51" s="820">
        <f t="shared" si="10"/>
        <v>163180.15264451827</v>
      </c>
      <c r="J51" s="820"/>
      <c r="K51" s="820">
        <f t="shared" si="7"/>
        <v>-162670.65459842808</v>
      </c>
      <c r="L51" s="648"/>
      <c r="M51" s="649"/>
    </row>
    <row r="52" spans="1:13" s="564" customFormat="1" ht="12.75">
      <c r="A52" s="621" t="s">
        <v>78</v>
      </c>
      <c r="B52" s="642" t="str">
        <f t="shared" si="11"/>
        <v>Year 2022</v>
      </c>
      <c r="C52" s="621"/>
      <c r="D52" s="820">
        <f t="shared" si="8"/>
        <v>162670.65459842808</v>
      </c>
      <c r="E52" s="628"/>
      <c r="F52" s="644">
        <f t="shared" si="9"/>
        <v>3.1320833333333322E-3</v>
      </c>
      <c r="G52" s="621"/>
      <c r="H52" s="822">
        <f t="shared" si="6"/>
        <v>-509.49804609015979</v>
      </c>
      <c r="I52" s="820">
        <f t="shared" si="10"/>
        <v>163180.15264451827</v>
      </c>
      <c r="J52" s="820"/>
      <c r="K52" s="820">
        <f t="shared" si="7"/>
        <v>2.9103830456733704E-11</v>
      </c>
      <c r="L52" s="648"/>
      <c r="M52" s="649"/>
    </row>
    <row r="53" spans="1:13" s="564" customFormat="1" ht="12.75">
      <c r="A53" s="621"/>
      <c r="B53" s="621"/>
      <c r="C53" s="621"/>
      <c r="D53" s="628"/>
      <c r="E53" s="628"/>
      <c r="F53" s="650"/>
      <c r="G53" s="621"/>
      <c r="H53" s="820">
        <f>SUM(H41:H52)</f>
        <v>-39289.408083549468</v>
      </c>
      <c r="I53" s="820"/>
      <c r="J53" s="820"/>
      <c r="K53" s="820"/>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-1958161.8317342193</v>
      </c>
      <c r="J55" s="566"/>
      <c r="K55" s="566"/>
    </row>
    <row r="56" spans="1:13" s="564" customFormat="1" ht="12.75">
      <c r="A56" s="621" t="s">
        <v>620</v>
      </c>
      <c r="B56" s="566"/>
      <c r="C56" s="566"/>
      <c r="D56" s="566"/>
      <c r="E56" s="566"/>
      <c r="F56" s="566"/>
      <c r="G56" s="566"/>
      <c r="H56" s="566"/>
      <c r="I56" s="651">
        <f>+G9</f>
        <v>1812464.9320570584</v>
      </c>
      <c r="J56" s="566"/>
      <c r="K56" s="566"/>
    </row>
    <row r="57" spans="1:13" s="564" customFormat="1" ht="12.75">
      <c r="A57" s="621" t="s">
        <v>621</v>
      </c>
      <c r="B57" s="566"/>
      <c r="C57" s="566"/>
      <c r="D57" s="566"/>
      <c r="E57" s="566"/>
      <c r="F57" s="566"/>
      <c r="G57" s="566"/>
      <c r="H57" s="566"/>
      <c r="I57" s="651">
        <f>(I55+I56)</f>
        <v>-145696.89967716089</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activeCell="E29" sqref="E29"/>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H-29A'!D5</f>
        <v>Transource Pennsylvania, LLC</v>
      </c>
    </row>
    <row r="4" spans="1:8">
      <c r="A4" s="716"/>
    </row>
    <row r="6" spans="1:8" ht="32.25" customHeight="1">
      <c r="A6" s="1034" t="s">
        <v>470</v>
      </c>
      <c r="B6" s="1034"/>
      <c r="C6" s="1034"/>
      <c r="D6" s="1034"/>
      <c r="E6" s="1034"/>
      <c r="F6" s="1034"/>
      <c r="G6" s="1034"/>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9">
        <v>1</v>
      </c>
      <c r="C11" s="722" t="s">
        <v>425</v>
      </c>
      <c r="D11" s="321"/>
      <c r="E11" s="723">
        <v>4.9599999999999998E-2</v>
      </c>
      <c r="F11" s="411"/>
      <c r="G11" s="411"/>
      <c r="H11" s="411"/>
    </row>
    <row r="12" spans="1:8">
      <c r="A12" s="759">
        <v>2</v>
      </c>
      <c r="C12" s="722" t="s">
        <v>426</v>
      </c>
      <c r="D12" s="321"/>
      <c r="E12" s="804">
        <v>4.9599999999999998E-2</v>
      </c>
      <c r="F12" s="411"/>
      <c r="G12" s="411"/>
      <c r="H12" s="411"/>
    </row>
    <row r="13" spans="1:8">
      <c r="A13" s="759">
        <v>3</v>
      </c>
      <c r="C13" s="722" t="s">
        <v>427</v>
      </c>
      <c r="D13" s="321"/>
      <c r="E13" s="804">
        <v>4.9599999999999998E-2</v>
      </c>
      <c r="F13" s="411"/>
      <c r="G13" s="411"/>
      <c r="H13" s="411"/>
    </row>
    <row r="14" spans="1:8">
      <c r="A14" s="759">
        <v>4</v>
      </c>
      <c r="C14" s="722" t="s">
        <v>428</v>
      </c>
      <c r="D14" s="321"/>
      <c r="E14" s="804">
        <v>4.7500000000000001E-2</v>
      </c>
      <c r="F14" s="411"/>
      <c r="G14" s="411"/>
      <c r="H14" s="411"/>
    </row>
    <row r="15" spans="1:8">
      <c r="A15" s="759">
        <v>5</v>
      </c>
      <c r="C15" s="722" t="s">
        <v>429</v>
      </c>
      <c r="D15" s="321"/>
      <c r="E15" s="804">
        <v>4.7500000000000001E-2</v>
      </c>
      <c r="F15" s="411"/>
      <c r="G15" s="411"/>
      <c r="H15" s="411"/>
    </row>
    <row r="16" spans="1:8">
      <c r="A16" s="759">
        <v>6</v>
      </c>
      <c r="C16" s="722" t="s">
        <v>430</v>
      </c>
      <c r="D16" s="321"/>
      <c r="E16" s="804">
        <v>4.7500000000000001E-2</v>
      </c>
      <c r="F16" s="411"/>
      <c r="G16" s="411"/>
      <c r="H16" s="411"/>
    </row>
    <row r="17" spans="1:8">
      <c r="A17" s="759">
        <v>7</v>
      </c>
      <c r="C17" s="722" t="s">
        <v>431</v>
      </c>
      <c r="D17" s="321"/>
      <c r="E17" s="804">
        <v>3.4299999999999997E-2</v>
      </c>
      <c r="F17" s="411"/>
      <c r="G17" s="411"/>
      <c r="H17" s="411"/>
    </row>
    <row r="18" spans="1:8">
      <c r="A18" s="759">
        <v>8</v>
      </c>
      <c r="C18" s="722" t="s">
        <v>432</v>
      </c>
      <c r="D18" s="321"/>
      <c r="E18" s="804">
        <v>3.4299999999999997E-2</v>
      </c>
      <c r="F18" s="411"/>
      <c r="G18" s="411"/>
      <c r="H18" s="411"/>
    </row>
    <row r="19" spans="1:8">
      <c r="A19" s="759">
        <v>9</v>
      </c>
      <c r="C19" s="722" t="s">
        <v>433</v>
      </c>
      <c r="D19" s="321"/>
      <c r="E19" s="804">
        <v>3.4299999999999997E-2</v>
      </c>
      <c r="F19" s="411"/>
      <c r="G19" s="411"/>
      <c r="H19" s="411"/>
    </row>
    <row r="20" spans="1:8">
      <c r="A20" s="759">
        <v>10</v>
      </c>
      <c r="C20" s="722" t="s">
        <v>434</v>
      </c>
      <c r="D20" s="321"/>
      <c r="E20" s="804">
        <v>3.2500000000000001E-2</v>
      </c>
      <c r="F20" s="411"/>
      <c r="G20" s="411"/>
      <c r="H20" s="411"/>
    </row>
    <row r="21" spans="1:8">
      <c r="A21" s="759">
        <v>11</v>
      </c>
      <c r="C21" s="722" t="s">
        <v>435</v>
      </c>
      <c r="D21" s="321"/>
      <c r="E21" s="804">
        <v>3.2500000000000001E-2</v>
      </c>
      <c r="F21" s="411"/>
      <c r="G21" s="411"/>
      <c r="H21" s="411"/>
    </row>
    <row r="22" spans="1:8">
      <c r="A22" s="759">
        <v>12</v>
      </c>
      <c r="C22" s="722" t="s">
        <v>436</v>
      </c>
      <c r="D22" s="321"/>
      <c r="E22" s="804">
        <v>3.2500000000000001E-2</v>
      </c>
      <c r="F22" s="411"/>
      <c r="G22" s="411"/>
      <c r="H22" s="411"/>
    </row>
    <row r="23" spans="1:8">
      <c r="A23" s="759">
        <f>+A22+1</f>
        <v>13</v>
      </c>
      <c r="C23" s="722" t="s">
        <v>571</v>
      </c>
      <c r="D23" s="321"/>
      <c r="E23" s="804">
        <v>3.2500000000000001E-2</v>
      </c>
      <c r="F23" s="411"/>
      <c r="G23" s="411"/>
      <c r="H23" s="411"/>
    </row>
    <row r="24" spans="1:8">
      <c r="A24" s="759">
        <f t="shared" ref="A24:A30" si="0">+A23+1</f>
        <v>14</v>
      </c>
      <c r="C24" s="722" t="s">
        <v>572</v>
      </c>
      <c r="D24" s="321"/>
      <c r="E24" s="804">
        <v>3.2500000000000001E-2</v>
      </c>
      <c r="F24" s="411"/>
      <c r="G24" s="411"/>
      <c r="H24" s="411"/>
    </row>
    <row r="25" spans="1:8">
      <c r="A25" s="759">
        <f t="shared" si="0"/>
        <v>15</v>
      </c>
      <c r="C25" s="722" t="s">
        <v>573</v>
      </c>
      <c r="D25" s="321"/>
      <c r="E25" s="804">
        <v>3.2500000000000001E-2</v>
      </c>
      <c r="F25" s="411"/>
      <c r="G25" s="411"/>
      <c r="H25" s="411"/>
    </row>
    <row r="26" spans="1:8">
      <c r="A26" s="759">
        <f t="shared" si="0"/>
        <v>16</v>
      </c>
      <c r="C26" s="722" t="s">
        <v>574</v>
      </c>
      <c r="D26" s="321"/>
      <c r="E26" s="804">
        <v>3.2500000000000001E-2</v>
      </c>
      <c r="F26" s="411"/>
      <c r="G26" s="411"/>
      <c r="H26" s="411"/>
    </row>
    <row r="27" spans="1:8">
      <c r="A27" s="759">
        <f t="shared" si="0"/>
        <v>17</v>
      </c>
      <c r="C27" s="722" t="s">
        <v>575</v>
      </c>
      <c r="D27" s="321"/>
      <c r="E27" s="804">
        <v>3.2500000000000001E-2</v>
      </c>
      <c r="F27" s="411"/>
      <c r="G27" s="411"/>
      <c r="H27" s="411"/>
    </row>
    <row r="28" spans="1:8">
      <c r="A28" s="759">
        <f t="shared" si="0"/>
        <v>18</v>
      </c>
      <c r="C28" s="722" t="s">
        <v>781</v>
      </c>
      <c r="D28" s="321"/>
      <c r="E28" s="804">
        <v>3.2500000000000001E-2</v>
      </c>
      <c r="F28" s="411"/>
      <c r="G28" s="411"/>
      <c r="H28" s="411"/>
    </row>
    <row r="29" spans="1:8">
      <c r="A29" s="759">
        <f t="shared" si="0"/>
        <v>19</v>
      </c>
      <c r="C29" s="722" t="s">
        <v>782</v>
      </c>
      <c r="D29" s="321"/>
      <c r="E29" s="804">
        <v>3.2500000000000001E-2</v>
      </c>
      <c r="F29" s="411"/>
      <c r="G29" s="411"/>
      <c r="H29" s="411"/>
    </row>
    <row r="30" spans="1:8">
      <c r="A30" s="759">
        <f t="shared" si="0"/>
        <v>20</v>
      </c>
      <c r="C30" s="722" t="s">
        <v>783</v>
      </c>
      <c r="D30" s="321"/>
      <c r="E30" s="804">
        <v>3.2500000000000001E-2</v>
      </c>
      <c r="F30" s="411"/>
      <c r="G30" s="411"/>
      <c r="H30" s="411"/>
    </row>
    <row r="31" spans="1:8">
      <c r="A31" s="759"/>
      <c r="C31" s="718"/>
      <c r="D31" s="724"/>
      <c r="E31" s="724"/>
      <c r="F31" s="411"/>
      <c r="G31" s="411"/>
      <c r="H31" s="321"/>
    </row>
    <row r="32" spans="1:8">
      <c r="A32" s="759">
        <f>+A30+1</f>
        <v>21</v>
      </c>
      <c r="B32" s="725" t="s">
        <v>570</v>
      </c>
      <c r="C32" s="717"/>
      <c r="D32" s="724"/>
      <c r="E32" s="726">
        <f>+AVERAGE(E11:E30)</f>
        <v>3.7584999999999986E-2</v>
      </c>
      <c r="F32" s="411"/>
      <c r="G32" s="411"/>
      <c r="H32" s="321"/>
    </row>
    <row r="33" spans="1:8">
      <c r="A33" s="759">
        <f>+A32+1</f>
        <v>22</v>
      </c>
      <c r="B33" s="577" t="s">
        <v>473</v>
      </c>
      <c r="E33" s="213">
        <f>+E32/12</f>
        <v>3.1320833333333322E-3</v>
      </c>
    </row>
    <row r="34" spans="1:8">
      <c r="E34" s="727"/>
    </row>
    <row r="35" spans="1:8" ht="36" customHeight="1">
      <c r="A35" s="1035" t="s">
        <v>784</v>
      </c>
      <c r="B35" s="1035"/>
      <c r="C35" s="1035"/>
      <c r="D35" s="1035"/>
      <c r="E35" s="1035"/>
      <c r="F35" s="1035"/>
      <c r="G35" s="1035"/>
      <c r="H35" s="807"/>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sqref="A1:F1"/>
    </sheetView>
  </sheetViews>
  <sheetFormatPr defaultColWidth="8.88671875" defaultRowHeight="15.75"/>
  <cols>
    <col min="1" max="1" width="8.88671875" style="225"/>
    <col min="2" max="2" width="43.77734375" style="225" customWidth="1"/>
    <col min="3" max="3" width="20.6640625" style="225" bestFit="1" customWidth="1"/>
    <col min="4" max="5" width="13.6640625" style="225" customWidth="1"/>
    <col min="6" max="6" width="12.109375" style="225" customWidth="1"/>
    <col min="7" max="8" width="11.88671875" style="225" bestFit="1" customWidth="1"/>
    <col min="9" max="16384" width="8.88671875" style="225"/>
  </cols>
  <sheetData>
    <row r="1" spans="1:9">
      <c r="A1" s="1033" t="s">
        <v>186</v>
      </c>
      <c r="B1" s="1033"/>
      <c r="C1" s="1033"/>
      <c r="D1" s="1033"/>
      <c r="E1" s="1033"/>
      <c r="F1" s="1033"/>
    </row>
    <row r="2" spans="1:9">
      <c r="A2" s="1036" t="s">
        <v>384</v>
      </c>
      <c r="B2" s="1036"/>
      <c r="C2" s="1036"/>
      <c r="D2" s="1036"/>
      <c r="E2" s="1036"/>
      <c r="F2" s="1036"/>
    </row>
    <row r="3" spans="1:9">
      <c r="A3" s="1033" t="str">
        <f>+'Attachment H-29A'!D5</f>
        <v>Transource Pennsylvania, LLC</v>
      </c>
      <c r="B3" s="1033"/>
      <c r="C3" s="1033"/>
      <c r="D3" s="1033"/>
      <c r="E3" s="1033"/>
      <c r="F3" s="1033"/>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3" t="s">
        <v>315</v>
      </c>
      <c r="F6" s="312" t="s">
        <v>13</v>
      </c>
      <c r="G6" s="698"/>
      <c r="H6" s="698"/>
      <c r="I6" s="698"/>
    </row>
    <row r="7" spans="1:9">
      <c r="A7" s="493" t="s">
        <v>148</v>
      </c>
      <c r="B7" s="313"/>
      <c r="C7" s="313"/>
      <c r="D7" s="312" t="s">
        <v>190</v>
      </c>
      <c r="E7" s="794" t="s">
        <v>191</v>
      </c>
      <c r="F7" s="312" t="s">
        <v>640</v>
      </c>
      <c r="G7" s="699"/>
      <c r="H7" s="699"/>
      <c r="I7" s="693"/>
    </row>
    <row r="8" spans="1:9" ht="26.25">
      <c r="A8" s="302">
        <v>1</v>
      </c>
      <c r="B8" s="321"/>
      <c r="C8" s="303"/>
      <c r="D8" s="304" t="s">
        <v>743</v>
      </c>
      <c r="E8" s="795" t="s">
        <v>743</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8">
        <v>219487.0199999997</v>
      </c>
      <c r="E14" s="988">
        <v>0</v>
      </c>
      <c r="F14" s="316"/>
      <c r="G14" s="539"/>
      <c r="H14" s="539"/>
      <c r="I14" s="278"/>
    </row>
    <row r="15" spans="1:9">
      <c r="A15" s="302">
        <v>8</v>
      </c>
      <c r="B15" s="305" t="s">
        <v>381</v>
      </c>
      <c r="C15" s="305" t="s">
        <v>322</v>
      </c>
      <c r="D15" s="703">
        <f>D13*D14</f>
        <v>-6438.3184522068168</v>
      </c>
      <c r="E15" s="703">
        <f>E13*E14</f>
        <v>0</v>
      </c>
      <c r="F15" s="536">
        <f>SUM(D15:E15)</f>
        <v>-6438.3184522068168</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9"/>
      <c r="E18" s="789"/>
      <c r="F18" s="790">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1001" t="s">
        <v>795</v>
      </c>
      <c r="C22" s="1001"/>
      <c r="D22" s="1001"/>
      <c r="E22" s="1001"/>
      <c r="F22" s="1001"/>
      <c r="G22" s="693"/>
      <c r="H22" s="693"/>
      <c r="I22" s="693"/>
    </row>
    <row r="23" spans="1:17">
      <c r="A23" s="707"/>
      <c r="B23" s="707"/>
      <c r="C23" s="799"/>
      <c r="D23" s="799"/>
      <c r="E23" s="799"/>
      <c r="F23" s="799"/>
      <c r="G23" s="693"/>
      <c r="H23" s="693"/>
      <c r="I23" s="693"/>
    </row>
    <row r="24" spans="1:17" ht="27.75" customHeight="1">
      <c r="A24" s="823" t="s">
        <v>63</v>
      </c>
      <c r="B24" s="993" t="s">
        <v>861</v>
      </c>
      <c r="C24" s="993"/>
      <c r="D24" s="993"/>
      <c r="E24" s="993"/>
      <c r="F24" s="993"/>
      <c r="G24" s="693"/>
      <c r="H24" s="693"/>
      <c r="I24" s="693"/>
    </row>
    <row r="25" spans="1:17">
      <c r="A25" s="707"/>
      <c r="B25" s="707"/>
      <c r="C25" s="707"/>
      <c r="D25" s="707"/>
      <c r="E25" s="707"/>
      <c r="F25" s="707"/>
      <c r="G25" s="693"/>
      <c r="H25" s="693"/>
      <c r="I25" s="693"/>
    </row>
    <row r="26" spans="1:17">
      <c r="A26" s="823" t="s">
        <v>64</v>
      </c>
      <c r="B26" s="800" t="s">
        <v>732</v>
      </c>
      <c r="C26" s="824"/>
      <c r="D26" s="824"/>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5" zoomScaleNormal="90" zoomScaleSheetLayoutView="85" workbookViewId="0">
      <selection sqref="A1:G1"/>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8" t="s">
        <v>382</v>
      </c>
      <c r="B1" s="1038"/>
      <c r="C1" s="1038"/>
      <c r="D1" s="1038"/>
      <c r="E1" s="1038"/>
      <c r="F1" s="1038"/>
      <c r="G1" s="1038"/>
      <c r="H1" s="358"/>
      <c r="I1" s="358"/>
      <c r="J1" s="358"/>
      <c r="K1" s="358"/>
    </row>
    <row r="2" spans="1:12" s="333" customFormat="1">
      <c r="A2" s="1038" t="s">
        <v>703</v>
      </c>
      <c r="B2" s="1038"/>
      <c r="C2" s="1038"/>
      <c r="D2" s="1038"/>
      <c r="E2" s="1038"/>
      <c r="F2" s="1038"/>
      <c r="G2" s="1038"/>
      <c r="H2" s="358"/>
      <c r="I2" s="358"/>
      <c r="J2" s="358"/>
      <c r="K2" s="358"/>
    </row>
    <row r="3" spans="1:12" s="333" customFormat="1" ht="15" customHeight="1">
      <c r="A3" s="1016" t="str">
        <f>+'Attachment H-29A'!D5</f>
        <v>Transource Pennsylvania, LLC</v>
      </c>
      <c r="B3" s="1016"/>
      <c r="C3" s="1016"/>
      <c r="D3" s="1016"/>
      <c r="E3" s="1016"/>
      <c r="F3" s="1016"/>
      <c r="G3" s="1016"/>
      <c r="H3" s="38"/>
      <c r="I3" s="38"/>
      <c r="J3" s="38"/>
      <c r="K3" s="38"/>
      <c r="L3" s="334"/>
    </row>
    <row r="4" spans="1:12" s="333" customFormat="1">
      <c r="A4" s="381"/>
      <c r="L4" s="334"/>
    </row>
    <row r="5" spans="1:12" s="333" customFormat="1" ht="35.25" customHeight="1">
      <c r="A5" s="1004" t="s">
        <v>768</v>
      </c>
      <c r="B5" s="1004"/>
      <c r="C5" s="1004"/>
      <c r="D5" s="1004"/>
      <c r="E5" s="1004"/>
      <c r="F5" s="1004"/>
      <c r="G5" s="1004"/>
      <c r="H5" s="1004"/>
      <c r="I5" s="1004"/>
      <c r="J5" s="334"/>
      <c r="K5" s="334"/>
      <c r="L5" s="334"/>
    </row>
    <row r="6" spans="1:12" s="333" customFormat="1" ht="27" customHeight="1">
      <c r="A6" s="1004" t="s">
        <v>725</v>
      </c>
      <c r="B6" s="1004"/>
      <c r="C6" s="1004"/>
      <c r="D6" s="1004"/>
      <c r="E6" s="1004"/>
      <c r="F6" s="1004"/>
      <c r="G6" s="1004"/>
      <c r="H6" s="1004"/>
      <c r="I6" s="1004"/>
      <c r="J6" s="334"/>
      <c r="K6" s="334"/>
      <c r="L6" s="334"/>
    </row>
    <row r="7" spans="1:12" s="333" customFormat="1" ht="31.5" customHeight="1">
      <c r="A7" s="1039" t="s">
        <v>726</v>
      </c>
      <c r="B7" s="1039"/>
      <c r="C7" s="1039"/>
      <c r="D7" s="1039"/>
      <c r="E7" s="1039"/>
      <c r="F7" s="1039"/>
      <c r="G7" s="1039"/>
      <c r="H7" s="1039"/>
      <c r="I7" s="1039"/>
      <c r="J7" s="348"/>
      <c r="K7" s="348"/>
      <c r="L7" s="382"/>
    </row>
    <row r="8" spans="1:12" s="333" customFormat="1" ht="18.75" customHeight="1">
      <c r="A8" s="1004" t="s">
        <v>699</v>
      </c>
      <c r="B8" s="1004"/>
      <c r="C8" s="1004"/>
      <c r="D8" s="1004"/>
      <c r="E8" s="1004"/>
      <c r="F8" s="1004"/>
      <c r="G8" s="1004"/>
      <c r="H8" s="1004"/>
      <c r="I8" s="1004"/>
      <c r="J8" s="348"/>
      <c r="K8" s="348"/>
      <c r="L8" s="382"/>
    </row>
    <row r="9" spans="1:12" s="333" customFormat="1" ht="31.5" customHeight="1">
      <c r="A9" s="1004" t="s">
        <v>710</v>
      </c>
      <c r="B9" s="1004"/>
      <c r="C9" s="1004"/>
      <c r="D9" s="1004"/>
      <c r="E9" s="1004"/>
      <c r="F9" s="1004"/>
      <c r="G9" s="1004"/>
      <c r="H9" s="1004"/>
      <c r="I9" s="1004"/>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3">
        <v>1</v>
      </c>
      <c r="B11" s="333" t="s">
        <v>596</v>
      </c>
      <c r="C11" s="378"/>
      <c r="D11" s="350" t="e">
        <f>I33</f>
        <v>#DIV/0!</v>
      </c>
      <c r="E11" s="378"/>
      <c r="F11" s="378"/>
      <c r="H11" s="334"/>
      <c r="I11" s="334"/>
      <c r="J11" s="334"/>
      <c r="K11" s="334"/>
      <c r="L11" s="334"/>
    </row>
    <row r="12" spans="1:12" s="333" customFormat="1" ht="16.5" customHeight="1">
      <c r="A12" s="383">
        <f>+A11+1</f>
        <v>2</v>
      </c>
      <c r="B12" s="333" t="s">
        <v>471</v>
      </c>
      <c r="C12" s="378"/>
      <c r="D12" s="350" t="e">
        <f>+G53</f>
        <v>#DIV/0!</v>
      </c>
      <c r="E12" s="378"/>
      <c r="F12" s="378"/>
      <c r="H12" s="334"/>
      <c r="I12" s="334"/>
      <c r="J12" s="334"/>
      <c r="K12" s="334"/>
      <c r="L12" s="334"/>
    </row>
    <row r="13" spans="1:12" s="333" customFormat="1" ht="16.5" customHeight="1">
      <c r="A13" s="383">
        <f>+A12+1</f>
        <v>3</v>
      </c>
      <c r="B13" s="355" t="s">
        <v>398</v>
      </c>
      <c r="C13" s="378"/>
      <c r="D13" s="356" t="e">
        <f>+D11+D12</f>
        <v>#DIV/0!</v>
      </c>
      <c r="E13" s="378"/>
      <c r="F13" s="378"/>
      <c r="H13" s="334"/>
      <c r="I13" s="334"/>
      <c r="J13" s="334"/>
      <c r="K13" s="334"/>
      <c r="L13" s="334"/>
    </row>
    <row r="14" spans="1:12" s="333" customFormat="1" ht="6" customHeight="1">
      <c r="A14" s="383"/>
      <c r="B14" s="337"/>
      <c r="C14" s="378"/>
      <c r="D14" s="366"/>
      <c r="E14" s="378"/>
      <c r="F14" s="378"/>
      <c r="H14" s="334"/>
      <c r="I14" s="334"/>
      <c r="J14" s="334"/>
      <c r="K14" s="334"/>
      <c r="L14" s="334"/>
    </row>
    <row r="15" spans="1:12" s="333" customFormat="1" ht="16.5" customHeight="1">
      <c r="A15" s="383"/>
      <c r="B15" s="337" t="s">
        <v>462</v>
      </c>
      <c r="C15" s="378"/>
      <c r="D15" s="366"/>
      <c r="E15" s="378"/>
      <c r="F15" s="378"/>
      <c r="H15" s="334"/>
      <c r="I15" s="334"/>
      <c r="J15" s="334"/>
      <c r="K15" s="334"/>
      <c r="L15" s="334"/>
    </row>
    <row r="16" spans="1:12" s="333" customFormat="1" ht="16.5" customHeight="1">
      <c r="A16" s="383">
        <f>A13+1</f>
        <v>4</v>
      </c>
      <c r="B16" s="334" t="s">
        <v>463</v>
      </c>
      <c r="C16" s="378"/>
      <c r="D16" s="792">
        <v>0</v>
      </c>
      <c r="E16" s="378"/>
      <c r="F16" s="378"/>
      <c r="H16" s="334"/>
      <c r="I16" s="334"/>
      <c r="J16" s="334"/>
      <c r="K16" s="334"/>
      <c r="L16" s="334"/>
    </row>
    <row r="17" spans="1:13" s="333" customFormat="1" ht="16.5" customHeight="1">
      <c r="A17" s="383">
        <f>A16+1</f>
        <v>5</v>
      </c>
      <c r="B17" s="334" t="s">
        <v>468</v>
      </c>
      <c r="C17" s="378"/>
      <c r="D17" s="792">
        <v>0</v>
      </c>
      <c r="E17" s="378"/>
      <c r="F17" s="378"/>
      <c r="H17" s="334"/>
      <c r="I17" s="334"/>
      <c r="J17" s="334"/>
      <c r="K17" s="334"/>
      <c r="L17" s="334"/>
    </row>
    <row r="18" spans="1:13" s="333" customFormat="1" ht="60.75" customHeight="1">
      <c r="A18" s="383"/>
      <c r="B18" s="3" t="s">
        <v>411</v>
      </c>
      <c r="C18" s="378"/>
      <c r="D18" s="364" t="s">
        <v>727</v>
      </c>
      <c r="E18" s="364" t="s">
        <v>464</v>
      </c>
      <c r="F18" s="396" t="s">
        <v>465</v>
      </c>
      <c r="G18" s="396" t="s">
        <v>723</v>
      </c>
      <c r="H18" s="396" t="s">
        <v>466</v>
      </c>
      <c r="I18" s="396" t="s">
        <v>467</v>
      </c>
      <c r="J18" s="334"/>
      <c r="K18" s="334"/>
      <c r="L18" s="334"/>
      <c r="M18" s="334"/>
    </row>
    <row r="19" spans="1:13" s="333" customFormat="1" ht="21" customHeight="1">
      <c r="A19" s="383"/>
      <c r="B19" s="379" t="s">
        <v>190</v>
      </c>
      <c r="C19" s="378"/>
      <c r="D19" s="365" t="s">
        <v>191</v>
      </c>
      <c r="E19" s="365" t="s">
        <v>192</v>
      </c>
      <c r="F19" s="365" t="s">
        <v>193</v>
      </c>
      <c r="G19" s="365" t="s">
        <v>195</v>
      </c>
      <c r="H19" s="365" t="s">
        <v>194</v>
      </c>
      <c r="I19" s="365" t="s">
        <v>196</v>
      </c>
      <c r="J19" s="334"/>
      <c r="K19" s="334"/>
      <c r="L19" s="334"/>
      <c r="M19" s="334"/>
    </row>
    <row r="20" spans="1:13" s="333" customFormat="1" ht="16.5" customHeight="1">
      <c r="A20" s="383">
        <f>A17+1</f>
        <v>6</v>
      </c>
      <c r="B20" s="5" t="s">
        <v>187</v>
      </c>
      <c r="C20" s="378"/>
      <c r="D20" s="974">
        <v>0</v>
      </c>
      <c r="E20" s="974">
        <v>0</v>
      </c>
      <c r="F20" s="295">
        <f>D20-E20</f>
        <v>0</v>
      </c>
      <c r="G20" s="829">
        <f>($D$16/12)*F20</f>
        <v>0</v>
      </c>
      <c r="H20" s="295">
        <f>($D$17/12)*E20</f>
        <v>0</v>
      </c>
      <c r="I20" s="334"/>
      <c r="J20" s="334"/>
      <c r="K20" s="334"/>
      <c r="L20" s="334"/>
      <c r="M20" s="334"/>
    </row>
    <row r="21" spans="1:13" s="333" customFormat="1" ht="16.5" customHeight="1">
      <c r="A21" s="383">
        <f>+A20+1</f>
        <v>7</v>
      </c>
      <c r="B21" s="5" t="s">
        <v>85</v>
      </c>
      <c r="C21" s="378"/>
      <c r="D21" s="974">
        <v>0</v>
      </c>
      <c r="E21" s="974">
        <v>0</v>
      </c>
      <c r="F21" s="295">
        <f t="shared" ref="F21:F32" si="0">D21-E21</f>
        <v>0</v>
      </c>
      <c r="G21" s="829">
        <f t="shared" ref="G21:G32" si="1">($D$16/12)*F21</f>
        <v>0</v>
      </c>
      <c r="H21" s="295">
        <f t="shared" ref="H21:H32" si="2">($D$17/12)*E21</f>
        <v>0</v>
      </c>
      <c r="I21" s="334"/>
      <c r="J21" s="334"/>
      <c r="K21" s="334"/>
      <c r="L21" s="334"/>
      <c r="M21" s="334"/>
    </row>
    <row r="22" spans="1:13" s="333" customFormat="1" ht="16.5" customHeight="1">
      <c r="A22" s="383">
        <f t="shared" ref="A22:A33" si="3">+A21+1</f>
        <v>8</v>
      </c>
      <c r="B22" s="1" t="s">
        <v>84</v>
      </c>
      <c r="C22" s="378"/>
      <c r="D22" s="974">
        <v>0</v>
      </c>
      <c r="E22" s="974">
        <v>0</v>
      </c>
      <c r="F22" s="295">
        <f t="shared" si="0"/>
        <v>0</v>
      </c>
      <c r="G22" s="829">
        <f t="shared" si="1"/>
        <v>0</v>
      </c>
      <c r="H22" s="295">
        <f t="shared" si="2"/>
        <v>0</v>
      </c>
      <c r="I22" s="334"/>
      <c r="J22" s="334"/>
      <c r="K22" s="334"/>
      <c r="L22" s="334"/>
      <c r="M22" s="334"/>
    </row>
    <row r="23" spans="1:13" s="333" customFormat="1" ht="16.5" customHeight="1">
      <c r="A23" s="383">
        <f t="shared" si="3"/>
        <v>9</v>
      </c>
      <c r="B23" s="1" t="s">
        <v>164</v>
      </c>
      <c r="C23" s="378"/>
      <c r="D23" s="974">
        <v>0</v>
      </c>
      <c r="E23" s="974">
        <v>0</v>
      </c>
      <c r="F23" s="295">
        <f t="shared" si="0"/>
        <v>0</v>
      </c>
      <c r="G23" s="829">
        <f>($D$16/12)*F23</f>
        <v>0</v>
      </c>
      <c r="H23" s="295">
        <f t="shared" si="2"/>
        <v>0</v>
      </c>
      <c r="I23" s="334"/>
      <c r="J23" s="334"/>
      <c r="K23" s="334"/>
      <c r="L23" s="334"/>
      <c r="M23" s="334"/>
    </row>
    <row r="24" spans="1:13" s="333" customFormat="1" ht="16.5" customHeight="1">
      <c r="A24" s="383">
        <f t="shared" si="3"/>
        <v>10</v>
      </c>
      <c r="B24" s="1" t="s">
        <v>76</v>
      </c>
      <c r="C24" s="378"/>
      <c r="D24" s="974">
        <v>0</v>
      </c>
      <c r="E24" s="974">
        <v>0</v>
      </c>
      <c r="F24" s="295">
        <f t="shared" si="0"/>
        <v>0</v>
      </c>
      <c r="G24" s="829">
        <f t="shared" si="1"/>
        <v>0</v>
      </c>
      <c r="H24" s="295">
        <f>($D$17/12)*E24</f>
        <v>0</v>
      </c>
      <c r="I24" s="334"/>
      <c r="J24" s="334"/>
      <c r="K24" s="334"/>
      <c r="L24" s="334"/>
      <c r="M24" s="334"/>
    </row>
    <row r="25" spans="1:13" s="333" customFormat="1" ht="16.5" customHeight="1">
      <c r="A25" s="383">
        <f t="shared" si="3"/>
        <v>11</v>
      </c>
      <c r="B25" s="1" t="s">
        <v>75</v>
      </c>
      <c r="C25" s="378"/>
      <c r="D25" s="974">
        <v>0</v>
      </c>
      <c r="E25" s="974">
        <v>0</v>
      </c>
      <c r="F25" s="295">
        <f t="shared" si="0"/>
        <v>0</v>
      </c>
      <c r="G25" s="829">
        <f t="shared" si="1"/>
        <v>0</v>
      </c>
      <c r="H25" s="295">
        <f t="shared" si="2"/>
        <v>0</v>
      </c>
      <c r="I25" s="334"/>
      <c r="J25" s="334"/>
      <c r="K25" s="334"/>
      <c r="L25" s="334"/>
      <c r="M25" s="334"/>
    </row>
    <row r="26" spans="1:13" s="333" customFormat="1" ht="16.5" customHeight="1">
      <c r="A26" s="383">
        <f t="shared" si="3"/>
        <v>12</v>
      </c>
      <c r="B26" s="1" t="s">
        <v>92</v>
      </c>
      <c r="C26" s="378"/>
      <c r="D26" s="974">
        <v>0</v>
      </c>
      <c r="E26" s="974">
        <v>0</v>
      </c>
      <c r="F26" s="295">
        <f t="shared" si="0"/>
        <v>0</v>
      </c>
      <c r="G26" s="829">
        <f t="shared" si="1"/>
        <v>0</v>
      </c>
      <c r="H26" s="295">
        <f t="shared" si="2"/>
        <v>0</v>
      </c>
      <c r="I26" s="334"/>
      <c r="J26" s="334"/>
      <c r="K26" s="334"/>
      <c r="L26" s="334"/>
      <c r="M26" s="334"/>
    </row>
    <row r="27" spans="1:13" s="333" customFormat="1" ht="16.5" customHeight="1">
      <c r="A27" s="383">
        <f t="shared" si="3"/>
        <v>13</v>
      </c>
      <c r="B27" s="1" t="s">
        <v>82</v>
      </c>
      <c r="C27" s="378"/>
      <c r="D27" s="974">
        <v>0</v>
      </c>
      <c r="E27" s="974">
        <v>0</v>
      </c>
      <c r="F27" s="295">
        <f t="shared" si="0"/>
        <v>0</v>
      </c>
      <c r="G27" s="829">
        <f t="shared" si="1"/>
        <v>0</v>
      </c>
      <c r="H27" s="295">
        <f t="shared" si="2"/>
        <v>0</v>
      </c>
      <c r="I27" s="334"/>
      <c r="J27" s="334"/>
      <c r="K27" s="334"/>
      <c r="L27" s="334"/>
      <c r="M27" s="334"/>
    </row>
    <row r="28" spans="1:13" s="333" customFormat="1" ht="16.5" customHeight="1">
      <c r="A28" s="383">
        <f t="shared" si="3"/>
        <v>14</v>
      </c>
      <c r="B28" s="1" t="s">
        <v>165</v>
      </c>
      <c r="C28" s="378"/>
      <c r="D28" s="974">
        <v>0</v>
      </c>
      <c r="E28" s="974">
        <v>0</v>
      </c>
      <c r="F28" s="295">
        <f t="shared" si="0"/>
        <v>0</v>
      </c>
      <c r="G28" s="829">
        <f>($D$16/12)*F28</f>
        <v>0</v>
      </c>
      <c r="H28" s="295">
        <f t="shared" si="2"/>
        <v>0</v>
      </c>
      <c r="I28" s="334"/>
      <c r="J28" s="334"/>
      <c r="K28" s="334"/>
      <c r="L28" s="334"/>
      <c r="M28" s="334"/>
    </row>
    <row r="29" spans="1:13" s="333" customFormat="1" ht="16.5" customHeight="1">
      <c r="A29" s="383">
        <f t="shared" si="3"/>
        <v>15</v>
      </c>
      <c r="B29" s="1" t="s">
        <v>80</v>
      </c>
      <c r="C29" s="378"/>
      <c r="D29" s="974">
        <v>0</v>
      </c>
      <c r="E29" s="974">
        <v>0</v>
      </c>
      <c r="F29" s="295">
        <f t="shared" si="0"/>
        <v>0</v>
      </c>
      <c r="G29" s="829">
        <f t="shared" si="1"/>
        <v>0</v>
      </c>
      <c r="H29" s="295">
        <f t="shared" si="2"/>
        <v>0</v>
      </c>
      <c r="I29" s="334"/>
      <c r="J29" s="334"/>
      <c r="K29" s="334"/>
      <c r="L29" s="334"/>
      <c r="M29" s="334"/>
    </row>
    <row r="30" spans="1:13" s="333" customFormat="1" ht="16.5" customHeight="1">
      <c r="A30" s="383">
        <f t="shared" si="3"/>
        <v>16</v>
      </c>
      <c r="B30" s="1" t="s">
        <v>86</v>
      </c>
      <c r="C30" s="378"/>
      <c r="D30" s="974">
        <v>0</v>
      </c>
      <c r="E30" s="974">
        <v>0</v>
      </c>
      <c r="F30" s="295">
        <f t="shared" si="0"/>
        <v>0</v>
      </c>
      <c r="G30" s="829">
        <f t="shared" si="1"/>
        <v>0</v>
      </c>
      <c r="H30" s="295">
        <f t="shared" si="2"/>
        <v>0</v>
      </c>
      <c r="I30" s="334"/>
      <c r="J30" s="334"/>
      <c r="K30" s="334"/>
      <c r="L30" s="334"/>
      <c r="M30" s="334"/>
    </row>
    <row r="31" spans="1:13" s="333" customFormat="1" ht="16.5" customHeight="1">
      <c r="A31" s="383">
        <f t="shared" si="3"/>
        <v>17</v>
      </c>
      <c r="B31" s="1" t="s">
        <v>79</v>
      </c>
      <c r="C31" s="378"/>
      <c r="D31" s="974">
        <v>0</v>
      </c>
      <c r="E31" s="974">
        <v>0</v>
      </c>
      <c r="F31" s="295">
        <f t="shared" si="0"/>
        <v>0</v>
      </c>
      <c r="G31" s="829">
        <f t="shared" si="1"/>
        <v>0</v>
      </c>
      <c r="H31" s="295">
        <f t="shared" si="2"/>
        <v>0</v>
      </c>
      <c r="I31" s="334"/>
      <c r="J31" s="334"/>
      <c r="K31" s="334"/>
      <c r="L31" s="334"/>
      <c r="M31" s="334"/>
    </row>
    <row r="32" spans="1:13" s="333" customFormat="1" ht="16.5" customHeight="1">
      <c r="A32" s="383">
        <f t="shared" si="3"/>
        <v>18</v>
      </c>
      <c r="B32" s="1" t="s">
        <v>188</v>
      </c>
      <c r="C32" s="378"/>
      <c r="D32" s="973">
        <v>0</v>
      </c>
      <c r="E32" s="973">
        <v>0</v>
      </c>
      <c r="F32" s="831">
        <f t="shared" si="0"/>
        <v>0</v>
      </c>
      <c r="G32" s="830">
        <f t="shared" si="1"/>
        <v>0</v>
      </c>
      <c r="H32" s="831">
        <f t="shared" si="2"/>
        <v>0</v>
      </c>
      <c r="I32" s="397"/>
      <c r="J32" s="334"/>
      <c r="K32" s="334"/>
      <c r="L32" s="334"/>
      <c r="M32" s="334"/>
    </row>
    <row r="33" spans="1:13" s="333" customFormat="1" ht="16.5" customHeight="1">
      <c r="A33" s="383">
        <f t="shared" si="3"/>
        <v>19</v>
      </c>
      <c r="B33" s="7" t="s">
        <v>242</v>
      </c>
      <c r="C33" s="378"/>
      <c r="D33" s="832"/>
      <c r="E33" s="398">
        <f>SUM(E20:E32)/13</f>
        <v>0</v>
      </c>
      <c r="F33" s="832"/>
      <c r="G33" s="829">
        <f>SUM(G20:G32)</f>
        <v>0</v>
      </c>
      <c r="H33" s="295">
        <f>SUM(H20:H32)</f>
        <v>0</v>
      </c>
      <c r="I33" s="350" t="e">
        <f>(G33+H33)/E33</f>
        <v>#DIV/0!</v>
      </c>
      <c r="J33" s="334"/>
      <c r="K33" s="334"/>
      <c r="L33" s="334"/>
      <c r="M33" s="334"/>
    </row>
    <row r="34" spans="1:13" s="333" customFormat="1" ht="21" customHeight="1">
      <c r="A34" s="383"/>
      <c r="B34" s="399"/>
      <c r="C34" s="334"/>
      <c r="D34" s="334"/>
      <c r="E34" s="334"/>
      <c r="F34" s="334"/>
      <c r="G34" s="336"/>
      <c r="H34" s="340"/>
      <c r="I34" s="334"/>
      <c r="J34" s="334"/>
      <c r="K34" s="334"/>
      <c r="L34" s="334"/>
    </row>
    <row r="35" spans="1:13" s="333" customFormat="1" ht="15.75" customHeight="1">
      <c r="A35" s="383"/>
      <c r="B35" s="1004" t="s">
        <v>663</v>
      </c>
      <c r="C35" s="1004"/>
      <c r="D35" s="1004"/>
      <c r="E35" s="1004"/>
      <c r="F35" s="1004"/>
      <c r="G35" s="1004"/>
      <c r="H35" s="1004"/>
      <c r="I35" s="1004"/>
      <c r="J35" s="334"/>
      <c r="K35" s="334"/>
      <c r="L35" s="334"/>
    </row>
    <row r="36" spans="1:13" s="333" customFormat="1">
      <c r="A36" s="383"/>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3"/>
      <c r="B37" s="337" t="s">
        <v>386</v>
      </c>
      <c r="C37" s="357" t="s">
        <v>387</v>
      </c>
      <c r="D37" s="294" t="s">
        <v>401</v>
      </c>
      <c r="E37" s="359" t="s">
        <v>406</v>
      </c>
      <c r="F37" s="359" t="s">
        <v>403</v>
      </c>
      <c r="G37" s="359" t="s">
        <v>412</v>
      </c>
      <c r="H37" s="359" t="s">
        <v>407</v>
      </c>
      <c r="I37" s="359" t="s">
        <v>408</v>
      </c>
      <c r="J37" s="334"/>
      <c r="K37" s="334"/>
      <c r="L37" s="334"/>
    </row>
    <row r="38" spans="1:13" s="333" customFormat="1">
      <c r="A38" s="383">
        <f>+A33+1</f>
        <v>20</v>
      </c>
      <c r="B38" s="334" t="s">
        <v>388</v>
      </c>
      <c r="C38" s="967"/>
      <c r="D38" s="980"/>
      <c r="E38" s="971"/>
      <c r="F38" s="971"/>
      <c r="G38" s="363" t="e">
        <f t="shared" ref="G38:G43" si="4">+D38/F38</f>
        <v>#DIV/0!</v>
      </c>
      <c r="H38" s="981"/>
      <c r="I38" s="363" t="e">
        <f t="shared" ref="I38:I43" si="5">MAX(+D38-G38-H38,0)</f>
        <v>#DIV/0!</v>
      </c>
      <c r="J38" s="353"/>
      <c r="K38" s="340"/>
      <c r="L38" s="334"/>
    </row>
    <row r="39" spans="1:13" s="333" customFormat="1">
      <c r="A39" s="383">
        <f>+A38+1</f>
        <v>21</v>
      </c>
      <c r="B39" s="334" t="s">
        <v>389</v>
      </c>
      <c r="C39" s="968"/>
      <c r="D39" s="980"/>
      <c r="E39" s="971"/>
      <c r="F39" s="971"/>
      <c r="G39" s="363" t="e">
        <f t="shared" si="4"/>
        <v>#DIV/0!</v>
      </c>
      <c r="H39" s="982"/>
      <c r="I39" s="363" t="e">
        <f t="shared" si="5"/>
        <v>#DIV/0!</v>
      </c>
      <c r="J39" s="341"/>
      <c r="K39" s="334"/>
      <c r="L39" s="334"/>
      <c r="M39" s="342"/>
    </row>
    <row r="40" spans="1:13" s="333" customFormat="1">
      <c r="A40" s="383">
        <f t="shared" ref="A40:A53" si="6">+A39+1</f>
        <v>22</v>
      </c>
      <c r="B40" s="334" t="s">
        <v>390</v>
      </c>
      <c r="C40" s="968"/>
      <c r="D40" s="980"/>
      <c r="E40" s="971"/>
      <c r="F40" s="971"/>
      <c r="G40" s="363" t="e">
        <f t="shared" si="4"/>
        <v>#DIV/0!</v>
      </c>
      <c r="H40" s="982"/>
      <c r="I40" s="363" t="e">
        <f t="shared" si="5"/>
        <v>#DIV/0!</v>
      </c>
      <c r="J40" s="341"/>
      <c r="K40" s="343"/>
      <c r="L40" s="334"/>
    </row>
    <row r="41" spans="1:13" s="333" customFormat="1">
      <c r="A41" s="383">
        <f t="shared" si="6"/>
        <v>23</v>
      </c>
      <c r="B41" s="334" t="s">
        <v>391</v>
      </c>
      <c r="C41" s="968"/>
      <c r="D41" s="980"/>
      <c r="E41" s="971"/>
      <c r="F41" s="971"/>
      <c r="G41" s="363" t="e">
        <f t="shared" si="4"/>
        <v>#DIV/0!</v>
      </c>
      <c r="H41" s="982"/>
      <c r="I41" s="363" t="e">
        <f t="shared" si="5"/>
        <v>#DIV/0!</v>
      </c>
      <c r="J41" s="334"/>
      <c r="K41" s="334"/>
      <c r="L41" s="334"/>
    </row>
    <row r="42" spans="1:13" s="333" customFormat="1">
      <c r="A42" s="383">
        <f t="shared" si="6"/>
        <v>24</v>
      </c>
      <c r="B42" s="334" t="s">
        <v>392</v>
      </c>
      <c r="C42" s="968"/>
      <c r="D42" s="980"/>
      <c r="E42" s="971"/>
      <c r="F42" s="971"/>
      <c r="G42" s="363" t="e">
        <f t="shared" si="4"/>
        <v>#DIV/0!</v>
      </c>
      <c r="H42" s="982"/>
      <c r="I42" s="363" t="e">
        <f t="shared" si="5"/>
        <v>#DIV/0!</v>
      </c>
      <c r="J42" s="341"/>
      <c r="K42" s="334"/>
      <c r="L42" s="334"/>
    </row>
    <row r="43" spans="1:13" s="333" customFormat="1">
      <c r="A43" s="383">
        <f t="shared" si="6"/>
        <v>25</v>
      </c>
      <c r="B43" s="334" t="s">
        <v>404</v>
      </c>
      <c r="C43" s="969"/>
      <c r="D43" s="980"/>
      <c r="E43" s="971"/>
      <c r="F43" s="971"/>
      <c r="G43" s="363" t="e">
        <f t="shared" si="4"/>
        <v>#DIV/0!</v>
      </c>
      <c r="H43" s="983"/>
      <c r="I43" s="363" t="e">
        <f t="shared" si="5"/>
        <v>#DIV/0!</v>
      </c>
      <c r="J43" s="341"/>
      <c r="K43" s="334"/>
      <c r="L43" s="334"/>
    </row>
    <row r="44" spans="1:13" s="333" customFormat="1">
      <c r="A44" s="383">
        <f t="shared" si="6"/>
        <v>26</v>
      </c>
      <c r="B44" s="351" t="s">
        <v>413</v>
      </c>
      <c r="C44" s="354"/>
      <c r="D44" s="585">
        <f>SUM(D38:D43)</f>
        <v>0</v>
      </c>
      <c r="E44" s="360"/>
      <c r="F44" s="351"/>
      <c r="G44" s="585" t="e">
        <f>SUM(G38:G43)</f>
        <v>#DIV/0!</v>
      </c>
      <c r="H44" s="825">
        <f>SUM(H38:H43)</f>
        <v>0</v>
      </c>
      <c r="I44" s="585" t="e">
        <f>SUM(I38:I43)</f>
        <v>#DIV/0!</v>
      </c>
      <c r="J44" s="334"/>
      <c r="K44" s="334"/>
      <c r="L44" s="334"/>
    </row>
    <row r="45" spans="1:13" s="333" customFormat="1">
      <c r="A45" s="383">
        <f t="shared" si="6"/>
        <v>27</v>
      </c>
      <c r="B45" s="334"/>
      <c r="C45" s="341"/>
      <c r="D45" s="828"/>
      <c r="E45" s="295"/>
      <c r="G45" s="826"/>
      <c r="H45" s="826"/>
      <c r="I45" s="826"/>
      <c r="J45" s="334"/>
      <c r="K45" s="340"/>
      <c r="L45" s="334"/>
    </row>
    <row r="46" spans="1:13" s="333" customFormat="1">
      <c r="A46" s="383">
        <f t="shared" si="6"/>
        <v>28</v>
      </c>
      <c r="B46" s="337" t="s">
        <v>409</v>
      </c>
      <c r="C46" s="341"/>
      <c r="D46" s="828"/>
      <c r="E46" s="295"/>
      <c r="G46" s="826"/>
      <c r="H46" s="827"/>
      <c r="I46" s="827"/>
      <c r="J46" s="334"/>
      <c r="K46" s="344"/>
      <c r="L46" s="334"/>
    </row>
    <row r="47" spans="1:13" s="333" customFormat="1">
      <c r="A47" s="383">
        <f t="shared" si="6"/>
        <v>29</v>
      </c>
      <c r="B47" s="334" t="s">
        <v>393</v>
      </c>
      <c r="C47" s="970"/>
      <c r="D47" s="980"/>
      <c r="E47" s="971"/>
      <c r="F47" s="173" t="s">
        <v>410</v>
      </c>
      <c r="G47" s="363">
        <f>D47</f>
        <v>0</v>
      </c>
      <c r="H47" s="827" t="s">
        <v>410</v>
      </c>
      <c r="I47" s="827" t="s">
        <v>410</v>
      </c>
      <c r="J47" s="334"/>
      <c r="K47" s="344"/>
      <c r="L47" s="334"/>
    </row>
    <row r="48" spans="1:13" s="333" customFormat="1">
      <c r="A48" s="383">
        <f t="shared" si="6"/>
        <v>30</v>
      </c>
      <c r="B48" s="334" t="s">
        <v>394</v>
      </c>
      <c r="C48" s="970"/>
      <c r="D48" s="980"/>
      <c r="E48" s="971"/>
      <c r="F48" s="173" t="s">
        <v>410</v>
      </c>
      <c r="G48" s="363">
        <f>D48</f>
        <v>0</v>
      </c>
      <c r="H48" s="827" t="s">
        <v>410</v>
      </c>
      <c r="I48" s="827" t="s">
        <v>410</v>
      </c>
      <c r="J48" s="334"/>
      <c r="K48" s="344"/>
      <c r="L48" s="334"/>
    </row>
    <row r="49" spans="1:12" s="333" customFormat="1">
      <c r="A49" s="383">
        <f t="shared" si="6"/>
        <v>31</v>
      </c>
      <c r="B49" s="334" t="s">
        <v>395</v>
      </c>
      <c r="C49" s="970"/>
      <c r="D49" s="980"/>
      <c r="E49" s="971"/>
      <c r="F49" s="173" t="s">
        <v>410</v>
      </c>
      <c r="G49" s="363">
        <f>D49</f>
        <v>0</v>
      </c>
      <c r="H49" s="827" t="s">
        <v>410</v>
      </c>
      <c r="I49" s="827" t="s">
        <v>410</v>
      </c>
      <c r="J49" s="341"/>
      <c r="L49" s="334"/>
    </row>
    <row r="50" spans="1:12" s="333" customFormat="1">
      <c r="A50" s="383">
        <f t="shared" si="6"/>
        <v>32</v>
      </c>
      <c r="B50" s="334" t="s">
        <v>397</v>
      </c>
      <c r="C50" s="984"/>
      <c r="D50" s="986"/>
      <c r="E50" s="985"/>
      <c r="F50" s="173" t="s">
        <v>410</v>
      </c>
      <c r="G50" s="363">
        <f>D50</f>
        <v>0</v>
      </c>
      <c r="H50" s="827" t="s">
        <v>410</v>
      </c>
      <c r="I50" s="827" t="s">
        <v>410</v>
      </c>
      <c r="J50" s="334"/>
      <c r="K50" s="334"/>
      <c r="L50" s="334"/>
    </row>
    <row r="51" spans="1:12" s="333" customFormat="1">
      <c r="A51" s="383">
        <f t="shared" si="6"/>
        <v>33</v>
      </c>
      <c r="B51" s="351" t="s">
        <v>396</v>
      </c>
      <c r="C51" s="361"/>
      <c r="D51" s="585">
        <f>+SUM(D44:D50)</f>
        <v>0</v>
      </c>
      <c r="E51" s="360"/>
      <c r="F51" s="351"/>
      <c r="G51" s="585" t="e">
        <f>+SUM(G44:G50)</f>
        <v>#DIV/0!</v>
      </c>
      <c r="H51" s="825">
        <f>+SUM(H44:H50)</f>
        <v>0</v>
      </c>
      <c r="I51" s="585" t="e">
        <f>+SUM(I44:I50)</f>
        <v>#DIV/0!</v>
      </c>
      <c r="J51" s="334"/>
      <c r="K51" s="334"/>
      <c r="L51" s="334"/>
    </row>
    <row r="52" spans="1:12" s="333" customFormat="1">
      <c r="A52" s="383">
        <f t="shared" si="6"/>
        <v>34</v>
      </c>
      <c r="B52" s="334" t="s">
        <v>597</v>
      </c>
      <c r="C52" s="345"/>
      <c r="G52" s="295">
        <f>+E33</f>
        <v>0</v>
      </c>
      <c r="H52" s="380"/>
      <c r="I52" s="334"/>
      <c r="J52" s="334"/>
      <c r="K52" s="334"/>
      <c r="L52" s="334"/>
    </row>
    <row r="53" spans="1:12" s="333" customFormat="1">
      <c r="A53" s="383">
        <f t="shared" si="6"/>
        <v>35</v>
      </c>
      <c r="B53" s="334" t="s">
        <v>405</v>
      </c>
      <c r="C53" s="345"/>
      <c r="G53" s="350" t="e">
        <f>G51/G52</f>
        <v>#DIV/0!</v>
      </c>
      <c r="H53" s="380"/>
      <c r="I53" s="334"/>
      <c r="J53" s="334"/>
      <c r="K53" s="334"/>
      <c r="L53" s="334"/>
    </row>
    <row r="54" spans="1:12" s="333" customFormat="1">
      <c r="A54" s="214">
        <f>+A53+1</f>
        <v>36</v>
      </c>
      <c r="B54" s="334" t="s">
        <v>728</v>
      </c>
      <c r="C54" s="345"/>
      <c r="E54" s="792">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18" customHeight="1">
      <c r="A57" s="806" t="s">
        <v>62</v>
      </c>
      <c r="B57" s="1037" t="s">
        <v>722</v>
      </c>
      <c r="C57" s="1037"/>
      <c r="D57" s="1037"/>
      <c r="E57" s="1037"/>
      <c r="F57" s="1037"/>
      <c r="G57" s="1037"/>
      <c r="H57" s="1037"/>
      <c r="I57" s="1037"/>
    </row>
    <row r="58" spans="1:12" s="333" customFormat="1">
      <c r="A58" s="346"/>
      <c r="B58" s="333" t="s">
        <v>700</v>
      </c>
      <c r="C58" s="792">
        <v>0</v>
      </c>
      <c r="J58" s="347"/>
      <c r="K58" s="347"/>
    </row>
    <row r="59" spans="1:12" s="333" customFormat="1">
      <c r="A59" s="346"/>
      <c r="B59" s="333" t="s">
        <v>701</v>
      </c>
      <c r="C59" s="792">
        <v>0</v>
      </c>
      <c r="J59" s="347"/>
      <c r="K59" s="347"/>
    </row>
    <row r="60" spans="1:12" s="333" customFormat="1">
      <c r="A60" s="346"/>
      <c r="B60" s="333" t="s">
        <v>13</v>
      </c>
      <c r="C60" s="791">
        <f>+C58+C59</f>
        <v>0</v>
      </c>
      <c r="J60" s="347"/>
      <c r="K60" s="347"/>
    </row>
    <row r="133" spans="2:3">
      <c r="B133" s="333"/>
      <c r="C133" s="333"/>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6"/>
      </mc:Fallback>
    </mc:AlternateContent>
    <mc:AlternateContent xmlns:mc="http://schemas.openxmlformats.org/markup-compatibility/2006">
      <mc:Choice Requires="x14">
        <oleObject progId="Equation.3" shapeId="98306" r:id="rId8">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6" r:id="rId8"/>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sqref="A1:G1"/>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8" t="s">
        <v>383</v>
      </c>
      <c r="B1" s="1038"/>
      <c r="C1" s="1038"/>
      <c r="D1" s="1038"/>
      <c r="E1" s="1038"/>
      <c r="F1" s="1038"/>
      <c r="G1" s="1038"/>
      <c r="H1" s="358"/>
      <c r="I1" s="358"/>
      <c r="J1" s="358"/>
      <c r="K1" s="358"/>
    </row>
    <row r="2" spans="1:12" s="333" customFormat="1">
      <c r="A2" s="1038" t="s">
        <v>702</v>
      </c>
      <c r="B2" s="1038"/>
      <c r="C2" s="1038"/>
      <c r="D2" s="1038"/>
      <c r="E2" s="1038"/>
      <c r="F2" s="1038"/>
      <c r="G2" s="1038"/>
      <c r="H2" s="358"/>
      <c r="I2" s="358"/>
      <c r="J2" s="358"/>
      <c r="K2" s="358"/>
    </row>
    <row r="3" spans="1:12" s="333" customFormat="1" ht="15" customHeight="1">
      <c r="A3" s="1016" t="str">
        <f>+'Attachment H-29A'!D5</f>
        <v>Transource Pennsylvania, LLC</v>
      </c>
      <c r="B3" s="1016"/>
      <c r="C3" s="1016"/>
      <c r="D3" s="1016"/>
      <c r="E3" s="1016"/>
      <c r="F3" s="1016"/>
      <c r="G3" s="1016"/>
      <c r="H3" s="38"/>
      <c r="I3" s="38"/>
      <c r="J3" s="38"/>
      <c r="K3" s="38"/>
      <c r="L3" s="334"/>
    </row>
    <row r="4" spans="1:12" s="333" customFormat="1">
      <c r="A4" s="381"/>
      <c r="L4" s="334"/>
    </row>
    <row r="5" spans="1:12" s="333" customFormat="1">
      <c r="A5" s="335"/>
      <c r="B5" s="334"/>
      <c r="C5" s="334"/>
      <c r="D5" s="334"/>
      <c r="E5" s="334"/>
      <c r="F5" s="814"/>
      <c r="G5" s="814"/>
      <c r="H5" s="814"/>
      <c r="I5" s="334"/>
      <c r="J5" s="334"/>
      <c r="K5" s="334"/>
      <c r="L5" s="334"/>
    </row>
    <row r="6" spans="1:12" s="333" customFormat="1" ht="54" customHeight="1">
      <c r="A6" s="335"/>
      <c r="B6" s="1004" t="s">
        <v>769</v>
      </c>
      <c r="C6" s="1004"/>
      <c r="D6" s="1004"/>
      <c r="E6" s="1004"/>
      <c r="F6" s="1004"/>
      <c r="G6" s="349"/>
      <c r="H6" s="349"/>
      <c r="I6" s="349"/>
      <c r="J6" s="334"/>
      <c r="K6" s="334"/>
      <c r="L6" s="334"/>
    </row>
    <row r="7" spans="1:12" s="333" customFormat="1" ht="18.75" customHeight="1">
      <c r="A7" s="335"/>
      <c r="B7" s="1040" t="s">
        <v>667</v>
      </c>
      <c r="C7" s="1040"/>
      <c r="D7" s="1040"/>
      <c r="E7" s="1040"/>
      <c r="F7" s="1040"/>
      <c r="G7" s="288"/>
      <c r="H7" s="382"/>
      <c r="I7" s="382"/>
      <c r="J7" s="348"/>
      <c r="K7" s="348"/>
      <c r="L7" s="382"/>
    </row>
    <row r="8" spans="1:12" s="333" customFormat="1" ht="33.75" customHeight="1">
      <c r="A8" s="335"/>
      <c r="B8" s="1004" t="s">
        <v>710</v>
      </c>
      <c r="C8" s="1004"/>
      <c r="D8" s="1004"/>
      <c r="E8" s="1004"/>
      <c r="F8" s="1004"/>
      <c r="G8" s="349"/>
      <c r="H8" s="382"/>
      <c r="I8" s="382"/>
      <c r="J8" s="348"/>
      <c r="K8" s="348"/>
      <c r="L8" s="382"/>
    </row>
    <row r="9" spans="1:12" s="333" customFormat="1">
      <c r="A9" s="335"/>
      <c r="B9" s="380"/>
      <c r="C9" s="380"/>
      <c r="D9" s="380"/>
      <c r="E9" s="380"/>
      <c r="F9" s="380"/>
      <c r="G9" s="380"/>
      <c r="H9" s="382"/>
      <c r="I9" s="382"/>
      <c r="J9" s="348"/>
      <c r="K9" s="348"/>
      <c r="L9" s="382"/>
    </row>
    <row r="10" spans="1:12" s="333" customFormat="1" ht="25.5">
      <c r="A10" s="219" t="s">
        <v>148</v>
      </c>
      <c r="B10" s="380"/>
      <c r="C10" s="380"/>
      <c r="D10" s="380"/>
      <c r="E10" s="380"/>
      <c r="F10" s="380"/>
      <c r="G10" s="380"/>
      <c r="H10" s="382"/>
      <c r="I10" s="382"/>
      <c r="J10" s="348"/>
      <c r="K10" s="348"/>
      <c r="L10" s="382"/>
    </row>
    <row r="11" spans="1:12" s="333" customFormat="1" ht="18.75" customHeight="1" thickBot="1">
      <c r="C11" s="334"/>
      <c r="D11" s="384" t="s">
        <v>48</v>
      </c>
      <c r="E11" s="334"/>
      <c r="F11" s="334"/>
      <c r="G11" s="336"/>
      <c r="H11" s="334"/>
      <c r="I11" s="334"/>
      <c r="J11" s="334"/>
      <c r="K11" s="334"/>
      <c r="L11" s="334"/>
    </row>
    <row r="12" spans="1:12" s="333" customFormat="1" ht="16.5" customHeight="1">
      <c r="A12" s="258">
        <v>1</v>
      </c>
      <c r="B12" s="26" t="s">
        <v>860</v>
      </c>
      <c r="D12" s="972">
        <v>351526.03</v>
      </c>
      <c r="E12" s="334"/>
      <c r="F12" s="334"/>
      <c r="G12" s="336"/>
      <c r="H12" s="334"/>
      <c r="I12" s="334"/>
      <c r="J12" s="334"/>
      <c r="K12" s="334"/>
      <c r="L12" s="334"/>
    </row>
    <row r="13" spans="1:12" s="333" customFormat="1" ht="16.5" customHeight="1">
      <c r="A13" s="394">
        <f>+A12+1</f>
        <v>2</v>
      </c>
      <c r="B13" s="395" t="s">
        <v>460</v>
      </c>
      <c r="C13" s="334"/>
      <c r="D13" s="973">
        <v>264112.16000000003</v>
      </c>
      <c r="E13" s="334"/>
      <c r="F13" s="334"/>
      <c r="G13" s="336"/>
      <c r="H13" s="334"/>
      <c r="I13" s="334"/>
      <c r="J13" s="334"/>
      <c r="K13" s="334"/>
      <c r="L13" s="334"/>
    </row>
    <row r="14" spans="1:12" s="333" customFormat="1" ht="16.5" customHeight="1">
      <c r="A14" s="258">
        <f>+A13+1</f>
        <v>3</v>
      </c>
      <c r="B14" s="26" t="s">
        <v>461</v>
      </c>
      <c r="D14" s="295">
        <f>SUM(D12:D13)</f>
        <v>615638.19000000006</v>
      </c>
      <c r="E14" s="334"/>
      <c r="F14" s="334"/>
      <c r="G14" s="336"/>
      <c r="H14" s="334"/>
      <c r="I14" s="334"/>
      <c r="J14" s="334"/>
      <c r="K14" s="334"/>
      <c r="L14" s="334"/>
    </row>
    <row r="15" spans="1:12" s="333" customFormat="1" ht="16.5" customHeight="1">
      <c r="A15" s="383"/>
      <c r="B15" s="337"/>
      <c r="C15" s="378"/>
      <c r="D15" s="833"/>
      <c r="E15" s="378"/>
      <c r="F15" s="378"/>
      <c r="H15" s="334"/>
      <c r="I15" s="334"/>
      <c r="J15" s="334"/>
      <c r="K15" s="334"/>
      <c r="L15" s="334"/>
    </row>
    <row r="16" spans="1:12" s="333" customFormat="1" ht="16.5" customHeight="1">
      <c r="A16" s="383"/>
      <c r="B16" s="337"/>
      <c r="C16" s="378"/>
      <c r="D16" s="833"/>
      <c r="E16" s="378"/>
      <c r="F16" s="378"/>
      <c r="H16" s="334"/>
      <c r="I16" s="334"/>
      <c r="J16" s="334"/>
      <c r="K16" s="334"/>
      <c r="L16" s="334"/>
    </row>
    <row r="17" spans="1:12" s="333" customFormat="1" ht="16.5" customHeight="1">
      <c r="A17" s="383"/>
      <c r="B17" s="334" t="s">
        <v>859</v>
      </c>
      <c r="C17" s="378"/>
      <c r="D17" s="833"/>
      <c r="E17" s="378"/>
      <c r="F17" s="378"/>
      <c r="H17" s="334"/>
      <c r="I17" s="334"/>
      <c r="J17" s="334"/>
      <c r="K17" s="334"/>
      <c r="L17" s="334"/>
    </row>
    <row r="18" spans="1:12" s="333" customFormat="1" ht="26.25" customHeight="1">
      <c r="A18" s="383"/>
      <c r="B18" s="400" t="s">
        <v>411</v>
      </c>
      <c r="C18" s="378"/>
      <c r="D18" s="834" t="s">
        <v>472</v>
      </c>
      <c r="E18" s="378"/>
      <c r="F18" s="378"/>
      <c r="H18" s="334"/>
      <c r="I18" s="334"/>
      <c r="J18" s="334"/>
      <c r="K18" s="334"/>
      <c r="L18" s="334"/>
    </row>
    <row r="19" spans="1:12" s="333" customFormat="1" ht="21" customHeight="1">
      <c r="A19" s="383"/>
      <c r="B19" s="379" t="s">
        <v>190</v>
      </c>
      <c r="C19" s="378"/>
      <c r="D19" s="835" t="s">
        <v>193</v>
      </c>
      <c r="E19" s="378"/>
      <c r="F19" s="378"/>
      <c r="H19" s="334"/>
      <c r="I19" s="334"/>
      <c r="J19" s="334"/>
      <c r="K19" s="334"/>
      <c r="L19" s="334"/>
    </row>
    <row r="20" spans="1:12" s="333" customFormat="1" ht="16.5" customHeight="1">
      <c r="A20" s="385">
        <f>+A14+1</f>
        <v>4</v>
      </c>
      <c r="B20" s="5" t="s">
        <v>187</v>
      </c>
      <c r="C20" s="378"/>
      <c r="D20" s="974">
        <v>12900000</v>
      </c>
      <c r="E20" s="378"/>
      <c r="F20" s="378"/>
      <c r="H20" s="334"/>
      <c r="I20" s="334"/>
      <c r="J20" s="334"/>
      <c r="K20" s="334"/>
      <c r="L20" s="334"/>
    </row>
    <row r="21" spans="1:12" s="333" customFormat="1" ht="16.5" customHeight="1">
      <c r="A21" s="383">
        <f>+A20+1</f>
        <v>5</v>
      </c>
      <c r="B21" s="5" t="s">
        <v>85</v>
      </c>
      <c r="C21" s="378"/>
      <c r="D21" s="974">
        <v>15800000</v>
      </c>
      <c r="E21" s="378"/>
      <c r="F21" s="378"/>
      <c r="H21" s="334"/>
      <c r="I21" s="334"/>
      <c r="J21" s="334"/>
      <c r="K21" s="334"/>
      <c r="L21" s="334"/>
    </row>
    <row r="22" spans="1:12" s="333" customFormat="1" ht="16.5" customHeight="1">
      <c r="A22" s="383">
        <f t="shared" ref="A22:A33" si="0">+A21+1</f>
        <v>6</v>
      </c>
      <c r="B22" s="1" t="s">
        <v>84</v>
      </c>
      <c r="C22" s="378"/>
      <c r="D22" s="974">
        <v>15800000</v>
      </c>
      <c r="E22" s="378"/>
      <c r="F22" s="378"/>
      <c r="H22" s="334"/>
      <c r="I22" s="334"/>
      <c r="J22" s="334"/>
      <c r="K22" s="334"/>
      <c r="L22" s="334"/>
    </row>
    <row r="23" spans="1:12" s="333" customFormat="1" ht="16.5" customHeight="1">
      <c r="A23" s="383">
        <f t="shared" si="0"/>
        <v>7</v>
      </c>
      <c r="B23" s="1" t="s">
        <v>164</v>
      </c>
      <c r="C23" s="378"/>
      <c r="D23" s="974">
        <v>16800000</v>
      </c>
      <c r="E23" s="378"/>
      <c r="F23" s="378"/>
      <c r="H23" s="334"/>
      <c r="I23" s="334"/>
      <c r="J23" s="334"/>
      <c r="K23" s="334"/>
      <c r="L23" s="334"/>
    </row>
    <row r="24" spans="1:12" s="333" customFormat="1" ht="16.5" customHeight="1">
      <c r="A24" s="383">
        <f t="shared" si="0"/>
        <v>8</v>
      </c>
      <c r="B24" s="1" t="s">
        <v>76</v>
      </c>
      <c r="C24" s="378"/>
      <c r="D24" s="974">
        <v>17600000</v>
      </c>
      <c r="E24" s="378"/>
      <c r="F24" s="378"/>
      <c r="H24" s="334"/>
      <c r="I24" s="334"/>
      <c r="J24" s="334"/>
      <c r="K24" s="334"/>
      <c r="L24" s="334"/>
    </row>
    <row r="25" spans="1:12" s="333" customFormat="1" ht="16.5" customHeight="1">
      <c r="A25" s="383">
        <f t="shared" si="0"/>
        <v>9</v>
      </c>
      <c r="B25" s="1" t="s">
        <v>75</v>
      </c>
      <c r="C25" s="378"/>
      <c r="D25" s="974">
        <v>17600000</v>
      </c>
      <c r="E25" s="378"/>
      <c r="F25" s="378"/>
      <c r="H25" s="334"/>
      <c r="I25" s="334"/>
      <c r="J25" s="334"/>
      <c r="K25" s="334"/>
      <c r="L25" s="334"/>
    </row>
    <row r="26" spans="1:12" s="333" customFormat="1" ht="16.5" customHeight="1">
      <c r="A26" s="383">
        <f t="shared" si="0"/>
        <v>10</v>
      </c>
      <c r="B26" s="1" t="s">
        <v>92</v>
      </c>
      <c r="C26" s="378"/>
      <c r="D26" s="974">
        <v>18700000</v>
      </c>
      <c r="E26" s="378"/>
      <c r="F26" s="378"/>
      <c r="H26" s="334"/>
      <c r="I26" s="334"/>
      <c r="J26" s="334"/>
      <c r="K26" s="334"/>
      <c r="L26" s="334"/>
    </row>
    <row r="27" spans="1:12" s="333" customFormat="1" ht="16.5" customHeight="1">
      <c r="A27" s="383">
        <f t="shared" si="0"/>
        <v>11</v>
      </c>
      <c r="B27" s="1" t="s">
        <v>82</v>
      </c>
      <c r="C27" s="378"/>
      <c r="D27" s="974">
        <v>22100000</v>
      </c>
      <c r="E27" s="378"/>
      <c r="F27" s="378"/>
      <c r="H27" s="334"/>
      <c r="I27" s="334"/>
      <c r="J27" s="334"/>
      <c r="K27" s="334"/>
      <c r="L27" s="334"/>
    </row>
    <row r="28" spans="1:12" s="333" customFormat="1" ht="16.5" customHeight="1">
      <c r="A28" s="383">
        <f t="shared" si="0"/>
        <v>12</v>
      </c>
      <c r="B28" s="1" t="s">
        <v>165</v>
      </c>
      <c r="C28" s="378"/>
      <c r="D28" s="974">
        <v>22100000</v>
      </c>
      <c r="E28" s="378"/>
      <c r="F28" s="378"/>
      <c r="H28" s="334"/>
      <c r="I28" s="334"/>
      <c r="J28" s="334"/>
      <c r="K28" s="334"/>
      <c r="L28" s="334"/>
    </row>
    <row r="29" spans="1:12" s="333" customFormat="1" ht="16.5" customHeight="1">
      <c r="A29" s="383">
        <f t="shared" si="0"/>
        <v>13</v>
      </c>
      <c r="B29" s="1" t="s">
        <v>80</v>
      </c>
      <c r="C29" s="378"/>
      <c r="D29" s="974">
        <v>23100000</v>
      </c>
      <c r="E29" s="378"/>
      <c r="F29" s="378"/>
      <c r="H29" s="334"/>
      <c r="I29" s="334"/>
      <c r="J29" s="334"/>
      <c r="K29" s="334"/>
      <c r="L29" s="334"/>
    </row>
    <row r="30" spans="1:12" s="333" customFormat="1" ht="16.5" customHeight="1">
      <c r="A30" s="383">
        <f t="shared" si="0"/>
        <v>14</v>
      </c>
      <c r="B30" s="1" t="s">
        <v>86</v>
      </c>
      <c r="C30" s="378"/>
      <c r="D30" s="974">
        <v>24100000</v>
      </c>
      <c r="E30" s="378"/>
      <c r="F30" s="378"/>
      <c r="H30" s="334"/>
      <c r="I30" s="334"/>
      <c r="J30" s="334"/>
      <c r="K30" s="334"/>
      <c r="L30" s="334"/>
    </row>
    <row r="31" spans="1:12" s="333" customFormat="1" ht="16.5" customHeight="1">
      <c r="A31" s="383">
        <f t="shared" si="0"/>
        <v>15</v>
      </c>
      <c r="B31" s="1" t="s">
        <v>79</v>
      </c>
      <c r="C31" s="378"/>
      <c r="D31" s="974">
        <v>25100000</v>
      </c>
      <c r="E31" s="378"/>
      <c r="F31" s="378"/>
      <c r="H31" s="334"/>
      <c r="I31" s="334"/>
      <c r="J31" s="334"/>
      <c r="K31" s="334"/>
      <c r="L31" s="334"/>
    </row>
    <row r="32" spans="1:12" s="333" customFormat="1" ht="16.5" customHeight="1">
      <c r="A32" s="383">
        <f t="shared" si="0"/>
        <v>16</v>
      </c>
      <c r="B32" s="1" t="s">
        <v>188</v>
      </c>
      <c r="C32" s="378"/>
      <c r="D32" s="974">
        <v>25100000</v>
      </c>
      <c r="E32" s="378"/>
      <c r="F32" s="378"/>
      <c r="H32" s="334"/>
      <c r="I32" s="334"/>
      <c r="J32" s="334"/>
      <c r="K32" s="334"/>
      <c r="L32" s="334"/>
    </row>
    <row r="33" spans="1:12" s="333" customFormat="1" ht="16.5" customHeight="1">
      <c r="A33" s="383">
        <f t="shared" si="0"/>
        <v>17</v>
      </c>
      <c r="B33" s="7" t="s">
        <v>242</v>
      </c>
      <c r="C33" s="378"/>
      <c r="D33" s="584">
        <f>SUM(D20:D32)/13</f>
        <v>19753846.153846152</v>
      </c>
      <c r="E33" s="378"/>
      <c r="F33" s="378"/>
      <c r="H33" s="334"/>
      <c r="I33" s="334"/>
      <c r="J33" s="334"/>
      <c r="K33" s="334"/>
      <c r="L33" s="334"/>
    </row>
    <row r="34" spans="1:12" s="333" customFormat="1" ht="21" customHeight="1">
      <c r="A34" s="383"/>
      <c r="C34" s="334"/>
      <c r="D34" s="334"/>
      <c r="E34" s="334"/>
      <c r="F34" s="334"/>
      <c r="G34" s="336"/>
      <c r="H34" s="334"/>
      <c r="I34" s="334"/>
      <c r="J34" s="334"/>
      <c r="K34" s="334"/>
      <c r="L34" s="334"/>
    </row>
    <row r="35" spans="1:12" s="333" customFormat="1" ht="16.5" customHeight="1">
      <c r="A35" s="383">
        <f>+A33+1</f>
        <v>18</v>
      </c>
      <c r="B35" s="333" t="s">
        <v>595</v>
      </c>
      <c r="C35" s="378"/>
      <c r="D35" s="350">
        <f>D14/D33</f>
        <v>3.1165484696261687E-2</v>
      </c>
      <c r="E35" s="378"/>
      <c r="F35" s="378"/>
      <c r="H35" s="334"/>
      <c r="I35" s="334"/>
      <c r="J35" s="334"/>
      <c r="K35" s="334"/>
      <c r="L35" s="334"/>
    </row>
    <row r="36" spans="1:12" s="333" customFormat="1" ht="16.5" customHeight="1">
      <c r="A36" s="383"/>
      <c r="B36" s="337"/>
      <c r="C36" s="378"/>
      <c r="D36" s="366"/>
      <c r="E36" s="378"/>
      <c r="F36" s="378"/>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94" t="s">
        <v>858</v>
      </c>
      <c r="C38" s="994"/>
      <c r="D38" s="994"/>
      <c r="E38" s="994"/>
      <c r="F38" s="994"/>
      <c r="G38" s="401"/>
      <c r="H38" s="334"/>
      <c r="I38" s="338"/>
      <c r="J38" s="339"/>
      <c r="K38" s="334"/>
      <c r="L38" s="334"/>
    </row>
    <row r="39" spans="1:12" s="333" customFormat="1" ht="31.5" customHeight="1">
      <c r="A39" s="704" t="s">
        <v>63</v>
      </c>
      <c r="B39" s="994" t="s">
        <v>736</v>
      </c>
      <c r="C39" s="994"/>
      <c r="D39" s="994"/>
      <c r="E39" s="994"/>
      <c r="F39" s="994"/>
      <c r="G39" s="851"/>
      <c r="H39" s="851"/>
      <c r="I39" s="851"/>
      <c r="J39" s="347"/>
      <c r="K39" s="347"/>
    </row>
    <row r="40" spans="1:12" s="333" customFormat="1">
      <c r="A40" s="346"/>
      <c r="J40" s="347"/>
      <c r="K40" s="347"/>
    </row>
    <row r="41" spans="1:12" s="333" customFormat="1">
      <c r="A41" s="346"/>
      <c r="J41" s="347"/>
      <c r="K41" s="347"/>
    </row>
    <row r="114" spans="2:3">
      <c r="B114" s="333"/>
      <c r="C114" s="333"/>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5"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sqref="A1:K1"/>
      <selection pane="bottomLeft" activeCell="A13" sqref="A13"/>
    </sheetView>
  </sheetViews>
  <sheetFormatPr defaultColWidth="9.6640625" defaultRowHeight="12.75"/>
  <cols>
    <col min="1" max="1" width="7.6640625" style="728" customWidth="1"/>
    <col min="2" max="2" width="32.88671875" style="728" customWidth="1"/>
    <col min="3" max="7" width="12.109375" style="728" customWidth="1"/>
    <col min="8" max="8" width="13.44140625" style="728" customWidth="1"/>
    <col min="9" max="9" width="12.6640625" style="728" customWidth="1"/>
    <col min="10" max="10" width="13.6640625" style="728" customWidth="1"/>
    <col min="11" max="256" width="9.6640625" style="728"/>
    <col min="257" max="257" width="7.6640625" style="728" customWidth="1"/>
    <col min="258" max="258" width="32.88671875" style="728" customWidth="1"/>
    <col min="259" max="259" width="9.21875" style="728" customWidth="1"/>
    <col min="260" max="260" width="6.5546875" style="728" customWidth="1"/>
    <col min="261" max="261" width="7.88671875" style="728" customWidth="1"/>
    <col min="262" max="262" width="8.109375" style="728" customWidth="1"/>
    <col min="263" max="263" width="9" style="728" customWidth="1"/>
    <col min="264" max="264" width="11.5546875" style="728" customWidth="1"/>
    <col min="265" max="265" width="12.6640625" style="728" customWidth="1"/>
    <col min="266" max="266" width="13.6640625" style="728" customWidth="1"/>
    <col min="267" max="512" width="9.6640625" style="728"/>
    <col min="513" max="513" width="7.6640625" style="728" customWidth="1"/>
    <col min="514" max="514" width="32.88671875" style="728" customWidth="1"/>
    <col min="515" max="515" width="9.21875" style="728" customWidth="1"/>
    <col min="516" max="516" width="6.5546875" style="728" customWidth="1"/>
    <col min="517" max="517" width="7.88671875" style="728" customWidth="1"/>
    <col min="518" max="518" width="8.109375" style="728" customWidth="1"/>
    <col min="519" max="519" width="9" style="728" customWidth="1"/>
    <col min="520" max="520" width="11.5546875" style="728" customWidth="1"/>
    <col min="521" max="521" width="12.6640625" style="728" customWidth="1"/>
    <col min="522" max="522" width="13.6640625" style="728" customWidth="1"/>
    <col min="523" max="768" width="9.6640625" style="728"/>
    <col min="769" max="769" width="7.6640625" style="728" customWidth="1"/>
    <col min="770" max="770" width="32.88671875" style="728" customWidth="1"/>
    <col min="771" max="771" width="9.21875" style="728" customWidth="1"/>
    <col min="772" max="772" width="6.5546875" style="728" customWidth="1"/>
    <col min="773" max="773" width="7.88671875" style="728" customWidth="1"/>
    <col min="774" max="774" width="8.109375" style="728" customWidth="1"/>
    <col min="775" max="775" width="9" style="728" customWidth="1"/>
    <col min="776" max="776" width="11.5546875" style="728" customWidth="1"/>
    <col min="777" max="777" width="12.6640625" style="728" customWidth="1"/>
    <col min="778" max="778" width="13.6640625" style="728" customWidth="1"/>
    <col min="779" max="1024" width="9.6640625" style="728"/>
    <col min="1025" max="1025" width="7.6640625" style="728" customWidth="1"/>
    <col min="1026" max="1026" width="32.88671875" style="728" customWidth="1"/>
    <col min="1027" max="1027" width="9.21875" style="728" customWidth="1"/>
    <col min="1028" max="1028" width="6.5546875" style="728" customWidth="1"/>
    <col min="1029" max="1029" width="7.88671875" style="728" customWidth="1"/>
    <col min="1030" max="1030" width="8.109375" style="728" customWidth="1"/>
    <col min="1031" max="1031" width="9" style="728" customWidth="1"/>
    <col min="1032" max="1032" width="11.5546875" style="728" customWidth="1"/>
    <col min="1033" max="1033" width="12.6640625" style="728" customWidth="1"/>
    <col min="1034" max="1034" width="13.6640625" style="728" customWidth="1"/>
    <col min="1035" max="1280" width="9.6640625" style="728"/>
    <col min="1281" max="1281" width="7.6640625" style="728" customWidth="1"/>
    <col min="1282" max="1282" width="32.88671875" style="728" customWidth="1"/>
    <col min="1283" max="1283" width="9.21875" style="728" customWidth="1"/>
    <col min="1284" max="1284" width="6.5546875" style="728" customWidth="1"/>
    <col min="1285" max="1285" width="7.88671875" style="728" customWidth="1"/>
    <col min="1286" max="1286" width="8.109375" style="728" customWidth="1"/>
    <col min="1287" max="1287" width="9" style="728" customWidth="1"/>
    <col min="1288" max="1288" width="11.5546875" style="728" customWidth="1"/>
    <col min="1289" max="1289" width="12.6640625" style="728" customWidth="1"/>
    <col min="1290" max="1290" width="13.6640625" style="728" customWidth="1"/>
    <col min="1291" max="1536" width="9.6640625" style="728"/>
    <col min="1537" max="1537" width="7.6640625" style="728" customWidth="1"/>
    <col min="1538" max="1538" width="32.88671875" style="728" customWidth="1"/>
    <col min="1539" max="1539" width="9.21875" style="728" customWidth="1"/>
    <col min="1540" max="1540" width="6.5546875" style="728" customWidth="1"/>
    <col min="1541" max="1541" width="7.88671875" style="728" customWidth="1"/>
    <col min="1542" max="1542" width="8.109375" style="728" customWidth="1"/>
    <col min="1543" max="1543" width="9" style="728" customWidth="1"/>
    <col min="1544" max="1544" width="11.5546875" style="728" customWidth="1"/>
    <col min="1545" max="1545" width="12.6640625" style="728" customWidth="1"/>
    <col min="1546" max="1546" width="13.6640625" style="728" customWidth="1"/>
    <col min="1547" max="1792" width="9.6640625" style="728"/>
    <col min="1793" max="1793" width="7.6640625" style="728" customWidth="1"/>
    <col min="1794" max="1794" width="32.88671875" style="728" customWidth="1"/>
    <col min="1795" max="1795" width="9.21875" style="728" customWidth="1"/>
    <col min="1796" max="1796" width="6.5546875" style="728" customWidth="1"/>
    <col min="1797" max="1797" width="7.88671875" style="728" customWidth="1"/>
    <col min="1798" max="1798" width="8.109375" style="728" customWidth="1"/>
    <col min="1799" max="1799" width="9" style="728" customWidth="1"/>
    <col min="1800" max="1800" width="11.5546875" style="728" customWidth="1"/>
    <col min="1801" max="1801" width="12.6640625" style="728" customWidth="1"/>
    <col min="1802" max="1802" width="13.6640625" style="728" customWidth="1"/>
    <col min="1803" max="2048" width="9.6640625" style="728"/>
    <col min="2049" max="2049" width="7.6640625" style="728" customWidth="1"/>
    <col min="2050" max="2050" width="32.88671875" style="728" customWidth="1"/>
    <col min="2051" max="2051" width="9.21875" style="728" customWidth="1"/>
    <col min="2052" max="2052" width="6.5546875" style="728" customWidth="1"/>
    <col min="2053" max="2053" width="7.88671875" style="728" customWidth="1"/>
    <col min="2054" max="2054" width="8.109375" style="728" customWidth="1"/>
    <col min="2055" max="2055" width="9" style="728" customWidth="1"/>
    <col min="2056" max="2056" width="11.5546875" style="728" customWidth="1"/>
    <col min="2057" max="2057" width="12.6640625" style="728" customWidth="1"/>
    <col min="2058" max="2058" width="13.6640625" style="728" customWidth="1"/>
    <col min="2059" max="2304" width="9.6640625" style="728"/>
    <col min="2305" max="2305" width="7.6640625" style="728" customWidth="1"/>
    <col min="2306" max="2306" width="32.88671875" style="728" customWidth="1"/>
    <col min="2307" max="2307" width="9.21875" style="728" customWidth="1"/>
    <col min="2308" max="2308" width="6.5546875" style="728" customWidth="1"/>
    <col min="2309" max="2309" width="7.88671875" style="728" customWidth="1"/>
    <col min="2310" max="2310" width="8.109375" style="728" customWidth="1"/>
    <col min="2311" max="2311" width="9" style="728" customWidth="1"/>
    <col min="2312" max="2312" width="11.5546875" style="728" customWidth="1"/>
    <col min="2313" max="2313" width="12.6640625" style="728" customWidth="1"/>
    <col min="2314" max="2314" width="13.6640625" style="728" customWidth="1"/>
    <col min="2315" max="2560" width="9.6640625" style="728"/>
    <col min="2561" max="2561" width="7.6640625" style="728" customWidth="1"/>
    <col min="2562" max="2562" width="32.88671875" style="728" customWidth="1"/>
    <col min="2563" max="2563" width="9.21875" style="728" customWidth="1"/>
    <col min="2564" max="2564" width="6.5546875" style="728" customWidth="1"/>
    <col min="2565" max="2565" width="7.88671875" style="728" customWidth="1"/>
    <col min="2566" max="2566" width="8.109375" style="728" customWidth="1"/>
    <col min="2567" max="2567" width="9" style="728" customWidth="1"/>
    <col min="2568" max="2568" width="11.5546875" style="728" customWidth="1"/>
    <col min="2569" max="2569" width="12.6640625" style="728" customWidth="1"/>
    <col min="2570" max="2570" width="13.6640625" style="728" customWidth="1"/>
    <col min="2571" max="2816" width="9.6640625" style="728"/>
    <col min="2817" max="2817" width="7.6640625" style="728" customWidth="1"/>
    <col min="2818" max="2818" width="32.88671875" style="728" customWidth="1"/>
    <col min="2819" max="2819" width="9.21875" style="728" customWidth="1"/>
    <col min="2820" max="2820" width="6.5546875" style="728" customWidth="1"/>
    <col min="2821" max="2821" width="7.88671875" style="728" customWidth="1"/>
    <col min="2822" max="2822" width="8.109375" style="728" customWidth="1"/>
    <col min="2823" max="2823" width="9" style="728" customWidth="1"/>
    <col min="2824" max="2824" width="11.5546875" style="728" customWidth="1"/>
    <col min="2825" max="2825" width="12.6640625" style="728" customWidth="1"/>
    <col min="2826" max="2826" width="13.6640625" style="728" customWidth="1"/>
    <col min="2827" max="3072" width="9.6640625" style="728"/>
    <col min="3073" max="3073" width="7.6640625" style="728" customWidth="1"/>
    <col min="3074" max="3074" width="32.88671875" style="728" customWidth="1"/>
    <col min="3075" max="3075" width="9.21875" style="728" customWidth="1"/>
    <col min="3076" max="3076" width="6.5546875" style="728" customWidth="1"/>
    <col min="3077" max="3077" width="7.88671875" style="728" customWidth="1"/>
    <col min="3078" max="3078" width="8.109375" style="728" customWidth="1"/>
    <col min="3079" max="3079" width="9" style="728" customWidth="1"/>
    <col min="3080" max="3080" width="11.5546875" style="728" customWidth="1"/>
    <col min="3081" max="3081" width="12.6640625" style="728" customWidth="1"/>
    <col min="3082" max="3082" width="13.6640625" style="728" customWidth="1"/>
    <col min="3083" max="3328" width="9.6640625" style="728"/>
    <col min="3329" max="3329" width="7.6640625" style="728" customWidth="1"/>
    <col min="3330" max="3330" width="32.88671875" style="728" customWidth="1"/>
    <col min="3331" max="3331" width="9.21875" style="728" customWidth="1"/>
    <col min="3332" max="3332" width="6.5546875" style="728" customWidth="1"/>
    <col min="3333" max="3333" width="7.88671875" style="728" customWidth="1"/>
    <col min="3334" max="3334" width="8.109375" style="728" customWidth="1"/>
    <col min="3335" max="3335" width="9" style="728" customWidth="1"/>
    <col min="3336" max="3336" width="11.5546875" style="728" customWidth="1"/>
    <col min="3337" max="3337" width="12.6640625" style="728" customWidth="1"/>
    <col min="3338" max="3338" width="13.6640625" style="728" customWidth="1"/>
    <col min="3339" max="3584" width="9.6640625" style="728"/>
    <col min="3585" max="3585" width="7.6640625" style="728" customWidth="1"/>
    <col min="3586" max="3586" width="32.88671875" style="728" customWidth="1"/>
    <col min="3587" max="3587" width="9.21875" style="728" customWidth="1"/>
    <col min="3588" max="3588" width="6.5546875" style="728" customWidth="1"/>
    <col min="3589" max="3589" width="7.88671875" style="728" customWidth="1"/>
    <col min="3590" max="3590" width="8.109375" style="728" customWidth="1"/>
    <col min="3591" max="3591" width="9" style="728" customWidth="1"/>
    <col min="3592" max="3592" width="11.5546875" style="728" customWidth="1"/>
    <col min="3593" max="3593" width="12.6640625" style="728" customWidth="1"/>
    <col min="3594" max="3594" width="13.6640625" style="728" customWidth="1"/>
    <col min="3595" max="3840" width="9.6640625" style="728"/>
    <col min="3841" max="3841" width="7.6640625" style="728" customWidth="1"/>
    <col min="3842" max="3842" width="32.88671875" style="728" customWidth="1"/>
    <col min="3843" max="3843" width="9.21875" style="728" customWidth="1"/>
    <col min="3844" max="3844" width="6.5546875" style="728" customWidth="1"/>
    <col min="3845" max="3845" width="7.88671875" style="728" customWidth="1"/>
    <col min="3846" max="3846" width="8.109375" style="728" customWidth="1"/>
    <col min="3847" max="3847" width="9" style="728" customWidth="1"/>
    <col min="3848" max="3848" width="11.5546875" style="728" customWidth="1"/>
    <col min="3849" max="3849" width="12.6640625" style="728" customWidth="1"/>
    <col min="3850" max="3850" width="13.6640625" style="728" customWidth="1"/>
    <col min="3851" max="4096" width="9.6640625" style="728"/>
    <col min="4097" max="4097" width="7.6640625" style="728" customWidth="1"/>
    <col min="4098" max="4098" width="32.88671875" style="728" customWidth="1"/>
    <col min="4099" max="4099" width="9.21875" style="728" customWidth="1"/>
    <col min="4100" max="4100" width="6.5546875" style="728" customWidth="1"/>
    <col min="4101" max="4101" width="7.88671875" style="728" customWidth="1"/>
    <col min="4102" max="4102" width="8.109375" style="728" customWidth="1"/>
    <col min="4103" max="4103" width="9" style="728" customWidth="1"/>
    <col min="4104" max="4104" width="11.5546875" style="728" customWidth="1"/>
    <col min="4105" max="4105" width="12.6640625" style="728" customWidth="1"/>
    <col min="4106" max="4106" width="13.6640625" style="728" customWidth="1"/>
    <col min="4107" max="4352" width="9.6640625" style="728"/>
    <col min="4353" max="4353" width="7.6640625" style="728" customWidth="1"/>
    <col min="4354" max="4354" width="32.88671875" style="728" customWidth="1"/>
    <col min="4355" max="4355" width="9.21875" style="728" customWidth="1"/>
    <col min="4356" max="4356" width="6.5546875" style="728" customWidth="1"/>
    <col min="4357" max="4357" width="7.88671875" style="728" customWidth="1"/>
    <col min="4358" max="4358" width="8.109375" style="728" customWidth="1"/>
    <col min="4359" max="4359" width="9" style="728" customWidth="1"/>
    <col min="4360" max="4360" width="11.5546875" style="728" customWidth="1"/>
    <col min="4361" max="4361" width="12.6640625" style="728" customWidth="1"/>
    <col min="4362" max="4362" width="13.6640625" style="728" customWidth="1"/>
    <col min="4363" max="4608" width="9.6640625" style="728"/>
    <col min="4609" max="4609" width="7.6640625" style="728" customWidth="1"/>
    <col min="4610" max="4610" width="32.88671875" style="728" customWidth="1"/>
    <col min="4611" max="4611" width="9.21875" style="728" customWidth="1"/>
    <col min="4612" max="4612" width="6.5546875" style="728" customWidth="1"/>
    <col min="4613" max="4613" width="7.88671875" style="728" customWidth="1"/>
    <col min="4614" max="4614" width="8.109375" style="728" customWidth="1"/>
    <col min="4615" max="4615" width="9" style="728" customWidth="1"/>
    <col min="4616" max="4616" width="11.5546875" style="728" customWidth="1"/>
    <col min="4617" max="4617" width="12.6640625" style="728" customWidth="1"/>
    <col min="4618" max="4618" width="13.6640625" style="728" customWidth="1"/>
    <col min="4619" max="4864" width="9.6640625" style="728"/>
    <col min="4865" max="4865" width="7.6640625" style="728" customWidth="1"/>
    <col min="4866" max="4866" width="32.88671875" style="728" customWidth="1"/>
    <col min="4867" max="4867" width="9.21875" style="728" customWidth="1"/>
    <col min="4868" max="4868" width="6.5546875" style="728" customWidth="1"/>
    <col min="4869" max="4869" width="7.88671875" style="728" customWidth="1"/>
    <col min="4870" max="4870" width="8.109375" style="728" customWidth="1"/>
    <col min="4871" max="4871" width="9" style="728" customWidth="1"/>
    <col min="4872" max="4872" width="11.5546875" style="728" customWidth="1"/>
    <col min="4873" max="4873" width="12.6640625" style="728" customWidth="1"/>
    <col min="4874" max="4874" width="13.6640625" style="728" customWidth="1"/>
    <col min="4875" max="5120" width="9.6640625" style="728"/>
    <col min="5121" max="5121" width="7.6640625" style="728" customWidth="1"/>
    <col min="5122" max="5122" width="32.88671875" style="728" customWidth="1"/>
    <col min="5123" max="5123" width="9.21875" style="728" customWidth="1"/>
    <col min="5124" max="5124" width="6.5546875" style="728" customWidth="1"/>
    <col min="5125" max="5125" width="7.88671875" style="728" customWidth="1"/>
    <col min="5126" max="5126" width="8.109375" style="728" customWidth="1"/>
    <col min="5127" max="5127" width="9" style="728" customWidth="1"/>
    <col min="5128" max="5128" width="11.5546875" style="728" customWidth="1"/>
    <col min="5129" max="5129" width="12.6640625" style="728" customWidth="1"/>
    <col min="5130" max="5130" width="13.6640625" style="728" customWidth="1"/>
    <col min="5131" max="5376" width="9.6640625" style="728"/>
    <col min="5377" max="5377" width="7.6640625" style="728" customWidth="1"/>
    <col min="5378" max="5378" width="32.88671875" style="728" customWidth="1"/>
    <col min="5379" max="5379" width="9.21875" style="728" customWidth="1"/>
    <col min="5380" max="5380" width="6.5546875" style="728" customWidth="1"/>
    <col min="5381" max="5381" width="7.88671875" style="728" customWidth="1"/>
    <col min="5382" max="5382" width="8.109375" style="728" customWidth="1"/>
    <col min="5383" max="5383" width="9" style="728" customWidth="1"/>
    <col min="5384" max="5384" width="11.5546875" style="728" customWidth="1"/>
    <col min="5385" max="5385" width="12.6640625" style="728" customWidth="1"/>
    <col min="5386" max="5386" width="13.6640625" style="728" customWidth="1"/>
    <col min="5387" max="5632" width="9.6640625" style="728"/>
    <col min="5633" max="5633" width="7.6640625" style="728" customWidth="1"/>
    <col min="5634" max="5634" width="32.88671875" style="728" customWidth="1"/>
    <col min="5635" max="5635" width="9.21875" style="728" customWidth="1"/>
    <col min="5636" max="5636" width="6.5546875" style="728" customWidth="1"/>
    <col min="5637" max="5637" width="7.88671875" style="728" customWidth="1"/>
    <col min="5638" max="5638" width="8.109375" style="728" customWidth="1"/>
    <col min="5639" max="5639" width="9" style="728" customWidth="1"/>
    <col min="5640" max="5640" width="11.5546875" style="728" customWidth="1"/>
    <col min="5641" max="5641" width="12.6640625" style="728" customWidth="1"/>
    <col min="5642" max="5642" width="13.6640625" style="728" customWidth="1"/>
    <col min="5643" max="5888" width="9.6640625" style="728"/>
    <col min="5889" max="5889" width="7.6640625" style="728" customWidth="1"/>
    <col min="5890" max="5890" width="32.88671875" style="728" customWidth="1"/>
    <col min="5891" max="5891" width="9.21875" style="728" customWidth="1"/>
    <col min="5892" max="5892" width="6.5546875" style="728" customWidth="1"/>
    <col min="5893" max="5893" width="7.88671875" style="728" customWidth="1"/>
    <col min="5894" max="5894" width="8.109375" style="728" customWidth="1"/>
    <col min="5895" max="5895" width="9" style="728" customWidth="1"/>
    <col min="5896" max="5896" width="11.5546875" style="728" customWidth="1"/>
    <col min="5897" max="5897" width="12.6640625" style="728" customWidth="1"/>
    <col min="5898" max="5898" width="13.6640625" style="728" customWidth="1"/>
    <col min="5899" max="6144" width="9.6640625" style="728"/>
    <col min="6145" max="6145" width="7.6640625" style="728" customWidth="1"/>
    <col min="6146" max="6146" width="32.88671875" style="728" customWidth="1"/>
    <col min="6147" max="6147" width="9.21875" style="728" customWidth="1"/>
    <col min="6148" max="6148" width="6.5546875" style="728" customWidth="1"/>
    <col min="6149" max="6149" width="7.88671875" style="728" customWidth="1"/>
    <col min="6150" max="6150" width="8.109375" style="728" customWidth="1"/>
    <col min="6151" max="6151" width="9" style="728" customWidth="1"/>
    <col min="6152" max="6152" width="11.5546875" style="728" customWidth="1"/>
    <col min="6153" max="6153" width="12.6640625" style="728" customWidth="1"/>
    <col min="6154" max="6154" width="13.6640625" style="728" customWidth="1"/>
    <col min="6155" max="6400" width="9.6640625" style="728"/>
    <col min="6401" max="6401" width="7.6640625" style="728" customWidth="1"/>
    <col min="6402" max="6402" width="32.88671875" style="728" customWidth="1"/>
    <col min="6403" max="6403" width="9.21875" style="728" customWidth="1"/>
    <col min="6404" max="6404" width="6.5546875" style="728" customWidth="1"/>
    <col min="6405" max="6405" width="7.88671875" style="728" customWidth="1"/>
    <col min="6406" max="6406" width="8.109375" style="728" customWidth="1"/>
    <col min="6407" max="6407" width="9" style="728" customWidth="1"/>
    <col min="6408" max="6408" width="11.5546875" style="728" customWidth="1"/>
    <col min="6409" max="6409" width="12.6640625" style="728" customWidth="1"/>
    <col min="6410" max="6410" width="13.6640625" style="728" customWidth="1"/>
    <col min="6411" max="6656" width="9.6640625" style="728"/>
    <col min="6657" max="6657" width="7.6640625" style="728" customWidth="1"/>
    <col min="6658" max="6658" width="32.88671875" style="728" customWidth="1"/>
    <col min="6659" max="6659" width="9.21875" style="728" customWidth="1"/>
    <col min="6660" max="6660" width="6.5546875" style="728" customWidth="1"/>
    <col min="6661" max="6661" width="7.88671875" style="728" customWidth="1"/>
    <col min="6662" max="6662" width="8.109375" style="728" customWidth="1"/>
    <col min="6663" max="6663" width="9" style="728" customWidth="1"/>
    <col min="6664" max="6664" width="11.5546875" style="728" customWidth="1"/>
    <col min="6665" max="6665" width="12.6640625" style="728" customWidth="1"/>
    <col min="6666" max="6666" width="13.6640625" style="728" customWidth="1"/>
    <col min="6667" max="6912" width="9.6640625" style="728"/>
    <col min="6913" max="6913" width="7.6640625" style="728" customWidth="1"/>
    <col min="6914" max="6914" width="32.88671875" style="728" customWidth="1"/>
    <col min="6915" max="6915" width="9.21875" style="728" customWidth="1"/>
    <col min="6916" max="6916" width="6.5546875" style="728" customWidth="1"/>
    <col min="6917" max="6917" width="7.88671875" style="728" customWidth="1"/>
    <col min="6918" max="6918" width="8.109375" style="728" customWidth="1"/>
    <col min="6919" max="6919" width="9" style="728" customWidth="1"/>
    <col min="6920" max="6920" width="11.5546875" style="728" customWidth="1"/>
    <col min="6921" max="6921" width="12.6640625" style="728" customWidth="1"/>
    <col min="6922" max="6922" width="13.6640625" style="728" customWidth="1"/>
    <col min="6923" max="7168" width="9.6640625" style="728"/>
    <col min="7169" max="7169" width="7.6640625" style="728" customWidth="1"/>
    <col min="7170" max="7170" width="32.88671875" style="728" customWidth="1"/>
    <col min="7171" max="7171" width="9.21875" style="728" customWidth="1"/>
    <col min="7172" max="7172" width="6.5546875" style="728" customWidth="1"/>
    <col min="7173" max="7173" width="7.88671875" style="728" customWidth="1"/>
    <col min="7174" max="7174" width="8.109375" style="728" customWidth="1"/>
    <col min="7175" max="7175" width="9" style="728" customWidth="1"/>
    <col min="7176" max="7176" width="11.5546875" style="728" customWidth="1"/>
    <col min="7177" max="7177" width="12.6640625" style="728" customWidth="1"/>
    <col min="7178" max="7178" width="13.6640625" style="728" customWidth="1"/>
    <col min="7179" max="7424" width="9.6640625" style="728"/>
    <col min="7425" max="7425" width="7.6640625" style="728" customWidth="1"/>
    <col min="7426" max="7426" width="32.88671875" style="728" customWidth="1"/>
    <col min="7427" max="7427" width="9.21875" style="728" customWidth="1"/>
    <col min="7428" max="7428" width="6.5546875" style="728" customWidth="1"/>
    <col min="7429" max="7429" width="7.88671875" style="728" customWidth="1"/>
    <col min="7430" max="7430" width="8.109375" style="728" customWidth="1"/>
    <col min="7431" max="7431" width="9" style="728" customWidth="1"/>
    <col min="7432" max="7432" width="11.5546875" style="728" customWidth="1"/>
    <col min="7433" max="7433" width="12.6640625" style="728" customWidth="1"/>
    <col min="7434" max="7434" width="13.6640625" style="728" customWidth="1"/>
    <col min="7435" max="7680" width="9.6640625" style="728"/>
    <col min="7681" max="7681" width="7.6640625" style="728" customWidth="1"/>
    <col min="7682" max="7682" width="32.88671875" style="728" customWidth="1"/>
    <col min="7683" max="7683" width="9.21875" style="728" customWidth="1"/>
    <col min="7684" max="7684" width="6.5546875" style="728" customWidth="1"/>
    <col min="7685" max="7685" width="7.88671875" style="728" customWidth="1"/>
    <col min="7686" max="7686" width="8.109375" style="728" customWidth="1"/>
    <col min="7687" max="7687" width="9" style="728" customWidth="1"/>
    <col min="7688" max="7688" width="11.5546875" style="728" customWidth="1"/>
    <col min="7689" max="7689" width="12.6640625" style="728" customWidth="1"/>
    <col min="7690" max="7690" width="13.6640625" style="728" customWidth="1"/>
    <col min="7691" max="7936" width="9.6640625" style="728"/>
    <col min="7937" max="7937" width="7.6640625" style="728" customWidth="1"/>
    <col min="7938" max="7938" width="32.88671875" style="728" customWidth="1"/>
    <col min="7939" max="7939" width="9.21875" style="728" customWidth="1"/>
    <col min="7940" max="7940" width="6.5546875" style="728" customWidth="1"/>
    <col min="7941" max="7941" width="7.88671875" style="728" customWidth="1"/>
    <col min="7942" max="7942" width="8.109375" style="728" customWidth="1"/>
    <col min="7943" max="7943" width="9" style="728" customWidth="1"/>
    <col min="7944" max="7944" width="11.5546875" style="728" customWidth="1"/>
    <col min="7945" max="7945" width="12.6640625" style="728" customWidth="1"/>
    <col min="7946" max="7946" width="13.6640625" style="728" customWidth="1"/>
    <col min="7947" max="8192" width="9.6640625" style="728"/>
    <col min="8193" max="8193" width="7.6640625" style="728" customWidth="1"/>
    <col min="8194" max="8194" width="32.88671875" style="728" customWidth="1"/>
    <col min="8195" max="8195" width="9.21875" style="728" customWidth="1"/>
    <col min="8196" max="8196" width="6.5546875" style="728" customWidth="1"/>
    <col min="8197" max="8197" width="7.88671875" style="728" customWidth="1"/>
    <col min="8198" max="8198" width="8.109375" style="728" customWidth="1"/>
    <col min="8199" max="8199" width="9" style="728" customWidth="1"/>
    <col min="8200" max="8200" width="11.5546875" style="728" customWidth="1"/>
    <col min="8201" max="8201" width="12.6640625" style="728" customWidth="1"/>
    <col min="8202" max="8202" width="13.6640625" style="728" customWidth="1"/>
    <col min="8203" max="8448" width="9.6640625" style="728"/>
    <col min="8449" max="8449" width="7.6640625" style="728" customWidth="1"/>
    <col min="8450" max="8450" width="32.88671875" style="728" customWidth="1"/>
    <col min="8451" max="8451" width="9.21875" style="728" customWidth="1"/>
    <col min="8452" max="8452" width="6.5546875" style="728" customWidth="1"/>
    <col min="8453" max="8453" width="7.88671875" style="728" customWidth="1"/>
    <col min="8454" max="8454" width="8.109375" style="728" customWidth="1"/>
    <col min="8455" max="8455" width="9" style="728" customWidth="1"/>
    <col min="8456" max="8456" width="11.5546875" style="728" customWidth="1"/>
    <col min="8457" max="8457" width="12.6640625" style="728" customWidth="1"/>
    <col min="8458" max="8458" width="13.6640625" style="728" customWidth="1"/>
    <col min="8459" max="8704" width="9.6640625" style="728"/>
    <col min="8705" max="8705" width="7.6640625" style="728" customWidth="1"/>
    <col min="8706" max="8706" width="32.88671875" style="728" customWidth="1"/>
    <col min="8707" max="8707" width="9.21875" style="728" customWidth="1"/>
    <col min="8708" max="8708" width="6.5546875" style="728" customWidth="1"/>
    <col min="8709" max="8709" width="7.88671875" style="728" customWidth="1"/>
    <col min="8710" max="8710" width="8.109375" style="728" customWidth="1"/>
    <col min="8711" max="8711" width="9" style="728" customWidth="1"/>
    <col min="8712" max="8712" width="11.5546875" style="728" customWidth="1"/>
    <col min="8713" max="8713" width="12.6640625" style="728" customWidth="1"/>
    <col min="8714" max="8714" width="13.6640625" style="728" customWidth="1"/>
    <col min="8715" max="8960" width="9.6640625" style="728"/>
    <col min="8961" max="8961" width="7.6640625" style="728" customWidth="1"/>
    <col min="8962" max="8962" width="32.88671875" style="728" customWidth="1"/>
    <col min="8963" max="8963" width="9.21875" style="728" customWidth="1"/>
    <col min="8964" max="8964" width="6.5546875" style="728" customWidth="1"/>
    <col min="8965" max="8965" width="7.88671875" style="728" customWidth="1"/>
    <col min="8966" max="8966" width="8.109375" style="728" customWidth="1"/>
    <col min="8967" max="8967" width="9" style="728" customWidth="1"/>
    <col min="8968" max="8968" width="11.5546875" style="728" customWidth="1"/>
    <col min="8969" max="8969" width="12.6640625" style="728" customWidth="1"/>
    <col min="8970" max="8970" width="13.6640625" style="728" customWidth="1"/>
    <col min="8971" max="9216" width="9.6640625" style="728"/>
    <col min="9217" max="9217" width="7.6640625" style="728" customWidth="1"/>
    <col min="9218" max="9218" width="32.88671875" style="728" customWidth="1"/>
    <col min="9219" max="9219" width="9.21875" style="728" customWidth="1"/>
    <col min="9220" max="9220" width="6.5546875" style="728" customWidth="1"/>
    <col min="9221" max="9221" width="7.88671875" style="728" customWidth="1"/>
    <col min="9222" max="9222" width="8.109375" style="728" customWidth="1"/>
    <col min="9223" max="9223" width="9" style="728" customWidth="1"/>
    <col min="9224" max="9224" width="11.5546875" style="728" customWidth="1"/>
    <col min="9225" max="9225" width="12.6640625" style="728" customWidth="1"/>
    <col min="9226" max="9226" width="13.6640625" style="728" customWidth="1"/>
    <col min="9227" max="9472" width="9.6640625" style="728"/>
    <col min="9473" max="9473" width="7.6640625" style="728" customWidth="1"/>
    <col min="9474" max="9474" width="32.88671875" style="728" customWidth="1"/>
    <col min="9475" max="9475" width="9.21875" style="728" customWidth="1"/>
    <col min="9476" max="9476" width="6.5546875" style="728" customWidth="1"/>
    <col min="9477" max="9477" width="7.88671875" style="728" customWidth="1"/>
    <col min="9478" max="9478" width="8.109375" style="728" customWidth="1"/>
    <col min="9479" max="9479" width="9" style="728" customWidth="1"/>
    <col min="9480" max="9480" width="11.5546875" style="728" customWidth="1"/>
    <col min="9481" max="9481" width="12.6640625" style="728" customWidth="1"/>
    <col min="9482" max="9482" width="13.6640625" style="728" customWidth="1"/>
    <col min="9483" max="9728" width="9.6640625" style="728"/>
    <col min="9729" max="9729" width="7.6640625" style="728" customWidth="1"/>
    <col min="9730" max="9730" width="32.88671875" style="728" customWidth="1"/>
    <col min="9731" max="9731" width="9.21875" style="728" customWidth="1"/>
    <col min="9732" max="9732" width="6.5546875" style="728" customWidth="1"/>
    <col min="9733" max="9733" width="7.88671875" style="728" customWidth="1"/>
    <col min="9734" max="9734" width="8.109375" style="728" customWidth="1"/>
    <col min="9735" max="9735" width="9" style="728" customWidth="1"/>
    <col min="9736" max="9736" width="11.5546875" style="728" customWidth="1"/>
    <col min="9737" max="9737" width="12.6640625" style="728" customWidth="1"/>
    <col min="9738" max="9738" width="13.6640625" style="728" customWidth="1"/>
    <col min="9739" max="9984" width="9.6640625" style="728"/>
    <col min="9985" max="9985" width="7.6640625" style="728" customWidth="1"/>
    <col min="9986" max="9986" width="32.88671875" style="728" customWidth="1"/>
    <col min="9987" max="9987" width="9.21875" style="728" customWidth="1"/>
    <col min="9988" max="9988" width="6.5546875" style="728" customWidth="1"/>
    <col min="9989" max="9989" width="7.88671875" style="728" customWidth="1"/>
    <col min="9990" max="9990" width="8.109375" style="728" customWidth="1"/>
    <col min="9991" max="9991" width="9" style="728" customWidth="1"/>
    <col min="9992" max="9992" width="11.5546875" style="728" customWidth="1"/>
    <col min="9993" max="9993" width="12.6640625" style="728" customWidth="1"/>
    <col min="9994" max="9994" width="13.6640625" style="728" customWidth="1"/>
    <col min="9995" max="10240" width="9.6640625" style="728"/>
    <col min="10241" max="10241" width="7.6640625" style="728" customWidth="1"/>
    <col min="10242" max="10242" width="32.88671875" style="728" customWidth="1"/>
    <col min="10243" max="10243" width="9.21875" style="728" customWidth="1"/>
    <col min="10244" max="10244" width="6.5546875" style="728" customWidth="1"/>
    <col min="10245" max="10245" width="7.88671875" style="728" customWidth="1"/>
    <col min="10246" max="10246" width="8.109375" style="728" customWidth="1"/>
    <col min="10247" max="10247" width="9" style="728" customWidth="1"/>
    <col min="10248" max="10248" width="11.5546875" style="728" customWidth="1"/>
    <col min="10249" max="10249" width="12.6640625" style="728" customWidth="1"/>
    <col min="10250" max="10250" width="13.6640625" style="728" customWidth="1"/>
    <col min="10251" max="10496" width="9.6640625" style="728"/>
    <col min="10497" max="10497" width="7.6640625" style="728" customWidth="1"/>
    <col min="10498" max="10498" width="32.88671875" style="728" customWidth="1"/>
    <col min="10499" max="10499" width="9.21875" style="728" customWidth="1"/>
    <col min="10500" max="10500" width="6.5546875" style="728" customWidth="1"/>
    <col min="10501" max="10501" width="7.88671875" style="728" customWidth="1"/>
    <col min="10502" max="10502" width="8.109375" style="728" customWidth="1"/>
    <col min="10503" max="10503" width="9" style="728" customWidth="1"/>
    <col min="10504" max="10504" width="11.5546875" style="728" customWidth="1"/>
    <col min="10505" max="10505" width="12.6640625" style="728" customWidth="1"/>
    <col min="10506" max="10506" width="13.6640625" style="728" customWidth="1"/>
    <col min="10507" max="10752" width="9.6640625" style="728"/>
    <col min="10753" max="10753" width="7.6640625" style="728" customWidth="1"/>
    <col min="10754" max="10754" width="32.88671875" style="728" customWidth="1"/>
    <col min="10755" max="10755" width="9.21875" style="728" customWidth="1"/>
    <col min="10756" max="10756" width="6.5546875" style="728" customWidth="1"/>
    <col min="10757" max="10757" width="7.88671875" style="728" customWidth="1"/>
    <col min="10758" max="10758" width="8.109375" style="728" customWidth="1"/>
    <col min="10759" max="10759" width="9" style="728" customWidth="1"/>
    <col min="10760" max="10760" width="11.5546875" style="728" customWidth="1"/>
    <col min="10761" max="10761" width="12.6640625" style="728" customWidth="1"/>
    <col min="10762" max="10762" width="13.6640625" style="728" customWidth="1"/>
    <col min="10763" max="11008" width="9.6640625" style="728"/>
    <col min="11009" max="11009" width="7.6640625" style="728" customWidth="1"/>
    <col min="11010" max="11010" width="32.88671875" style="728" customWidth="1"/>
    <col min="11011" max="11011" width="9.21875" style="728" customWidth="1"/>
    <col min="11012" max="11012" width="6.5546875" style="728" customWidth="1"/>
    <col min="11013" max="11013" width="7.88671875" style="728" customWidth="1"/>
    <col min="11014" max="11014" width="8.109375" style="728" customWidth="1"/>
    <col min="11015" max="11015" width="9" style="728" customWidth="1"/>
    <col min="11016" max="11016" width="11.5546875" style="728" customWidth="1"/>
    <col min="11017" max="11017" width="12.6640625" style="728" customWidth="1"/>
    <col min="11018" max="11018" width="13.6640625" style="728" customWidth="1"/>
    <col min="11019" max="11264" width="9.6640625" style="728"/>
    <col min="11265" max="11265" width="7.6640625" style="728" customWidth="1"/>
    <col min="11266" max="11266" width="32.88671875" style="728" customWidth="1"/>
    <col min="11267" max="11267" width="9.21875" style="728" customWidth="1"/>
    <col min="11268" max="11268" width="6.5546875" style="728" customWidth="1"/>
    <col min="11269" max="11269" width="7.88671875" style="728" customWidth="1"/>
    <col min="11270" max="11270" width="8.109375" style="728" customWidth="1"/>
    <col min="11271" max="11271" width="9" style="728" customWidth="1"/>
    <col min="11272" max="11272" width="11.5546875" style="728" customWidth="1"/>
    <col min="11273" max="11273" width="12.6640625" style="728" customWidth="1"/>
    <col min="11274" max="11274" width="13.6640625" style="728" customWidth="1"/>
    <col min="11275" max="11520" width="9.6640625" style="728"/>
    <col min="11521" max="11521" width="7.6640625" style="728" customWidth="1"/>
    <col min="11522" max="11522" width="32.88671875" style="728" customWidth="1"/>
    <col min="11523" max="11523" width="9.21875" style="728" customWidth="1"/>
    <col min="11524" max="11524" width="6.5546875" style="728" customWidth="1"/>
    <col min="11525" max="11525" width="7.88671875" style="728" customWidth="1"/>
    <col min="11526" max="11526" width="8.109375" style="728" customWidth="1"/>
    <col min="11527" max="11527" width="9" style="728" customWidth="1"/>
    <col min="11528" max="11528" width="11.5546875" style="728" customWidth="1"/>
    <col min="11529" max="11529" width="12.6640625" style="728" customWidth="1"/>
    <col min="11530" max="11530" width="13.6640625" style="728" customWidth="1"/>
    <col min="11531" max="11776" width="9.6640625" style="728"/>
    <col min="11777" max="11777" width="7.6640625" style="728" customWidth="1"/>
    <col min="11778" max="11778" width="32.88671875" style="728" customWidth="1"/>
    <col min="11779" max="11779" width="9.21875" style="728" customWidth="1"/>
    <col min="11780" max="11780" width="6.5546875" style="728" customWidth="1"/>
    <col min="11781" max="11781" width="7.88671875" style="728" customWidth="1"/>
    <col min="11782" max="11782" width="8.109375" style="728" customWidth="1"/>
    <col min="11783" max="11783" width="9" style="728" customWidth="1"/>
    <col min="11784" max="11784" width="11.5546875" style="728" customWidth="1"/>
    <col min="11785" max="11785" width="12.6640625" style="728" customWidth="1"/>
    <col min="11786" max="11786" width="13.6640625" style="728" customWidth="1"/>
    <col min="11787" max="12032" width="9.6640625" style="728"/>
    <col min="12033" max="12033" width="7.6640625" style="728" customWidth="1"/>
    <col min="12034" max="12034" width="32.88671875" style="728" customWidth="1"/>
    <col min="12035" max="12035" width="9.21875" style="728" customWidth="1"/>
    <col min="12036" max="12036" width="6.5546875" style="728" customWidth="1"/>
    <col min="12037" max="12037" width="7.88671875" style="728" customWidth="1"/>
    <col min="12038" max="12038" width="8.109375" style="728" customWidth="1"/>
    <col min="12039" max="12039" width="9" style="728" customWidth="1"/>
    <col min="12040" max="12040" width="11.5546875" style="728" customWidth="1"/>
    <col min="12041" max="12041" width="12.6640625" style="728" customWidth="1"/>
    <col min="12042" max="12042" width="13.6640625" style="728" customWidth="1"/>
    <col min="12043" max="12288" width="9.6640625" style="728"/>
    <col min="12289" max="12289" width="7.6640625" style="728" customWidth="1"/>
    <col min="12290" max="12290" width="32.88671875" style="728" customWidth="1"/>
    <col min="12291" max="12291" width="9.21875" style="728" customWidth="1"/>
    <col min="12292" max="12292" width="6.5546875" style="728" customWidth="1"/>
    <col min="12293" max="12293" width="7.88671875" style="728" customWidth="1"/>
    <col min="12294" max="12294" width="8.109375" style="728" customWidth="1"/>
    <col min="12295" max="12295" width="9" style="728" customWidth="1"/>
    <col min="12296" max="12296" width="11.5546875" style="728" customWidth="1"/>
    <col min="12297" max="12297" width="12.6640625" style="728" customWidth="1"/>
    <col min="12298" max="12298" width="13.6640625" style="728" customWidth="1"/>
    <col min="12299" max="12544" width="9.6640625" style="728"/>
    <col min="12545" max="12545" width="7.6640625" style="728" customWidth="1"/>
    <col min="12546" max="12546" width="32.88671875" style="728" customWidth="1"/>
    <col min="12547" max="12547" width="9.21875" style="728" customWidth="1"/>
    <col min="12548" max="12548" width="6.5546875" style="728" customWidth="1"/>
    <col min="12549" max="12549" width="7.88671875" style="728" customWidth="1"/>
    <col min="12550" max="12550" width="8.109375" style="728" customWidth="1"/>
    <col min="12551" max="12551" width="9" style="728" customWidth="1"/>
    <col min="12552" max="12552" width="11.5546875" style="728" customWidth="1"/>
    <col min="12553" max="12553" width="12.6640625" style="728" customWidth="1"/>
    <col min="12554" max="12554" width="13.6640625" style="728" customWidth="1"/>
    <col min="12555" max="12800" width="9.6640625" style="728"/>
    <col min="12801" max="12801" width="7.6640625" style="728" customWidth="1"/>
    <col min="12802" max="12802" width="32.88671875" style="728" customWidth="1"/>
    <col min="12803" max="12803" width="9.21875" style="728" customWidth="1"/>
    <col min="12804" max="12804" width="6.5546875" style="728" customWidth="1"/>
    <col min="12805" max="12805" width="7.88671875" style="728" customWidth="1"/>
    <col min="12806" max="12806" width="8.109375" style="728" customWidth="1"/>
    <col min="12807" max="12807" width="9" style="728" customWidth="1"/>
    <col min="12808" max="12808" width="11.5546875" style="728" customWidth="1"/>
    <col min="12809" max="12809" width="12.6640625" style="728" customWidth="1"/>
    <col min="12810" max="12810" width="13.6640625" style="728" customWidth="1"/>
    <col min="12811" max="13056" width="9.6640625" style="728"/>
    <col min="13057" max="13057" width="7.6640625" style="728" customWidth="1"/>
    <col min="13058" max="13058" width="32.88671875" style="728" customWidth="1"/>
    <col min="13059" max="13059" width="9.21875" style="728" customWidth="1"/>
    <col min="13060" max="13060" width="6.5546875" style="728" customWidth="1"/>
    <col min="13061" max="13061" width="7.88671875" style="728" customWidth="1"/>
    <col min="13062" max="13062" width="8.109375" style="728" customWidth="1"/>
    <col min="13063" max="13063" width="9" style="728" customWidth="1"/>
    <col min="13064" max="13064" width="11.5546875" style="728" customWidth="1"/>
    <col min="13065" max="13065" width="12.6640625" style="728" customWidth="1"/>
    <col min="13066" max="13066" width="13.6640625" style="728" customWidth="1"/>
    <col min="13067" max="13312" width="9.6640625" style="728"/>
    <col min="13313" max="13313" width="7.6640625" style="728" customWidth="1"/>
    <col min="13314" max="13314" width="32.88671875" style="728" customWidth="1"/>
    <col min="13315" max="13315" width="9.21875" style="728" customWidth="1"/>
    <col min="13316" max="13316" width="6.5546875" style="728" customWidth="1"/>
    <col min="13317" max="13317" width="7.88671875" style="728" customWidth="1"/>
    <col min="13318" max="13318" width="8.109375" style="728" customWidth="1"/>
    <col min="13319" max="13319" width="9" style="728" customWidth="1"/>
    <col min="13320" max="13320" width="11.5546875" style="728" customWidth="1"/>
    <col min="13321" max="13321" width="12.6640625" style="728" customWidth="1"/>
    <col min="13322" max="13322" width="13.6640625" style="728" customWidth="1"/>
    <col min="13323" max="13568" width="9.6640625" style="728"/>
    <col min="13569" max="13569" width="7.6640625" style="728" customWidth="1"/>
    <col min="13570" max="13570" width="32.88671875" style="728" customWidth="1"/>
    <col min="13571" max="13571" width="9.21875" style="728" customWidth="1"/>
    <col min="13572" max="13572" width="6.5546875" style="728" customWidth="1"/>
    <col min="13573" max="13573" width="7.88671875" style="728" customWidth="1"/>
    <col min="13574" max="13574" width="8.109375" style="728" customWidth="1"/>
    <col min="13575" max="13575" width="9" style="728" customWidth="1"/>
    <col min="13576" max="13576" width="11.5546875" style="728" customWidth="1"/>
    <col min="13577" max="13577" width="12.6640625" style="728" customWidth="1"/>
    <col min="13578" max="13578" width="13.6640625" style="728" customWidth="1"/>
    <col min="13579" max="13824" width="9.6640625" style="728"/>
    <col min="13825" max="13825" width="7.6640625" style="728" customWidth="1"/>
    <col min="13826" max="13826" width="32.88671875" style="728" customWidth="1"/>
    <col min="13827" max="13827" width="9.21875" style="728" customWidth="1"/>
    <col min="13828" max="13828" width="6.5546875" style="728" customWidth="1"/>
    <col min="13829" max="13829" width="7.88671875" style="728" customWidth="1"/>
    <col min="13830" max="13830" width="8.109375" style="728" customWidth="1"/>
    <col min="13831" max="13831" width="9" style="728" customWidth="1"/>
    <col min="13832" max="13832" width="11.5546875" style="728" customWidth="1"/>
    <col min="13833" max="13833" width="12.6640625" style="728" customWidth="1"/>
    <col min="13834" max="13834" width="13.6640625" style="728" customWidth="1"/>
    <col min="13835" max="14080" width="9.6640625" style="728"/>
    <col min="14081" max="14081" width="7.6640625" style="728" customWidth="1"/>
    <col min="14082" max="14082" width="32.88671875" style="728" customWidth="1"/>
    <col min="14083" max="14083" width="9.21875" style="728" customWidth="1"/>
    <col min="14084" max="14084" width="6.5546875" style="728" customWidth="1"/>
    <col min="14085" max="14085" width="7.88671875" style="728" customWidth="1"/>
    <col min="14086" max="14086" width="8.109375" style="728" customWidth="1"/>
    <col min="14087" max="14087" width="9" style="728" customWidth="1"/>
    <col min="14088" max="14088" width="11.5546875" style="728" customWidth="1"/>
    <col min="14089" max="14089" width="12.6640625" style="728" customWidth="1"/>
    <col min="14090" max="14090" width="13.6640625" style="728" customWidth="1"/>
    <col min="14091" max="14336" width="9.6640625" style="728"/>
    <col min="14337" max="14337" width="7.6640625" style="728" customWidth="1"/>
    <col min="14338" max="14338" width="32.88671875" style="728" customWidth="1"/>
    <col min="14339" max="14339" width="9.21875" style="728" customWidth="1"/>
    <col min="14340" max="14340" width="6.5546875" style="728" customWidth="1"/>
    <col min="14341" max="14341" width="7.88671875" style="728" customWidth="1"/>
    <col min="14342" max="14342" width="8.109375" style="728" customWidth="1"/>
    <col min="14343" max="14343" width="9" style="728" customWidth="1"/>
    <col min="14344" max="14344" width="11.5546875" style="728" customWidth="1"/>
    <col min="14345" max="14345" width="12.6640625" style="728" customWidth="1"/>
    <col min="14346" max="14346" width="13.6640625" style="728" customWidth="1"/>
    <col min="14347" max="14592" width="9.6640625" style="728"/>
    <col min="14593" max="14593" width="7.6640625" style="728" customWidth="1"/>
    <col min="14594" max="14594" width="32.88671875" style="728" customWidth="1"/>
    <col min="14595" max="14595" width="9.21875" style="728" customWidth="1"/>
    <col min="14596" max="14596" width="6.5546875" style="728" customWidth="1"/>
    <col min="14597" max="14597" width="7.88671875" style="728" customWidth="1"/>
    <col min="14598" max="14598" width="8.109375" style="728" customWidth="1"/>
    <col min="14599" max="14599" width="9" style="728" customWidth="1"/>
    <col min="14600" max="14600" width="11.5546875" style="728" customWidth="1"/>
    <col min="14601" max="14601" width="12.6640625" style="728" customWidth="1"/>
    <col min="14602" max="14602" width="13.6640625" style="728" customWidth="1"/>
    <col min="14603" max="14848" width="9.6640625" style="728"/>
    <col min="14849" max="14849" width="7.6640625" style="728" customWidth="1"/>
    <col min="14850" max="14850" width="32.88671875" style="728" customWidth="1"/>
    <col min="14851" max="14851" width="9.21875" style="728" customWidth="1"/>
    <col min="14852" max="14852" width="6.5546875" style="728" customWidth="1"/>
    <col min="14853" max="14853" width="7.88671875" style="728" customWidth="1"/>
    <col min="14854" max="14854" width="8.109375" style="728" customWidth="1"/>
    <col min="14855" max="14855" width="9" style="728" customWidth="1"/>
    <col min="14856" max="14856" width="11.5546875" style="728" customWidth="1"/>
    <col min="14857" max="14857" width="12.6640625" style="728" customWidth="1"/>
    <col min="14858" max="14858" width="13.6640625" style="728" customWidth="1"/>
    <col min="14859" max="15104" width="9.6640625" style="728"/>
    <col min="15105" max="15105" width="7.6640625" style="728" customWidth="1"/>
    <col min="15106" max="15106" width="32.88671875" style="728" customWidth="1"/>
    <col min="15107" max="15107" width="9.21875" style="728" customWidth="1"/>
    <col min="15108" max="15108" width="6.5546875" style="728" customWidth="1"/>
    <col min="15109" max="15109" width="7.88671875" style="728" customWidth="1"/>
    <col min="15110" max="15110" width="8.109375" style="728" customWidth="1"/>
    <col min="15111" max="15111" width="9" style="728" customWidth="1"/>
    <col min="15112" max="15112" width="11.5546875" style="728" customWidth="1"/>
    <col min="15113" max="15113" width="12.6640625" style="728" customWidth="1"/>
    <col min="15114" max="15114" width="13.6640625" style="728" customWidth="1"/>
    <col min="15115" max="15360" width="9.6640625" style="728"/>
    <col min="15361" max="15361" width="7.6640625" style="728" customWidth="1"/>
    <col min="15362" max="15362" width="32.88671875" style="728" customWidth="1"/>
    <col min="15363" max="15363" width="9.21875" style="728" customWidth="1"/>
    <col min="15364" max="15364" width="6.5546875" style="728" customWidth="1"/>
    <col min="15365" max="15365" width="7.88671875" style="728" customWidth="1"/>
    <col min="15366" max="15366" width="8.109375" style="728" customWidth="1"/>
    <col min="15367" max="15367" width="9" style="728" customWidth="1"/>
    <col min="15368" max="15368" width="11.5546875" style="728" customWidth="1"/>
    <col min="15369" max="15369" width="12.6640625" style="728" customWidth="1"/>
    <col min="15370" max="15370" width="13.6640625" style="728" customWidth="1"/>
    <col min="15371" max="15616" width="9.6640625" style="728"/>
    <col min="15617" max="15617" width="7.6640625" style="728" customWidth="1"/>
    <col min="15618" max="15618" width="32.88671875" style="728" customWidth="1"/>
    <col min="15619" max="15619" width="9.21875" style="728" customWidth="1"/>
    <col min="15620" max="15620" width="6.5546875" style="728" customWidth="1"/>
    <col min="15621" max="15621" width="7.88671875" style="728" customWidth="1"/>
    <col min="15622" max="15622" width="8.109375" style="728" customWidth="1"/>
    <col min="15623" max="15623" width="9" style="728" customWidth="1"/>
    <col min="15624" max="15624" width="11.5546875" style="728" customWidth="1"/>
    <col min="15625" max="15625" width="12.6640625" style="728" customWidth="1"/>
    <col min="15626" max="15626" width="13.6640625" style="728" customWidth="1"/>
    <col min="15627" max="15872" width="9.6640625" style="728"/>
    <col min="15873" max="15873" width="7.6640625" style="728" customWidth="1"/>
    <col min="15874" max="15874" width="32.88671875" style="728" customWidth="1"/>
    <col min="15875" max="15875" width="9.21875" style="728" customWidth="1"/>
    <col min="15876" max="15876" width="6.5546875" style="728" customWidth="1"/>
    <col min="15877" max="15877" width="7.88671875" style="728" customWidth="1"/>
    <col min="15878" max="15878" width="8.109375" style="728" customWidth="1"/>
    <col min="15879" max="15879" width="9" style="728" customWidth="1"/>
    <col min="15880" max="15880" width="11.5546875" style="728" customWidth="1"/>
    <col min="15881" max="15881" width="12.6640625" style="728" customWidth="1"/>
    <col min="15882" max="15882" width="13.6640625" style="728" customWidth="1"/>
    <col min="15883" max="16128" width="9.6640625" style="728"/>
    <col min="16129" max="16129" width="7.6640625" style="728" customWidth="1"/>
    <col min="16130" max="16130" width="32.88671875" style="728" customWidth="1"/>
    <col min="16131" max="16131" width="9.21875" style="728" customWidth="1"/>
    <col min="16132" max="16132" width="6.5546875" style="728" customWidth="1"/>
    <col min="16133" max="16133" width="7.88671875" style="728" customWidth="1"/>
    <col min="16134" max="16134" width="8.109375" style="728" customWidth="1"/>
    <col min="16135" max="16135" width="9" style="728" customWidth="1"/>
    <col min="16136" max="16136" width="11.5546875" style="728" customWidth="1"/>
    <col min="16137" max="16137" width="12.6640625" style="728" customWidth="1"/>
    <col min="16138" max="16138" width="13.6640625" style="728" customWidth="1"/>
    <col min="16139" max="16384" width="9.6640625" style="728"/>
  </cols>
  <sheetData>
    <row r="1" spans="1:10">
      <c r="A1" s="1014" t="s">
        <v>490</v>
      </c>
      <c r="B1" s="1014"/>
      <c r="C1" s="1014"/>
      <c r="D1" s="1014"/>
      <c r="E1" s="1014"/>
      <c r="F1" s="1014"/>
      <c r="G1" s="1014"/>
      <c r="H1" s="1014"/>
    </row>
    <row r="2" spans="1:10">
      <c r="A2" s="1043" t="s">
        <v>240</v>
      </c>
      <c r="B2" s="1043"/>
      <c r="C2" s="1043"/>
      <c r="D2" s="1043"/>
      <c r="E2" s="1043"/>
      <c r="F2" s="1043"/>
      <c r="G2" s="1043"/>
      <c r="H2" s="1043"/>
    </row>
    <row r="3" spans="1:10">
      <c r="A3" s="1044" t="str">
        <f>+'Attachment H-29A'!D5</f>
        <v>Transource Pennsylvania, LLC</v>
      </c>
      <c r="B3" s="1044"/>
      <c r="C3" s="1044"/>
      <c r="D3" s="1044"/>
      <c r="E3" s="1044"/>
      <c r="F3" s="1044"/>
      <c r="G3" s="1044"/>
      <c r="H3" s="1044"/>
    </row>
    <row r="4" spans="1:10">
      <c r="H4" s="729"/>
    </row>
    <row r="5" spans="1:10">
      <c r="H5" s="729"/>
    </row>
    <row r="7" spans="1:10">
      <c r="A7" s="1042"/>
      <c r="B7" s="1042"/>
      <c r="C7" s="1042"/>
      <c r="D7" s="1042"/>
      <c r="E7" s="1042"/>
      <c r="F7" s="1042"/>
      <c r="G7" s="1042"/>
      <c r="H7" s="1042"/>
    </row>
    <row r="8" spans="1:10">
      <c r="A8" s="1042" t="s">
        <v>415</v>
      </c>
      <c r="B8" s="1042"/>
      <c r="C8" s="1042"/>
      <c r="D8" s="1042"/>
      <c r="E8" s="1042"/>
      <c r="F8" s="1042"/>
      <c r="G8" s="1042"/>
      <c r="H8" s="1042"/>
    </row>
    <row r="9" spans="1:10">
      <c r="A9" s="1042" t="s">
        <v>416</v>
      </c>
      <c r="B9" s="1042"/>
      <c r="C9" s="1042"/>
      <c r="D9" s="1042"/>
      <c r="E9" s="1042"/>
      <c r="F9" s="1042"/>
      <c r="G9" s="1042"/>
      <c r="H9" s="1042"/>
    </row>
    <row r="10" spans="1:10">
      <c r="A10" s="1042" t="s">
        <v>641</v>
      </c>
      <c r="B10" s="1042"/>
      <c r="C10" s="1042"/>
      <c r="D10" s="1042"/>
      <c r="E10" s="1042"/>
      <c r="F10" s="1042"/>
      <c r="G10" s="1042"/>
      <c r="H10" s="1042"/>
    </row>
    <row r="11" spans="1:10">
      <c r="A11" s="730"/>
    </row>
    <row r="12" spans="1:10" ht="73.5" customHeight="1">
      <c r="C12" s="731" t="s">
        <v>335</v>
      </c>
      <c r="D12" s="731" t="s">
        <v>336</v>
      </c>
      <c r="E12" s="731" t="s">
        <v>337</v>
      </c>
      <c r="F12" s="731" t="s">
        <v>338</v>
      </c>
      <c r="G12" s="731" t="s">
        <v>339</v>
      </c>
      <c r="H12" s="731" t="s">
        <v>643</v>
      </c>
    </row>
    <row r="13" spans="1:10">
      <c r="A13" s="732" t="s">
        <v>340</v>
      </c>
    </row>
    <row r="14" spans="1:10">
      <c r="A14" s="732"/>
    </row>
    <row r="15" spans="1:10">
      <c r="A15" s="733" t="s">
        <v>417</v>
      </c>
      <c r="B15" s="728" t="s">
        <v>418</v>
      </c>
      <c r="C15" s="734">
        <v>15</v>
      </c>
      <c r="D15" s="735" t="s">
        <v>359</v>
      </c>
      <c r="E15" s="736">
        <v>0.05</v>
      </c>
      <c r="F15" s="736">
        <v>0.05</v>
      </c>
      <c r="G15" s="736">
        <f>E15-F15</f>
        <v>0</v>
      </c>
      <c r="H15" s="737">
        <f>(1-G15)/C15</f>
        <v>6.6666666666666666E-2</v>
      </c>
    </row>
    <row r="16" spans="1:10">
      <c r="A16" s="728" t="s">
        <v>342</v>
      </c>
      <c r="B16" s="728" t="s">
        <v>343</v>
      </c>
      <c r="C16" s="734">
        <v>62</v>
      </c>
      <c r="D16" s="735" t="s">
        <v>341</v>
      </c>
      <c r="E16" s="736">
        <v>0.05</v>
      </c>
      <c r="F16" s="736">
        <v>0.15</v>
      </c>
      <c r="G16" s="736">
        <f t="shared" ref="G16:G22" si="0">E16-F16</f>
        <v>-9.9999999999999992E-2</v>
      </c>
      <c r="H16" s="737">
        <f t="shared" ref="H16:H22" si="1">(1-G16)/C16</f>
        <v>1.7741935483870968E-2</v>
      </c>
      <c r="I16" s="738"/>
      <c r="J16" s="739"/>
    </row>
    <row r="17" spans="1:10">
      <c r="A17" s="728" t="s">
        <v>344</v>
      </c>
      <c r="B17" s="728" t="s">
        <v>345</v>
      </c>
      <c r="C17" s="734">
        <v>45</v>
      </c>
      <c r="D17" s="740" t="s">
        <v>419</v>
      </c>
      <c r="E17" s="736">
        <v>0.28000000000000003</v>
      </c>
      <c r="F17" s="736">
        <v>0.13</v>
      </c>
      <c r="G17" s="736">
        <f t="shared" si="0"/>
        <v>0.15000000000000002</v>
      </c>
      <c r="H17" s="737">
        <f t="shared" si="1"/>
        <v>1.8888888888888889E-2</v>
      </c>
      <c r="I17" s="738"/>
      <c r="J17" s="739"/>
    </row>
    <row r="18" spans="1:10">
      <c r="A18" s="728" t="s">
        <v>347</v>
      </c>
      <c r="B18" s="728" t="s">
        <v>348</v>
      </c>
      <c r="C18" s="734">
        <v>68</v>
      </c>
      <c r="D18" s="735" t="s">
        <v>353</v>
      </c>
      <c r="E18" s="736">
        <v>0.25</v>
      </c>
      <c r="F18" s="736">
        <v>0.35</v>
      </c>
      <c r="G18" s="736">
        <f t="shared" si="0"/>
        <v>-9.9999999999999978E-2</v>
      </c>
      <c r="H18" s="737">
        <f t="shared" si="1"/>
        <v>1.6176470588235296E-2</v>
      </c>
      <c r="I18" s="738"/>
      <c r="J18" s="739"/>
    </row>
    <row r="19" spans="1:10">
      <c r="A19" s="728" t="s">
        <v>349</v>
      </c>
      <c r="B19" s="728" t="s">
        <v>350</v>
      </c>
      <c r="C19" s="734">
        <v>42</v>
      </c>
      <c r="D19" s="740" t="s">
        <v>420</v>
      </c>
      <c r="E19" s="736">
        <v>0.05</v>
      </c>
      <c r="F19" s="736">
        <v>0.2</v>
      </c>
      <c r="G19" s="736">
        <f t="shared" si="0"/>
        <v>-0.15000000000000002</v>
      </c>
      <c r="H19" s="737">
        <f t="shared" si="1"/>
        <v>2.7380952380952377E-2</v>
      </c>
      <c r="I19" s="738"/>
      <c r="J19" s="739"/>
    </row>
    <row r="20" spans="1:10">
      <c r="A20" s="728" t="s">
        <v>351</v>
      </c>
      <c r="B20" s="728" t="s">
        <v>352</v>
      </c>
      <c r="C20" s="734">
        <v>64</v>
      </c>
      <c r="D20" s="740" t="s">
        <v>353</v>
      </c>
      <c r="E20" s="736">
        <v>0.3</v>
      </c>
      <c r="F20" s="736">
        <v>0.18</v>
      </c>
      <c r="G20" s="736">
        <f t="shared" si="0"/>
        <v>0.12</v>
      </c>
      <c r="H20" s="737">
        <f t="shared" si="1"/>
        <v>1.375E-2</v>
      </c>
      <c r="I20" s="738"/>
      <c r="J20" s="739"/>
    </row>
    <row r="21" spans="1:10">
      <c r="A21" s="741" t="s">
        <v>421</v>
      </c>
      <c r="B21" s="728" t="s">
        <v>422</v>
      </c>
      <c r="C21" s="734">
        <v>50</v>
      </c>
      <c r="D21" s="740" t="s">
        <v>346</v>
      </c>
      <c r="E21" s="736">
        <v>0</v>
      </c>
      <c r="F21" s="736">
        <v>0</v>
      </c>
      <c r="G21" s="736">
        <f t="shared" si="0"/>
        <v>0</v>
      </c>
      <c r="H21" s="737">
        <f t="shared" si="1"/>
        <v>0.02</v>
      </c>
      <c r="I21" s="738"/>
      <c r="J21" s="739"/>
    </row>
    <row r="22" spans="1:10">
      <c r="A22" s="742">
        <v>358</v>
      </c>
      <c r="B22" s="728" t="s">
        <v>354</v>
      </c>
      <c r="C22" s="734">
        <v>20</v>
      </c>
      <c r="D22" s="740" t="s">
        <v>423</v>
      </c>
      <c r="E22" s="736">
        <v>0</v>
      </c>
      <c r="F22" s="736">
        <v>0</v>
      </c>
      <c r="G22" s="736">
        <f t="shared" si="0"/>
        <v>0</v>
      </c>
      <c r="H22" s="737">
        <f t="shared" si="1"/>
        <v>0.05</v>
      </c>
      <c r="I22" s="738"/>
      <c r="J22" s="739"/>
    </row>
    <row r="23" spans="1:10">
      <c r="C23" s="734"/>
      <c r="D23" s="737"/>
      <c r="E23" s="736"/>
      <c r="F23" s="736"/>
      <c r="G23" s="736"/>
      <c r="H23" s="740"/>
      <c r="I23" s="743"/>
      <c r="J23" s="729"/>
    </row>
    <row r="24" spans="1:10" s="744" customFormat="1">
      <c r="A24" s="732" t="s">
        <v>355</v>
      </c>
      <c r="C24" s="745"/>
      <c r="D24" s="746"/>
      <c r="E24" s="747"/>
      <c r="F24" s="747"/>
      <c r="G24" s="747"/>
      <c r="H24" s="748"/>
    </row>
    <row r="25" spans="1:10" s="744" customFormat="1">
      <c r="A25" s="732"/>
      <c r="C25" s="745"/>
      <c r="D25" s="746"/>
      <c r="E25" s="747"/>
      <c r="F25" s="747"/>
      <c r="G25" s="747"/>
      <c r="H25" s="748"/>
    </row>
    <row r="26" spans="1:10">
      <c r="A26" s="728" t="s">
        <v>356</v>
      </c>
      <c r="B26" s="728" t="s">
        <v>343</v>
      </c>
      <c r="C26" s="734">
        <v>42</v>
      </c>
      <c r="D26" s="740" t="s">
        <v>359</v>
      </c>
      <c r="E26" s="736">
        <v>0.36</v>
      </c>
      <c r="F26" s="736">
        <v>0.11</v>
      </c>
      <c r="G26" s="736">
        <f t="shared" ref="G26:G34" si="2">E26-F26</f>
        <v>0.25</v>
      </c>
      <c r="H26" s="737">
        <f t="shared" ref="H26:H34" si="3">(1-G26)/C26</f>
        <v>1.7857142857142856E-2</v>
      </c>
      <c r="I26" s="738"/>
      <c r="J26" s="739"/>
    </row>
    <row r="27" spans="1:10">
      <c r="A27" s="728" t="s">
        <v>357</v>
      </c>
      <c r="B27" s="728" t="s">
        <v>358</v>
      </c>
      <c r="C27" s="734">
        <v>30</v>
      </c>
      <c r="D27" s="740" t="s">
        <v>359</v>
      </c>
      <c r="E27" s="736">
        <v>0</v>
      </c>
      <c r="F27" s="736">
        <v>0</v>
      </c>
      <c r="G27" s="736">
        <f t="shared" si="2"/>
        <v>0</v>
      </c>
      <c r="H27" s="737">
        <f t="shared" si="3"/>
        <v>3.3333333333333333E-2</v>
      </c>
      <c r="I27" s="738"/>
      <c r="J27" s="739"/>
    </row>
    <row r="28" spans="1:10">
      <c r="A28" s="749" t="s">
        <v>360</v>
      </c>
      <c r="B28" s="728" t="s">
        <v>361</v>
      </c>
      <c r="C28" s="734">
        <v>27</v>
      </c>
      <c r="D28" s="735" t="s">
        <v>359</v>
      </c>
      <c r="E28" s="736">
        <v>0</v>
      </c>
      <c r="F28" s="736">
        <v>0</v>
      </c>
      <c r="G28" s="736">
        <f t="shared" si="2"/>
        <v>0</v>
      </c>
      <c r="H28" s="737">
        <f t="shared" si="3"/>
        <v>3.7037037037037035E-2</v>
      </c>
      <c r="I28" s="738"/>
      <c r="J28" s="739"/>
    </row>
    <row r="29" spans="1:10">
      <c r="A29" s="728" t="s">
        <v>362</v>
      </c>
      <c r="B29" s="728" t="s">
        <v>363</v>
      </c>
      <c r="C29" s="734">
        <v>55</v>
      </c>
      <c r="D29" s="735" t="s">
        <v>359</v>
      </c>
      <c r="E29" s="736">
        <v>0</v>
      </c>
      <c r="F29" s="736">
        <v>0</v>
      </c>
      <c r="G29" s="736">
        <f t="shared" si="2"/>
        <v>0</v>
      </c>
      <c r="H29" s="737">
        <f t="shared" si="3"/>
        <v>1.8181818181818181E-2</v>
      </c>
      <c r="I29" s="738"/>
      <c r="J29" s="739"/>
    </row>
    <row r="30" spans="1:10">
      <c r="A30" s="728" t="s">
        <v>364</v>
      </c>
      <c r="B30" s="728" t="s">
        <v>365</v>
      </c>
      <c r="C30" s="734">
        <v>43</v>
      </c>
      <c r="D30" s="735" t="s">
        <v>359</v>
      </c>
      <c r="E30" s="736">
        <v>0</v>
      </c>
      <c r="F30" s="736">
        <v>0.1</v>
      </c>
      <c r="G30" s="736">
        <f t="shared" si="2"/>
        <v>-0.1</v>
      </c>
      <c r="H30" s="737">
        <f t="shared" si="3"/>
        <v>2.5581395348837212E-2</v>
      </c>
      <c r="I30" s="738"/>
      <c r="J30" s="739"/>
    </row>
    <row r="31" spans="1:10">
      <c r="A31" s="728" t="s">
        <v>366</v>
      </c>
      <c r="B31" s="728" t="s">
        <v>367</v>
      </c>
      <c r="C31" s="734">
        <v>37</v>
      </c>
      <c r="D31" s="735" t="s">
        <v>359</v>
      </c>
      <c r="E31" s="736">
        <v>0</v>
      </c>
      <c r="F31" s="736">
        <v>0</v>
      </c>
      <c r="G31" s="736">
        <f t="shared" si="2"/>
        <v>0</v>
      </c>
      <c r="H31" s="737">
        <f t="shared" si="3"/>
        <v>2.7027027027027029E-2</v>
      </c>
      <c r="I31" s="738"/>
      <c r="J31" s="739"/>
    </row>
    <row r="32" spans="1:10">
      <c r="A32" s="749" t="s">
        <v>368</v>
      </c>
      <c r="B32" s="728" t="s">
        <v>369</v>
      </c>
      <c r="C32" s="734">
        <v>25</v>
      </c>
      <c r="D32" s="735" t="s">
        <v>359</v>
      </c>
      <c r="E32" s="736">
        <v>0</v>
      </c>
      <c r="F32" s="736">
        <v>0</v>
      </c>
      <c r="G32" s="736">
        <f t="shared" si="2"/>
        <v>0</v>
      </c>
      <c r="H32" s="737">
        <f t="shared" si="3"/>
        <v>0.04</v>
      </c>
      <c r="I32" s="738"/>
      <c r="J32" s="739"/>
    </row>
    <row r="33" spans="1:10">
      <c r="A33" s="728" t="s">
        <v>370</v>
      </c>
      <c r="B33" s="728" t="s">
        <v>371</v>
      </c>
      <c r="C33" s="734">
        <v>24</v>
      </c>
      <c r="D33" s="735" t="s">
        <v>359</v>
      </c>
      <c r="E33" s="736">
        <v>0</v>
      </c>
      <c r="F33" s="736">
        <v>0.01</v>
      </c>
      <c r="G33" s="736">
        <f t="shared" si="2"/>
        <v>-0.01</v>
      </c>
      <c r="H33" s="737">
        <f t="shared" si="3"/>
        <v>4.2083333333333334E-2</v>
      </c>
      <c r="I33" s="738"/>
      <c r="J33" s="739"/>
    </row>
    <row r="34" spans="1:10">
      <c r="A34" s="728" t="s">
        <v>372</v>
      </c>
      <c r="B34" s="728" t="s">
        <v>373</v>
      </c>
      <c r="C34" s="734">
        <v>35</v>
      </c>
      <c r="D34" s="735" t="s">
        <v>359</v>
      </c>
      <c r="E34" s="736">
        <v>0</v>
      </c>
      <c r="F34" s="736">
        <v>0</v>
      </c>
      <c r="G34" s="736">
        <f t="shared" si="2"/>
        <v>0</v>
      </c>
      <c r="H34" s="737">
        <f t="shared" si="3"/>
        <v>2.8571428571428571E-2</v>
      </c>
      <c r="I34" s="738"/>
      <c r="J34" s="739"/>
    </row>
    <row r="35" spans="1:10">
      <c r="C35" s="750"/>
      <c r="E35" s="751"/>
      <c r="F35" s="751"/>
      <c r="G35" s="751"/>
    </row>
    <row r="36" spans="1:10">
      <c r="A36" s="732" t="s">
        <v>661</v>
      </c>
      <c r="C36" s="750"/>
      <c r="E36" s="751"/>
      <c r="F36" s="751"/>
      <c r="G36" s="751"/>
    </row>
    <row r="37" spans="1:10">
      <c r="A37" s="796">
        <v>303</v>
      </c>
      <c r="B37" s="728" t="s">
        <v>662</v>
      </c>
      <c r="C37" s="734">
        <v>5</v>
      </c>
      <c r="D37" s="752"/>
      <c r="E37" s="751"/>
      <c r="F37" s="751"/>
      <c r="G37" s="751"/>
      <c r="H37" s="737">
        <v>0.2</v>
      </c>
    </row>
    <row r="38" spans="1:10">
      <c r="C38" s="750"/>
      <c r="E38" s="751"/>
      <c r="F38" s="751"/>
      <c r="G38" s="751"/>
    </row>
    <row r="39" spans="1:10">
      <c r="A39" s="753" t="s">
        <v>525</v>
      </c>
      <c r="C39" s="750"/>
      <c r="E39" s="751"/>
      <c r="F39" s="751"/>
      <c r="G39" s="751"/>
    </row>
    <row r="40" spans="1:10" ht="39" customHeight="1">
      <c r="A40" s="754" t="s">
        <v>62</v>
      </c>
      <c r="B40" s="1041" t="s">
        <v>731</v>
      </c>
      <c r="C40" s="1041"/>
      <c r="D40" s="1041"/>
      <c r="E40" s="1041"/>
      <c r="F40" s="1041"/>
      <c r="G40" s="1041"/>
      <c r="H40" s="1041"/>
    </row>
    <row r="41" spans="1:10">
      <c r="A41" s="755" t="s">
        <v>63</v>
      </c>
      <c r="B41" s="756" t="s">
        <v>642</v>
      </c>
      <c r="C41" s="705"/>
      <c r="D41" s="705"/>
      <c r="E41" s="705"/>
      <c r="F41" s="705"/>
      <c r="G41" s="705"/>
      <c r="H41" s="705"/>
    </row>
    <row r="42" spans="1:10">
      <c r="A42" s="705"/>
      <c r="B42" s="705"/>
      <c r="C42" s="705"/>
      <c r="D42" s="705"/>
      <c r="E42" s="705"/>
      <c r="F42" s="705"/>
      <c r="G42" s="705"/>
      <c r="H42" s="705"/>
    </row>
    <row r="43" spans="1:10">
      <c r="C43" s="757"/>
      <c r="E43" s="751"/>
      <c r="F43" s="751"/>
      <c r="G43" s="751"/>
    </row>
    <row r="44" spans="1:10">
      <c r="C44" s="757"/>
      <c r="E44" s="751"/>
      <c r="F44" s="751"/>
      <c r="G44" s="751"/>
    </row>
    <row r="45" spans="1:10">
      <c r="C45" s="757"/>
      <c r="E45" s="751"/>
      <c r="F45" s="751"/>
      <c r="G45" s="751"/>
    </row>
    <row r="46" spans="1:10">
      <c r="C46" s="757"/>
      <c r="E46" s="751"/>
      <c r="F46" s="751"/>
      <c r="G46" s="751"/>
    </row>
    <row r="47" spans="1:10">
      <c r="C47" s="757"/>
      <c r="E47" s="751"/>
      <c r="F47" s="751"/>
      <c r="G47" s="751"/>
    </row>
    <row r="48" spans="1:10">
      <c r="C48" s="757"/>
      <c r="E48" s="751"/>
      <c r="F48" s="751"/>
      <c r="G48" s="751"/>
    </row>
    <row r="49" spans="3:7">
      <c r="C49" s="757"/>
      <c r="E49" s="751"/>
      <c r="F49" s="751"/>
      <c r="G49" s="751"/>
    </row>
    <row r="50" spans="3:7">
      <c r="C50" s="757"/>
      <c r="E50" s="751"/>
      <c r="F50" s="751"/>
      <c r="G50" s="751"/>
    </row>
    <row r="51" spans="3:7">
      <c r="C51" s="757"/>
      <c r="E51" s="751"/>
      <c r="F51" s="751"/>
      <c r="G51" s="751"/>
    </row>
    <row r="52" spans="3:7">
      <c r="E52" s="751"/>
      <c r="F52" s="751"/>
      <c r="G52" s="751"/>
    </row>
    <row r="53" spans="3:7">
      <c r="E53" s="751"/>
      <c r="F53" s="751"/>
      <c r="G53" s="751"/>
    </row>
    <row r="54" spans="3:7">
      <c r="E54" s="751"/>
      <c r="F54" s="751"/>
      <c r="G54" s="751"/>
    </row>
    <row r="55" spans="3:7">
      <c r="E55" s="751"/>
      <c r="F55" s="751"/>
      <c r="G55" s="751"/>
    </row>
    <row r="56" spans="3:7">
      <c r="E56" s="751"/>
      <c r="F56" s="751"/>
      <c r="G56" s="751"/>
    </row>
    <row r="57" spans="3:7">
      <c r="E57" s="751"/>
      <c r="F57" s="751"/>
      <c r="G57" s="751"/>
    </row>
    <row r="58" spans="3:7">
      <c r="E58" s="751"/>
      <c r="F58" s="751"/>
      <c r="G58" s="751"/>
    </row>
    <row r="59" spans="3:7">
      <c r="E59" s="751"/>
      <c r="F59" s="751"/>
      <c r="G59" s="751"/>
    </row>
    <row r="60" spans="3:7">
      <c r="E60" s="751"/>
      <c r="F60" s="751"/>
      <c r="G60" s="751"/>
    </row>
    <row r="61" spans="3:7">
      <c r="E61" s="751"/>
      <c r="F61" s="751"/>
      <c r="G61" s="751"/>
    </row>
    <row r="62" spans="3:7">
      <c r="E62" s="751"/>
      <c r="F62" s="751"/>
      <c r="G62" s="751"/>
    </row>
    <row r="63" spans="3:7">
      <c r="E63" s="751"/>
      <c r="F63" s="751"/>
      <c r="G63" s="751"/>
    </row>
    <row r="64" spans="3:7">
      <c r="E64" s="751"/>
      <c r="F64" s="751"/>
      <c r="G64" s="751"/>
    </row>
    <row r="65" spans="5:7">
      <c r="E65" s="751"/>
      <c r="F65" s="751"/>
      <c r="G65" s="751"/>
    </row>
    <row r="66" spans="5:7">
      <c r="E66" s="751"/>
      <c r="F66" s="751"/>
      <c r="G66" s="751"/>
    </row>
    <row r="67" spans="5:7">
      <c r="E67" s="751"/>
      <c r="F67" s="751"/>
      <c r="G67" s="751"/>
    </row>
    <row r="68" spans="5:7">
      <c r="E68" s="751"/>
      <c r="F68" s="751"/>
      <c r="G68" s="751"/>
    </row>
    <row r="69" spans="5:7">
      <c r="E69" s="751"/>
      <c r="F69" s="751"/>
      <c r="G69" s="751"/>
    </row>
    <row r="70" spans="5:7">
      <c r="E70" s="751"/>
      <c r="F70" s="751"/>
      <c r="G70" s="751"/>
    </row>
    <row r="71" spans="5:7">
      <c r="E71" s="751"/>
      <c r="F71" s="751"/>
      <c r="G71" s="751"/>
    </row>
    <row r="72" spans="5:7">
      <c r="E72" s="751"/>
      <c r="F72" s="751"/>
      <c r="G72" s="751"/>
    </row>
    <row r="73" spans="5:7">
      <c r="E73" s="751"/>
      <c r="F73" s="751"/>
      <c r="G73" s="751"/>
    </row>
    <row r="74" spans="5:7">
      <c r="E74" s="751"/>
      <c r="F74" s="751"/>
      <c r="G74" s="751"/>
    </row>
    <row r="75" spans="5:7">
      <c r="E75" s="751"/>
      <c r="F75" s="751"/>
      <c r="G75" s="751"/>
    </row>
    <row r="76" spans="5:7">
      <c r="E76" s="751"/>
      <c r="F76" s="751"/>
      <c r="G76" s="751"/>
    </row>
    <row r="77" spans="5:7">
      <c r="E77" s="751"/>
      <c r="F77" s="751"/>
      <c r="G77" s="751"/>
    </row>
    <row r="78" spans="5:7">
      <c r="E78" s="751"/>
      <c r="F78" s="751"/>
      <c r="G78" s="751"/>
    </row>
    <row r="79" spans="5:7">
      <c r="E79" s="751"/>
      <c r="F79" s="751"/>
      <c r="G79" s="751"/>
    </row>
    <row r="80" spans="5:7">
      <c r="E80" s="751"/>
      <c r="F80" s="751"/>
      <c r="G80" s="751"/>
    </row>
    <row r="81" spans="5:7">
      <c r="E81" s="751"/>
      <c r="F81" s="751"/>
      <c r="G81" s="751"/>
    </row>
    <row r="82" spans="5:7">
      <c r="E82" s="751"/>
      <c r="F82" s="751"/>
      <c r="G82" s="751"/>
    </row>
    <row r="83" spans="5:7">
      <c r="E83" s="751"/>
      <c r="F83" s="751"/>
      <c r="G83" s="751"/>
    </row>
    <row r="84" spans="5:7">
      <c r="E84" s="751"/>
      <c r="F84" s="751"/>
      <c r="G84" s="751"/>
    </row>
    <row r="85" spans="5:7">
      <c r="E85" s="751"/>
      <c r="F85" s="751"/>
      <c r="G85" s="751"/>
    </row>
    <row r="86" spans="5:7">
      <c r="E86" s="751"/>
      <c r="F86" s="751"/>
      <c r="G86" s="751"/>
    </row>
    <row r="87" spans="5:7">
      <c r="E87" s="751"/>
      <c r="F87" s="751"/>
      <c r="G87" s="751"/>
    </row>
    <row r="88" spans="5:7">
      <c r="E88" s="751"/>
      <c r="F88" s="751"/>
      <c r="G88" s="751"/>
    </row>
    <row r="89" spans="5:7">
      <c r="E89" s="751"/>
      <c r="F89" s="751"/>
      <c r="G89" s="751"/>
    </row>
    <row r="90" spans="5:7">
      <c r="E90" s="751"/>
      <c r="F90" s="751"/>
      <c r="G90" s="751"/>
    </row>
    <row r="91" spans="5:7">
      <c r="E91" s="751"/>
      <c r="F91" s="751"/>
      <c r="G91" s="751"/>
    </row>
    <row r="92" spans="5:7">
      <c r="E92" s="751"/>
      <c r="F92" s="751"/>
      <c r="G92" s="751"/>
    </row>
    <row r="93" spans="5:7">
      <c r="E93" s="751"/>
      <c r="F93" s="751"/>
      <c r="G93" s="751"/>
    </row>
    <row r="94" spans="5:7">
      <c r="E94" s="751"/>
      <c r="F94" s="751"/>
      <c r="G94" s="751"/>
    </row>
    <row r="95" spans="5:7">
      <c r="E95" s="751"/>
      <c r="F95" s="751"/>
      <c r="G95" s="751"/>
    </row>
    <row r="96" spans="5:7">
      <c r="E96" s="751"/>
      <c r="F96" s="751"/>
      <c r="G96" s="751"/>
    </row>
    <row r="97" spans="5:7">
      <c r="E97" s="751"/>
      <c r="F97" s="751"/>
      <c r="G97" s="751"/>
    </row>
    <row r="98" spans="5:7">
      <c r="E98" s="751"/>
      <c r="F98" s="751"/>
      <c r="G98" s="751"/>
    </row>
    <row r="99" spans="5:7">
      <c r="E99" s="751"/>
      <c r="F99" s="751"/>
      <c r="G99" s="751"/>
    </row>
    <row r="100" spans="5:7">
      <c r="E100" s="751"/>
      <c r="F100" s="751"/>
      <c r="G100" s="751"/>
    </row>
    <row r="101" spans="5:7">
      <c r="E101" s="751"/>
      <c r="F101" s="751"/>
      <c r="G101" s="751"/>
    </row>
    <row r="102" spans="5:7">
      <c r="E102" s="751"/>
      <c r="F102" s="751"/>
      <c r="G102" s="751"/>
    </row>
    <row r="103" spans="5:7">
      <c r="E103" s="751"/>
      <c r="F103" s="751"/>
      <c r="G103" s="751"/>
    </row>
    <row r="104" spans="5:7">
      <c r="E104" s="751"/>
      <c r="F104" s="751"/>
      <c r="G104" s="751"/>
    </row>
    <row r="105" spans="5:7">
      <c r="E105" s="751"/>
      <c r="F105" s="751"/>
      <c r="G105" s="751"/>
    </row>
    <row r="106" spans="5:7">
      <c r="E106" s="751"/>
      <c r="F106" s="751"/>
      <c r="G106" s="751"/>
    </row>
    <row r="107" spans="5:7">
      <c r="E107" s="751"/>
      <c r="F107" s="751"/>
      <c r="G107" s="751"/>
    </row>
    <row r="108" spans="5:7">
      <c r="E108" s="751"/>
      <c r="F108" s="751"/>
      <c r="G108" s="751"/>
    </row>
    <row r="109" spans="5:7">
      <c r="E109" s="751"/>
      <c r="F109" s="751"/>
      <c r="G109" s="751"/>
    </row>
    <row r="110" spans="5:7">
      <c r="E110" s="751"/>
      <c r="F110" s="751"/>
      <c r="G110" s="751"/>
    </row>
    <row r="111" spans="5:7">
      <c r="E111" s="751"/>
      <c r="F111" s="751"/>
      <c r="G111" s="751"/>
    </row>
    <row r="112" spans="5:7">
      <c r="E112" s="751"/>
      <c r="F112" s="751"/>
      <c r="G112" s="751"/>
    </row>
    <row r="113" spans="5:7">
      <c r="E113" s="751"/>
      <c r="F113" s="751"/>
      <c r="G113" s="751"/>
    </row>
    <row r="114" spans="5:7">
      <c r="E114" s="751"/>
      <c r="F114" s="751"/>
      <c r="G114" s="751"/>
    </row>
    <row r="115" spans="5:7">
      <c r="E115" s="751"/>
      <c r="F115" s="751"/>
      <c r="G115" s="751"/>
    </row>
    <row r="116" spans="5:7">
      <c r="E116" s="751"/>
      <c r="F116" s="751"/>
      <c r="G116" s="751"/>
    </row>
    <row r="117" spans="5:7">
      <c r="E117" s="751"/>
      <c r="F117" s="751"/>
      <c r="G117" s="751"/>
    </row>
    <row r="118" spans="5:7">
      <c r="E118" s="751"/>
      <c r="F118" s="751"/>
      <c r="G118" s="751"/>
    </row>
    <row r="119" spans="5:7">
      <c r="E119" s="751"/>
      <c r="F119" s="751"/>
      <c r="G119" s="751"/>
    </row>
    <row r="120" spans="5:7">
      <c r="E120" s="751"/>
      <c r="F120" s="751"/>
      <c r="G120" s="751"/>
    </row>
    <row r="121" spans="5:7">
      <c r="E121" s="751"/>
      <c r="F121" s="751"/>
      <c r="G121" s="751"/>
    </row>
    <row r="122" spans="5:7">
      <c r="E122" s="751"/>
      <c r="F122" s="751"/>
      <c r="G122" s="751"/>
    </row>
    <row r="123" spans="5:7">
      <c r="E123" s="751"/>
      <c r="F123" s="751"/>
      <c r="G123" s="751"/>
    </row>
    <row r="124" spans="5:7">
      <c r="E124" s="751"/>
      <c r="F124" s="751"/>
      <c r="G124" s="751"/>
    </row>
    <row r="125" spans="5:7">
      <c r="E125" s="751"/>
      <c r="F125" s="751"/>
      <c r="G125" s="751"/>
    </row>
    <row r="126" spans="5:7">
      <c r="E126" s="751"/>
      <c r="F126" s="751"/>
      <c r="G126" s="751"/>
    </row>
    <row r="127" spans="5:7">
      <c r="E127" s="751"/>
      <c r="F127" s="751"/>
      <c r="G127" s="751"/>
    </row>
    <row r="128" spans="5:7">
      <c r="E128" s="751"/>
      <c r="F128" s="751"/>
      <c r="G128" s="751"/>
    </row>
    <row r="129" spans="5:7">
      <c r="E129" s="751"/>
      <c r="F129" s="751"/>
      <c r="G129" s="751"/>
    </row>
    <row r="130" spans="5:7">
      <c r="E130" s="751"/>
      <c r="F130" s="751"/>
      <c r="G130" s="751"/>
    </row>
    <row r="131" spans="5:7">
      <c r="E131" s="751"/>
      <c r="F131" s="751"/>
      <c r="G131" s="751"/>
    </row>
    <row r="132" spans="5:7">
      <c r="E132" s="751"/>
      <c r="F132" s="751"/>
      <c r="G132" s="751"/>
    </row>
    <row r="133" spans="5:7">
      <c r="E133" s="751"/>
      <c r="F133" s="751"/>
      <c r="G133" s="751"/>
    </row>
    <row r="134" spans="5:7">
      <c r="E134" s="751"/>
      <c r="F134" s="751"/>
      <c r="G134" s="751"/>
    </row>
    <row r="135" spans="5:7">
      <c r="E135" s="751"/>
      <c r="F135" s="751"/>
      <c r="G135" s="751"/>
    </row>
    <row r="136" spans="5:7">
      <c r="E136" s="751"/>
      <c r="F136" s="751"/>
      <c r="G136" s="751"/>
    </row>
    <row r="137" spans="5:7">
      <c r="E137" s="751"/>
      <c r="F137" s="751"/>
      <c r="G137" s="751"/>
    </row>
    <row r="138" spans="5:7">
      <c r="E138" s="751"/>
      <c r="F138" s="751"/>
      <c r="G138" s="751"/>
    </row>
    <row r="139" spans="5:7">
      <c r="E139" s="751"/>
      <c r="F139" s="751"/>
      <c r="G139" s="751"/>
    </row>
    <row r="140" spans="5:7">
      <c r="E140" s="751"/>
      <c r="F140" s="751"/>
      <c r="G140" s="751"/>
    </row>
    <row r="141" spans="5:7">
      <c r="E141" s="751"/>
      <c r="F141" s="751"/>
      <c r="G141" s="751"/>
    </row>
    <row r="142" spans="5:7">
      <c r="E142" s="751"/>
      <c r="F142" s="751"/>
      <c r="G142" s="751"/>
    </row>
    <row r="143" spans="5:7">
      <c r="E143" s="751"/>
      <c r="F143" s="751"/>
      <c r="G143" s="751"/>
    </row>
    <row r="144" spans="5:7">
      <c r="E144" s="751"/>
      <c r="F144" s="751"/>
      <c r="G144" s="751"/>
    </row>
    <row r="145" spans="5:7">
      <c r="E145" s="751"/>
      <c r="F145" s="751"/>
      <c r="G145" s="751"/>
    </row>
    <row r="146" spans="5:7">
      <c r="E146" s="751"/>
      <c r="F146" s="751"/>
      <c r="G146" s="751"/>
    </row>
    <row r="147" spans="5:7">
      <c r="E147" s="751"/>
      <c r="F147" s="751"/>
      <c r="G147" s="751"/>
    </row>
    <row r="148" spans="5:7">
      <c r="E148" s="751"/>
      <c r="F148" s="751"/>
      <c r="G148" s="751"/>
    </row>
    <row r="149" spans="5:7">
      <c r="E149" s="751"/>
      <c r="F149" s="751"/>
      <c r="G149" s="751"/>
    </row>
    <row r="150" spans="5:7">
      <c r="E150" s="751"/>
      <c r="F150" s="751"/>
      <c r="G150" s="751"/>
    </row>
    <row r="151" spans="5:7">
      <c r="E151" s="751"/>
      <c r="F151" s="751"/>
      <c r="G151" s="751"/>
    </row>
    <row r="152" spans="5:7">
      <c r="E152" s="751"/>
      <c r="F152" s="751"/>
      <c r="G152" s="751"/>
    </row>
    <row r="153" spans="5:7">
      <c r="E153" s="751"/>
      <c r="F153" s="751"/>
      <c r="G153" s="751"/>
    </row>
    <row r="154" spans="5:7">
      <c r="E154" s="751"/>
      <c r="F154" s="751"/>
      <c r="G154" s="751"/>
    </row>
    <row r="155" spans="5:7">
      <c r="E155" s="751"/>
      <c r="F155" s="751"/>
      <c r="G155" s="751"/>
    </row>
    <row r="156" spans="5:7">
      <c r="E156" s="751"/>
      <c r="F156" s="751"/>
      <c r="G156" s="751"/>
    </row>
    <row r="157" spans="5:7">
      <c r="E157" s="751"/>
      <c r="F157" s="751"/>
      <c r="G157" s="751"/>
    </row>
    <row r="158" spans="5:7">
      <c r="E158" s="751"/>
      <c r="F158" s="751"/>
      <c r="G158" s="751"/>
    </row>
    <row r="159" spans="5:7">
      <c r="E159" s="751"/>
      <c r="F159" s="751"/>
      <c r="G159" s="751"/>
    </row>
    <row r="160" spans="5:7">
      <c r="E160" s="751"/>
      <c r="F160" s="751"/>
      <c r="G160" s="751"/>
    </row>
    <row r="161" spans="5:7">
      <c r="E161" s="751"/>
      <c r="F161" s="751"/>
      <c r="G161" s="751"/>
    </row>
    <row r="162" spans="5:7">
      <c r="E162" s="751"/>
      <c r="F162" s="751"/>
      <c r="G162" s="751"/>
    </row>
    <row r="163" spans="5:7">
      <c r="E163" s="751"/>
      <c r="F163" s="751"/>
      <c r="G163" s="751"/>
    </row>
    <row r="164" spans="5:7">
      <c r="E164" s="751"/>
      <c r="F164" s="751"/>
      <c r="G164" s="751"/>
    </row>
    <row r="165" spans="5:7">
      <c r="E165" s="751"/>
      <c r="F165" s="751"/>
      <c r="G165" s="751"/>
    </row>
    <row r="166" spans="5:7">
      <c r="E166" s="751"/>
      <c r="F166" s="751"/>
      <c r="G166" s="751"/>
    </row>
    <row r="167" spans="5:7">
      <c r="E167" s="751"/>
      <c r="F167" s="751"/>
      <c r="G167" s="751"/>
    </row>
    <row r="168" spans="5:7">
      <c r="E168" s="751"/>
      <c r="F168" s="751"/>
      <c r="G168" s="751"/>
    </row>
    <row r="169" spans="5:7">
      <c r="E169" s="751"/>
      <c r="F169" s="751"/>
      <c r="G169" s="751"/>
    </row>
    <row r="170" spans="5:7">
      <c r="E170" s="751"/>
      <c r="F170" s="751"/>
      <c r="G170" s="751"/>
    </row>
    <row r="171" spans="5:7">
      <c r="E171" s="751"/>
      <c r="F171" s="751"/>
      <c r="G171" s="751"/>
    </row>
    <row r="172" spans="5:7">
      <c r="E172" s="751"/>
      <c r="F172" s="751"/>
      <c r="G172" s="751"/>
    </row>
    <row r="173" spans="5:7">
      <c r="E173" s="751"/>
      <c r="F173" s="751"/>
      <c r="G173" s="751"/>
    </row>
    <row r="174" spans="5:7">
      <c r="E174" s="751"/>
      <c r="F174" s="751"/>
      <c r="G174" s="751"/>
    </row>
    <row r="175" spans="5:7">
      <c r="E175" s="751"/>
      <c r="F175" s="751"/>
      <c r="G175" s="751"/>
    </row>
    <row r="176" spans="5:7">
      <c r="E176" s="751"/>
      <c r="F176" s="751"/>
      <c r="G176" s="751"/>
    </row>
    <row r="177" spans="5:7">
      <c r="E177" s="751"/>
      <c r="F177" s="751"/>
      <c r="G177" s="751"/>
    </row>
    <row r="178" spans="5:7">
      <c r="E178" s="751"/>
      <c r="F178" s="751"/>
      <c r="G178" s="751"/>
    </row>
    <row r="179" spans="5:7">
      <c r="E179" s="751"/>
      <c r="F179" s="751"/>
      <c r="G179" s="751"/>
    </row>
    <row r="180" spans="5:7">
      <c r="E180" s="751"/>
      <c r="F180" s="751"/>
      <c r="G180" s="751"/>
    </row>
    <row r="181" spans="5:7">
      <c r="E181" s="751"/>
      <c r="F181" s="751"/>
      <c r="G181" s="751"/>
    </row>
    <row r="182" spans="5:7">
      <c r="E182" s="751"/>
      <c r="F182" s="751"/>
      <c r="G182" s="751"/>
    </row>
    <row r="183" spans="5:7">
      <c r="E183" s="751"/>
      <c r="F183" s="751"/>
      <c r="G183" s="751"/>
    </row>
    <row r="184" spans="5:7">
      <c r="E184" s="751"/>
      <c r="F184" s="751"/>
      <c r="G184" s="751"/>
    </row>
    <row r="185" spans="5:7">
      <c r="E185" s="751"/>
      <c r="F185" s="751"/>
      <c r="G185" s="751"/>
    </row>
    <row r="186" spans="5:7">
      <c r="E186" s="751"/>
      <c r="F186" s="751"/>
      <c r="G186" s="751"/>
    </row>
    <row r="187" spans="5:7">
      <c r="E187" s="751"/>
      <c r="F187" s="751"/>
      <c r="G187" s="751"/>
    </row>
    <row r="188" spans="5:7">
      <c r="E188" s="751"/>
      <c r="F188" s="751"/>
      <c r="G188" s="751"/>
    </row>
    <row r="189" spans="5:7">
      <c r="E189" s="751"/>
      <c r="F189" s="751"/>
      <c r="G189" s="751"/>
    </row>
    <row r="190" spans="5:7">
      <c r="E190" s="751"/>
      <c r="F190" s="751"/>
      <c r="G190" s="751"/>
    </row>
    <row r="191" spans="5:7">
      <c r="E191" s="751"/>
      <c r="F191" s="751"/>
      <c r="G191" s="751"/>
    </row>
    <row r="192" spans="5:7">
      <c r="E192" s="751"/>
      <c r="F192" s="751"/>
      <c r="G192" s="751"/>
    </row>
    <row r="193" spans="5:7">
      <c r="E193" s="751"/>
      <c r="F193" s="751"/>
      <c r="G193" s="751"/>
    </row>
    <row r="194" spans="5:7">
      <c r="E194" s="751"/>
      <c r="F194" s="751"/>
      <c r="G194" s="751"/>
    </row>
    <row r="195" spans="5:7">
      <c r="E195" s="751"/>
      <c r="F195" s="751"/>
      <c r="G195" s="751"/>
    </row>
    <row r="196" spans="5:7">
      <c r="E196" s="751"/>
      <c r="F196" s="751"/>
      <c r="G196" s="751"/>
    </row>
    <row r="197" spans="5:7">
      <c r="E197" s="751"/>
      <c r="F197" s="751"/>
      <c r="G197" s="751"/>
    </row>
    <row r="198" spans="5:7">
      <c r="E198" s="751"/>
      <c r="F198" s="751"/>
      <c r="G198" s="751"/>
    </row>
    <row r="199" spans="5:7">
      <c r="E199" s="751"/>
      <c r="F199" s="751"/>
      <c r="G199" s="751"/>
    </row>
    <row r="200" spans="5:7">
      <c r="E200" s="751"/>
      <c r="F200" s="751"/>
      <c r="G200" s="751"/>
    </row>
    <row r="201" spans="5:7">
      <c r="E201" s="751"/>
      <c r="F201" s="751"/>
      <c r="G201" s="751"/>
    </row>
    <row r="202" spans="5:7">
      <c r="E202" s="751"/>
      <c r="F202" s="751"/>
      <c r="G202" s="751"/>
    </row>
    <row r="203" spans="5:7">
      <c r="E203" s="751"/>
      <c r="F203" s="751"/>
      <c r="G203" s="751"/>
    </row>
    <row r="204" spans="5:7">
      <c r="E204" s="751"/>
      <c r="F204" s="751"/>
      <c r="G204" s="751"/>
    </row>
    <row r="205" spans="5:7">
      <c r="E205" s="751"/>
      <c r="F205" s="751"/>
      <c r="G205" s="751"/>
    </row>
    <row r="206" spans="5:7">
      <c r="E206" s="751"/>
      <c r="F206" s="751"/>
      <c r="G206" s="751"/>
    </row>
    <row r="207" spans="5:7">
      <c r="E207" s="751"/>
      <c r="F207" s="751"/>
      <c r="G207" s="751"/>
    </row>
    <row r="208" spans="5:7">
      <c r="E208" s="751"/>
      <c r="F208" s="751"/>
      <c r="G208" s="751"/>
    </row>
    <row r="209" spans="5:7">
      <c r="E209" s="751"/>
      <c r="F209" s="751"/>
      <c r="G209" s="751"/>
    </row>
    <row r="210" spans="5:7">
      <c r="E210" s="751"/>
      <c r="F210" s="751"/>
      <c r="G210" s="751"/>
    </row>
    <row r="211" spans="5:7">
      <c r="E211" s="751"/>
      <c r="F211" s="751"/>
      <c r="G211" s="751"/>
    </row>
    <row r="212" spans="5:7">
      <c r="E212" s="751"/>
      <c r="F212" s="751"/>
      <c r="G212" s="751"/>
    </row>
    <row r="213" spans="5:7">
      <c r="E213" s="751"/>
      <c r="F213" s="751"/>
      <c r="G213" s="751"/>
    </row>
    <row r="214" spans="5:7">
      <c r="E214" s="751"/>
      <c r="F214" s="751"/>
      <c r="G214" s="751"/>
    </row>
    <row r="215" spans="5:7">
      <c r="E215" s="751"/>
      <c r="F215" s="751"/>
      <c r="G215" s="751"/>
    </row>
    <row r="216" spans="5:7">
      <c r="E216" s="751"/>
      <c r="F216" s="751"/>
      <c r="G216" s="751"/>
    </row>
    <row r="217" spans="5:7">
      <c r="E217" s="751"/>
      <c r="F217" s="751"/>
      <c r="G217" s="751"/>
    </row>
    <row r="218" spans="5:7">
      <c r="E218" s="751"/>
      <c r="F218" s="751"/>
      <c r="G218" s="751"/>
    </row>
    <row r="219" spans="5:7">
      <c r="E219" s="751"/>
      <c r="F219" s="751"/>
      <c r="G219" s="751"/>
    </row>
    <row r="220" spans="5:7">
      <c r="E220" s="751"/>
      <c r="F220" s="751"/>
      <c r="G220" s="751"/>
    </row>
    <row r="221" spans="5:7">
      <c r="E221" s="751"/>
      <c r="F221" s="751"/>
      <c r="G221" s="751"/>
    </row>
    <row r="222" spans="5:7">
      <c r="E222" s="751"/>
      <c r="F222" s="751"/>
      <c r="G222" s="751"/>
    </row>
    <row r="223" spans="5:7">
      <c r="E223" s="751"/>
      <c r="F223" s="751"/>
      <c r="G223" s="751"/>
    </row>
    <row r="224" spans="5:7">
      <c r="E224" s="751"/>
      <c r="F224" s="751"/>
      <c r="G224" s="751"/>
    </row>
    <row r="225" spans="5:7">
      <c r="E225" s="751"/>
      <c r="F225" s="751"/>
      <c r="G225" s="751"/>
    </row>
    <row r="226" spans="5:7">
      <c r="E226" s="751"/>
      <c r="F226" s="751"/>
      <c r="G226" s="751"/>
    </row>
    <row r="227" spans="5:7">
      <c r="E227" s="751"/>
      <c r="F227" s="751"/>
      <c r="G227" s="751"/>
    </row>
    <row r="228" spans="5:7">
      <c r="E228" s="751"/>
      <c r="F228" s="751"/>
      <c r="G228" s="751"/>
    </row>
    <row r="229" spans="5:7">
      <c r="E229" s="751"/>
      <c r="F229" s="751"/>
      <c r="G229" s="751"/>
    </row>
    <row r="230" spans="5:7">
      <c r="E230" s="751"/>
      <c r="F230" s="751"/>
      <c r="G230" s="751"/>
    </row>
    <row r="231" spans="5:7">
      <c r="E231" s="751"/>
      <c r="F231" s="751"/>
      <c r="G231" s="751"/>
    </row>
    <row r="232" spans="5:7">
      <c r="E232" s="751"/>
      <c r="F232" s="751"/>
      <c r="G232" s="751"/>
    </row>
    <row r="233" spans="5:7">
      <c r="E233" s="751"/>
      <c r="F233" s="751"/>
      <c r="G233" s="751"/>
    </row>
    <row r="234" spans="5:7">
      <c r="E234" s="751"/>
      <c r="F234" s="751"/>
      <c r="G234" s="751"/>
    </row>
    <row r="235" spans="5:7">
      <c r="E235" s="751"/>
      <c r="F235" s="751"/>
      <c r="G235" s="751"/>
    </row>
    <row r="236" spans="5:7">
      <c r="E236" s="751"/>
      <c r="F236" s="751"/>
      <c r="G236" s="751"/>
    </row>
    <row r="237" spans="5:7">
      <c r="E237" s="751"/>
      <c r="F237" s="751"/>
      <c r="G237" s="751"/>
    </row>
    <row r="238" spans="5:7">
      <c r="E238" s="751"/>
      <c r="F238" s="751"/>
      <c r="G238" s="751"/>
    </row>
    <row r="239" spans="5:7">
      <c r="E239" s="751"/>
      <c r="F239" s="751"/>
      <c r="G239" s="751"/>
    </row>
    <row r="240" spans="5:7">
      <c r="E240" s="751"/>
      <c r="F240" s="751"/>
      <c r="G240" s="751"/>
    </row>
    <row r="241" spans="5:7">
      <c r="E241" s="751"/>
      <c r="F241" s="751"/>
      <c r="G241" s="751"/>
    </row>
    <row r="242" spans="5:7">
      <c r="E242" s="751"/>
      <c r="F242" s="751"/>
      <c r="G242" s="751"/>
    </row>
    <row r="243" spans="5:7">
      <c r="E243" s="751"/>
      <c r="F243" s="751"/>
      <c r="G243" s="751"/>
    </row>
    <row r="244" spans="5:7">
      <c r="E244" s="751"/>
      <c r="F244" s="751"/>
      <c r="G244" s="751"/>
    </row>
    <row r="245" spans="5:7">
      <c r="E245" s="751"/>
      <c r="F245" s="751"/>
      <c r="G245" s="751"/>
    </row>
    <row r="246" spans="5:7">
      <c r="E246" s="751"/>
      <c r="F246" s="751"/>
      <c r="G246" s="751"/>
    </row>
    <row r="247" spans="5:7">
      <c r="E247" s="751"/>
      <c r="F247" s="751"/>
      <c r="G247" s="751"/>
    </row>
    <row r="248" spans="5:7">
      <c r="E248" s="751"/>
      <c r="F248" s="751"/>
      <c r="G248" s="751"/>
    </row>
    <row r="249" spans="5:7">
      <c r="E249" s="751"/>
      <c r="F249" s="751"/>
      <c r="G249" s="751"/>
    </row>
    <row r="250" spans="5:7">
      <c r="E250" s="751"/>
      <c r="F250" s="751"/>
      <c r="G250" s="751"/>
    </row>
    <row r="251" spans="5:7">
      <c r="E251" s="751"/>
      <c r="F251" s="751"/>
      <c r="G251" s="751"/>
    </row>
    <row r="252" spans="5:7">
      <c r="E252" s="751"/>
      <c r="F252" s="751"/>
      <c r="G252" s="751"/>
    </row>
    <row r="253" spans="5:7">
      <c r="E253" s="751"/>
      <c r="F253" s="751"/>
      <c r="G253" s="751"/>
    </row>
    <row r="254" spans="5:7">
      <c r="E254" s="751"/>
      <c r="F254" s="751"/>
      <c r="G254" s="751"/>
    </row>
    <row r="255" spans="5:7">
      <c r="E255" s="751"/>
      <c r="F255" s="751"/>
      <c r="G255" s="751"/>
    </row>
    <row r="256" spans="5:7">
      <c r="E256" s="751"/>
      <c r="F256" s="751"/>
      <c r="G256" s="751"/>
    </row>
    <row r="257" spans="5:7">
      <c r="E257" s="751"/>
      <c r="F257" s="751"/>
      <c r="G257" s="751"/>
    </row>
    <row r="258" spans="5:7">
      <c r="E258" s="751"/>
      <c r="F258" s="751"/>
      <c r="G258" s="751"/>
    </row>
    <row r="259" spans="5:7">
      <c r="E259" s="751"/>
      <c r="F259" s="751"/>
      <c r="G259" s="751"/>
    </row>
    <row r="260" spans="5:7">
      <c r="E260" s="751"/>
      <c r="F260" s="751"/>
      <c r="G260" s="751"/>
    </row>
    <row r="261" spans="5:7">
      <c r="E261" s="751"/>
      <c r="F261" s="751"/>
      <c r="G261" s="751"/>
    </row>
    <row r="262" spans="5:7">
      <c r="E262" s="751"/>
      <c r="F262" s="751"/>
      <c r="G262" s="751"/>
    </row>
    <row r="263" spans="5:7">
      <c r="E263" s="751"/>
      <c r="F263" s="751"/>
      <c r="G263" s="751"/>
    </row>
    <row r="264" spans="5:7">
      <c r="E264" s="751"/>
      <c r="F264" s="751"/>
      <c r="G264" s="751"/>
    </row>
    <row r="265" spans="5:7">
      <c r="E265" s="751"/>
      <c r="F265" s="751"/>
      <c r="G265" s="751"/>
    </row>
    <row r="266" spans="5:7">
      <c r="E266" s="751"/>
      <c r="F266" s="751"/>
      <c r="G266" s="751"/>
    </row>
    <row r="267" spans="5:7">
      <c r="E267" s="751"/>
      <c r="F267" s="751"/>
      <c r="G267" s="751"/>
    </row>
    <row r="268" spans="5:7">
      <c r="E268" s="751"/>
      <c r="F268" s="751"/>
      <c r="G268" s="751"/>
    </row>
    <row r="269" spans="5:7">
      <c r="E269" s="751"/>
      <c r="F269" s="751"/>
      <c r="G269" s="751"/>
    </row>
    <row r="270" spans="5:7">
      <c r="E270" s="751"/>
      <c r="F270" s="751"/>
      <c r="G270" s="751"/>
    </row>
    <row r="271" spans="5:7">
      <c r="E271" s="751"/>
      <c r="F271" s="751"/>
      <c r="G271" s="751"/>
    </row>
    <row r="272" spans="5:7">
      <c r="E272" s="751"/>
      <c r="F272" s="751"/>
      <c r="G272" s="751"/>
    </row>
    <row r="273" spans="5:7">
      <c r="E273" s="751"/>
      <c r="F273" s="751"/>
      <c r="G273" s="751"/>
    </row>
    <row r="274" spans="5:7">
      <c r="E274" s="751"/>
      <c r="F274" s="751"/>
      <c r="G274" s="751"/>
    </row>
    <row r="275" spans="5:7">
      <c r="E275" s="751"/>
      <c r="F275" s="751"/>
      <c r="G275" s="751"/>
    </row>
    <row r="276" spans="5:7">
      <c r="E276" s="751"/>
      <c r="F276" s="751"/>
      <c r="G276" s="751"/>
    </row>
    <row r="277" spans="5:7">
      <c r="E277" s="751"/>
      <c r="F277" s="751"/>
      <c r="G277" s="751"/>
    </row>
    <row r="278" spans="5:7">
      <c r="E278" s="751"/>
      <c r="F278" s="751"/>
      <c r="G278" s="751"/>
    </row>
    <row r="279" spans="5:7">
      <c r="E279" s="751"/>
      <c r="F279" s="751"/>
      <c r="G279" s="751"/>
    </row>
    <row r="280" spans="5:7">
      <c r="E280" s="751"/>
      <c r="F280" s="751"/>
      <c r="G280" s="751"/>
    </row>
    <row r="281" spans="5:7">
      <c r="E281" s="751"/>
      <c r="F281" s="751"/>
      <c r="G281" s="751"/>
    </row>
    <row r="282" spans="5:7">
      <c r="E282" s="751"/>
      <c r="F282" s="751"/>
      <c r="G282" s="751"/>
    </row>
    <row r="283" spans="5:7">
      <c r="E283" s="751"/>
      <c r="F283" s="751"/>
      <c r="G283" s="751"/>
    </row>
    <row r="284" spans="5:7">
      <c r="E284" s="751"/>
      <c r="F284" s="751"/>
      <c r="G284" s="751"/>
    </row>
    <row r="285" spans="5:7">
      <c r="E285" s="751"/>
      <c r="F285" s="751"/>
      <c r="G285" s="751"/>
    </row>
    <row r="286" spans="5:7">
      <c r="E286" s="751"/>
      <c r="F286" s="751"/>
      <c r="G286" s="751"/>
    </row>
    <row r="287" spans="5:7">
      <c r="E287" s="751"/>
      <c r="F287" s="751"/>
      <c r="G287" s="751"/>
    </row>
    <row r="288" spans="5:7">
      <c r="E288" s="751"/>
      <c r="F288" s="751"/>
      <c r="G288" s="751"/>
    </row>
    <row r="289" spans="5:7">
      <c r="E289" s="751"/>
      <c r="F289" s="751"/>
      <c r="G289" s="751"/>
    </row>
    <row r="290" spans="5:7">
      <c r="E290" s="751"/>
      <c r="F290" s="751"/>
      <c r="G290" s="751"/>
    </row>
    <row r="291" spans="5:7">
      <c r="E291" s="751"/>
      <c r="F291" s="751"/>
      <c r="G291" s="751"/>
    </row>
    <row r="292" spans="5:7">
      <c r="E292" s="751"/>
      <c r="F292" s="751"/>
      <c r="G292" s="751"/>
    </row>
    <row r="293" spans="5:7">
      <c r="E293" s="751"/>
      <c r="F293" s="751"/>
      <c r="G293" s="751"/>
    </row>
    <row r="294" spans="5:7">
      <c r="E294" s="751"/>
      <c r="F294" s="751"/>
      <c r="G294" s="751"/>
    </row>
    <row r="295" spans="5:7">
      <c r="E295" s="751"/>
      <c r="F295" s="751"/>
      <c r="G295" s="751"/>
    </row>
    <row r="296" spans="5:7">
      <c r="E296" s="751"/>
      <c r="F296" s="751"/>
      <c r="G296" s="751"/>
    </row>
    <row r="297" spans="5:7">
      <c r="E297" s="751"/>
      <c r="F297" s="751"/>
      <c r="G297" s="751"/>
    </row>
    <row r="298" spans="5:7">
      <c r="E298" s="751"/>
      <c r="F298" s="751"/>
      <c r="G298" s="751"/>
    </row>
    <row r="299" spans="5:7">
      <c r="E299" s="751"/>
      <c r="F299" s="751"/>
      <c r="G299" s="751"/>
    </row>
    <row r="300" spans="5:7">
      <c r="E300" s="751"/>
      <c r="F300" s="751"/>
      <c r="G300" s="751"/>
    </row>
    <row r="301" spans="5:7">
      <c r="E301" s="751"/>
      <c r="F301" s="751"/>
      <c r="G301" s="751"/>
    </row>
    <row r="302" spans="5:7">
      <c r="E302" s="751"/>
      <c r="F302" s="751"/>
      <c r="G302" s="751"/>
    </row>
    <row r="303" spans="5:7">
      <c r="E303" s="751"/>
      <c r="F303" s="751"/>
      <c r="G303" s="751"/>
    </row>
    <row r="304" spans="5:7">
      <c r="E304" s="751"/>
      <c r="F304" s="751"/>
      <c r="G304" s="751"/>
    </row>
    <row r="305" spans="5:7">
      <c r="E305" s="751"/>
      <c r="F305" s="751"/>
      <c r="G305" s="751"/>
    </row>
    <row r="306" spans="5:7">
      <c r="E306" s="751"/>
      <c r="F306" s="751"/>
      <c r="G306" s="751"/>
    </row>
    <row r="307" spans="5:7">
      <c r="E307" s="751"/>
      <c r="F307" s="751"/>
      <c r="G307" s="751"/>
    </row>
    <row r="308" spans="5:7">
      <c r="E308" s="751"/>
      <c r="F308" s="751"/>
      <c r="G308" s="751"/>
    </row>
    <row r="309" spans="5:7">
      <c r="E309" s="751"/>
      <c r="F309" s="751"/>
      <c r="G309" s="751"/>
    </row>
    <row r="310" spans="5:7">
      <c r="E310" s="751"/>
      <c r="F310" s="751"/>
      <c r="G310" s="751"/>
    </row>
    <row r="311" spans="5:7">
      <c r="E311" s="751"/>
      <c r="F311" s="751"/>
      <c r="G311" s="751"/>
    </row>
    <row r="312" spans="5:7">
      <c r="E312" s="751"/>
      <c r="F312" s="751"/>
      <c r="G312" s="751"/>
    </row>
    <row r="313" spans="5:7">
      <c r="E313" s="751"/>
      <c r="F313" s="751"/>
      <c r="G313" s="751"/>
    </row>
    <row r="314" spans="5:7">
      <c r="E314" s="751"/>
      <c r="F314" s="751"/>
      <c r="G314" s="751"/>
    </row>
    <row r="315" spans="5:7">
      <c r="E315" s="751"/>
      <c r="F315" s="751"/>
      <c r="G315" s="751"/>
    </row>
    <row r="316" spans="5:7">
      <c r="E316" s="751"/>
      <c r="F316" s="751"/>
      <c r="G316" s="751"/>
    </row>
    <row r="317" spans="5:7">
      <c r="E317" s="751"/>
      <c r="F317" s="751"/>
      <c r="G317" s="751"/>
    </row>
    <row r="318" spans="5:7">
      <c r="E318" s="751"/>
      <c r="F318" s="751"/>
      <c r="G318" s="751"/>
    </row>
    <row r="319" spans="5:7">
      <c r="E319" s="751"/>
      <c r="F319" s="751"/>
      <c r="G319" s="751"/>
    </row>
    <row r="320" spans="5:7">
      <c r="E320" s="751"/>
      <c r="F320" s="751"/>
      <c r="G320" s="751"/>
    </row>
    <row r="321" spans="5:7">
      <c r="E321" s="751"/>
      <c r="F321" s="751"/>
      <c r="G321" s="751"/>
    </row>
    <row r="322" spans="5:7">
      <c r="E322" s="751"/>
      <c r="F322" s="751"/>
      <c r="G322" s="751"/>
    </row>
    <row r="323" spans="5:7">
      <c r="E323" s="751"/>
      <c r="F323" s="751"/>
      <c r="G323" s="751"/>
    </row>
    <row r="324" spans="5:7">
      <c r="E324" s="751"/>
      <c r="F324" s="751"/>
      <c r="G324" s="751"/>
    </row>
    <row r="325" spans="5:7">
      <c r="E325" s="751"/>
      <c r="F325" s="751"/>
      <c r="G325" s="751"/>
    </row>
    <row r="326" spans="5:7">
      <c r="E326" s="751"/>
      <c r="F326" s="751"/>
      <c r="G326" s="751"/>
    </row>
    <row r="327" spans="5:7">
      <c r="E327" s="751"/>
      <c r="F327" s="751"/>
      <c r="G327" s="751"/>
    </row>
    <row r="328" spans="5:7">
      <c r="E328" s="751"/>
      <c r="F328" s="751"/>
      <c r="G328" s="751"/>
    </row>
    <row r="329" spans="5:7">
      <c r="E329" s="751"/>
      <c r="F329" s="751"/>
      <c r="G329" s="751"/>
    </row>
    <row r="330" spans="5:7">
      <c r="E330" s="751"/>
      <c r="F330" s="751"/>
      <c r="G330" s="751"/>
    </row>
    <row r="331" spans="5:7">
      <c r="E331" s="751"/>
      <c r="F331" s="751"/>
      <c r="G331" s="751"/>
    </row>
    <row r="332" spans="5:7">
      <c r="E332" s="751"/>
      <c r="F332" s="751"/>
      <c r="G332" s="751"/>
    </row>
    <row r="333" spans="5:7">
      <c r="E333" s="751"/>
      <c r="F333" s="751"/>
      <c r="G333" s="751"/>
    </row>
    <row r="334" spans="5:7">
      <c r="E334" s="751"/>
      <c r="F334" s="751"/>
      <c r="G334" s="751"/>
    </row>
    <row r="335" spans="5:7">
      <c r="E335" s="751"/>
      <c r="F335" s="751"/>
      <c r="G335" s="751"/>
    </row>
    <row r="336" spans="5:7">
      <c r="E336" s="751"/>
      <c r="F336" s="751"/>
      <c r="G336" s="751"/>
    </row>
    <row r="337" spans="5:7">
      <c r="E337" s="751"/>
      <c r="F337" s="751"/>
      <c r="G337" s="751"/>
    </row>
    <row r="338" spans="5:7">
      <c r="E338" s="751"/>
      <c r="F338" s="751"/>
      <c r="G338" s="751"/>
    </row>
    <row r="339" spans="5:7">
      <c r="E339" s="751"/>
      <c r="F339" s="751"/>
      <c r="G339" s="751"/>
    </row>
    <row r="340" spans="5:7">
      <c r="E340" s="751"/>
      <c r="F340" s="751"/>
      <c r="G340" s="751"/>
    </row>
    <row r="341" spans="5:7">
      <c r="E341" s="751"/>
      <c r="F341" s="751"/>
      <c r="G341" s="751"/>
    </row>
    <row r="342" spans="5:7">
      <c r="E342" s="751"/>
      <c r="F342" s="751"/>
      <c r="G342" s="751"/>
    </row>
    <row r="343" spans="5:7">
      <c r="E343" s="751"/>
      <c r="F343" s="751"/>
      <c r="G343" s="751"/>
    </row>
    <row r="344" spans="5:7">
      <c r="E344" s="751"/>
      <c r="F344" s="751"/>
      <c r="G344" s="751"/>
    </row>
    <row r="345" spans="5:7">
      <c r="E345" s="751"/>
      <c r="F345" s="751"/>
      <c r="G345" s="751"/>
    </row>
    <row r="346" spans="5:7">
      <c r="E346" s="751"/>
      <c r="F346" s="751"/>
      <c r="G346" s="751"/>
    </row>
    <row r="347" spans="5:7">
      <c r="E347" s="751"/>
      <c r="F347" s="751"/>
      <c r="G347" s="751"/>
    </row>
    <row r="348" spans="5:7">
      <c r="E348" s="751"/>
      <c r="F348" s="751"/>
      <c r="G348" s="751"/>
    </row>
    <row r="349" spans="5:7">
      <c r="E349" s="751"/>
      <c r="F349" s="751"/>
      <c r="G349" s="751"/>
    </row>
    <row r="350" spans="5:7">
      <c r="E350" s="751"/>
      <c r="F350" s="751"/>
      <c r="G350" s="751"/>
    </row>
    <row r="351" spans="5:7">
      <c r="E351" s="751"/>
      <c r="F351" s="751"/>
      <c r="G351" s="751"/>
    </row>
    <row r="352" spans="5:7">
      <c r="E352" s="751"/>
      <c r="F352" s="751"/>
      <c r="G352" s="751"/>
    </row>
    <row r="353" spans="5:7">
      <c r="E353" s="751"/>
      <c r="F353" s="751"/>
      <c r="G353" s="751"/>
    </row>
    <row r="354" spans="5:7">
      <c r="E354" s="751"/>
      <c r="F354" s="751"/>
      <c r="G354" s="751"/>
    </row>
    <row r="355" spans="5:7">
      <c r="E355" s="751"/>
      <c r="F355" s="751"/>
      <c r="G355" s="751"/>
    </row>
    <row r="356" spans="5:7">
      <c r="E356" s="751"/>
      <c r="F356" s="751"/>
      <c r="G356" s="751"/>
    </row>
    <row r="357" spans="5:7">
      <c r="E357" s="751"/>
      <c r="F357" s="751"/>
      <c r="G357" s="751"/>
    </row>
    <row r="358" spans="5:7">
      <c r="E358" s="751"/>
      <c r="F358" s="751"/>
      <c r="G358" s="751"/>
    </row>
    <row r="359" spans="5:7">
      <c r="E359" s="751"/>
      <c r="F359" s="751"/>
      <c r="G359" s="751"/>
    </row>
    <row r="360" spans="5:7">
      <c r="E360" s="751"/>
      <c r="F360" s="751"/>
      <c r="G360" s="751"/>
    </row>
    <row r="361" spans="5:7">
      <c r="E361" s="751"/>
      <c r="F361" s="751"/>
      <c r="G361" s="751"/>
    </row>
    <row r="362" spans="5:7">
      <c r="E362" s="751"/>
      <c r="F362" s="751"/>
      <c r="G362" s="751"/>
    </row>
    <row r="363" spans="5:7">
      <c r="E363" s="751"/>
      <c r="F363" s="751"/>
      <c r="G363" s="751"/>
    </row>
    <row r="364" spans="5:7">
      <c r="E364" s="751"/>
      <c r="F364" s="751"/>
      <c r="G364" s="751"/>
    </row>
    <row r="365" spans="5:7">
      <c r="E365" s="751"/>
      <c r="F365" s="751"/>
      <c r="G365" s="751"/>
    </row>
    <row r="366" spans="5:7">
      <c r="E366" s="751"/>
      <c r="F366" s="751"/>
      <c r="G366" s="751"/>
    </row>
    <row r="367" spans="5:7">
      <c r="E367" s="751"/>
      <c r="F367" s="751"/>
      <c r="G367" s="751"/>
    </row>
    <row r="368" spans="5:7">
      <c r="E368" s="751"/>
      <c r="F368" s="751"/>
      <c r="G368" s="751"/>
    </row>
    <row r="369" spans="5:7">
      <c r="E369" s="751"/>
      <c r="F369" s="751"/>
      <c r="G369" s="751"/>
    </row>
    <row r="370" spans="5:7">
      <c r="E370" s="751"/>
      <c r="F370" s="751"/>
      <c r="G370" s="751"/>
    </row>
    <row r="371" spans="5:7">
      <c r="E371" s="751"/>
      <c r="F371" s="751"/>
      <c r="G371" s="751"/>
    </row>
    <row r="372" spans="5:7">
      <c r="E372" s="751"/>
      <c r="F372" s="751"/>
      <c r="G372" s="751"/>
    </row>
    <row r="373" spans="5:7">
      <c r="E373" s="751"/>
      <c r="F373" s="751"/>
      <c r="G373" s="751"/>
    </row>
    <row r="374" spans="5:7">
      <c r="E374" s="751"/>
      <c r="F374" s="751"/>
      <c r="G374" s="751"/>
    </row>
    <row r="375" spans="5:7">
      <c r="E375" s="751"/>
      <c r="F375" s="751"/>
      <c r="G375" s="751"/>
    </row>
    <row r="376" spans="5:7">
      <c r="E376" s="751"/>
      <c r="F376" s="751"/>
      <c r="G376" s="751"/>
    </row>
    <row r="377" spans="5:7">
      <c r="E377" s="751"/>
      <c r="F377" s="751"/>
      <c r="G377" s="751"/>
    </row>
    <row r="378" spans="5:7">
      <c r="E378" s="751"/>
      <c r="F378" s="751"/>
      <c r="G378" s="751"/>
    </row>
    <row r="379" spans="5:7">
      <c r="E379" s="751"/>
      <c r="F379" s="751"/>
      <c r="G379" s="751"/>
    </row>
    <row r="380" spans="5:7">
      <c r="E380" s="751"/>
      <c r="F380" s="751"/>
      <c r="G380" s="751"/>
    </row>
    <row r="381" spans="5:7">
      <c r="E381" s="751"/>
      <c r="F381" s="751"/>
      <c r="G381" s="751"/>
    </row>
    <row r="382" spans="5:7">
      <c r="E382" s="751"/>
      <c r="F382" s="751"/>
      <c r="G382" s="751"/>
    </row>
    <row r="383" spans="5:7">
      <c r="E383" s="751"/>
      <c r="F383" s="751"/>
      <c r="G383" s="751"/>
    </row>
    <row r="384" spans="5:7">
      <c r="E384" s="751"/>
      <c r="F384" s="751"/>
      <c r="G384" s="751"/>
    </row>
    <row r="385" spans="5:7">
      <c r="E385" s="751"/>
      <c r="F385" s="751"/>
      <c r="G385" s="751"/>
    </row>
    <row r="386" spans="5:7">
      <c r="E386" s="751"/>
      <c r="F386" s="751"/>
      <c r="G386" s="751"/>
    </row>
    <row r="387" spans="5:7">
      <c r="E387" s="751"/>
      <c r="F387" s="751"/>
      <c r="G387" s="751"/>
    </row>
    <row r="388" spans="5:7">
      <c r="E388" s="751"/>
      <c r="F388" s="751"/>
      <c r="G388" s="751"/>
    </row>
    <row r="389" spans="5:7">
      <c r="E389" s="751"/>
      <c r="F389" s="751"/>
      <c r="G389" s="751"/>
    </row>
    <row r="390" spans="5:7">
      <c r="E390" s="751"/>
      <c r="F390" s="751"/>
      <c r="G390" s="751"/>
    </row>
    <row r="391" spans="5:7">
      <c r="E391" s="751"/>
      <c r="F391" s="751"/>
      <c r="G391" s="751"/>
    </row>
    <row r="392" spans="5:7">
      <c r="E392" s="751"/>
      <c r="F392" s="751"/>
      <c r="G392" s="751"/>
    </row>
    <row r="393" spans="5:7">
      <c r="E393" s="751"/>
      <c r="F393" s="751"/>
      <c r="G393" s="751"/>
    </row>
    <row r="394" spans="5:7">
      <c r="E394" s="751"/>
      <c r="F394" s="751"/>
      <c r="G394" s="751"/>
    </row>
    <row r="395" spans="5:7">
      <c r="E395" s="751"/>
      <c r="F395" s="751"/>
      <c r="G395" s="751"/>
    </row>
    <row r="396" spans="5:7">
      <c r="E396" s="751"/>
      <c r="F396" s="751"/>
      <c r="G396" s="751"/>
    </row>
    <row r="397" spans="5:7">
      <c r="E397" s="751"/>
      <c r="F397" s="751"/>
      <c r="G397" s="751"/>
    </row>
    <row r="398" spans="5:7">
      <c r="E398" s="751"/>
      <c r="F398" s="751"/>
      <c r="G398" s="751"/>
    </row>
    <row r="399" spans="5:7">
      <c r="E399" s="751"/>
      <c r="F399" s="751"/>
      <c r="G399" s="751"/>
    </row>
    <row r="400" spans="5:7">
      <c r="E400" s="751"/>
      <c r="F400" s="751"/>
      <c r="G400" s="751"/>
    </row>
    <row r="401" spans="5:7">
      <c r="E401" s="751"/>
      <c r="F401" s="751"/>
      <c r="G401" s="751"/>
    </row>
    <row r="402" spans="5:7">
      <c r="E402" s="751"/>
      <c r="F402" s="751"/>
      <c r="G402" s="751"/>
    </row>
    <row r="403" spans="5:7">
      <c r="E403" s="751"/>
      <c r="F403" s="751"/>
      <c r="G403" s="751"/>
    </row>
    <row r="404" spans="5:7">
      <c r="E404" s="751"/>
      <c r="F404" s="751"/>
      <c r="G404" s="751"/>
    </row>
    <row r="405" spans="5:7">
      <c r="E405" s="751"/>
      <c r="F405" s="751"/>
      <c r="G405" s="751"/>
    </row>
    <row r="406" spans="5:7">
      <c r="E406" s="751"/>
      <c r="F406" s="751"/>
      <c r="G406" s="751"/>
    </row>
    <row r="407" spans="5:7">
      <c r="E407" s="751"/>
      <c r="F407" s="751"/>
      <c r="G407" s="751"/>
    </row>
    <row r="408" spans="5:7">
      <c r="E408" s="751"/>
      <c r="F408" s="751"/>
      <c r="G408" s="751"/>
    </row>
    <row r="409" spans="5:7">
      <c r="E409" s="751"/>
      <c r="F409" s="751"/>
      <c r="G409" s="751"/>
    </row>
    <row r="410" spans="5:7">
      <c r="E410" s="751"/>
      <c r="F410" s="751"/>
      <c r="G410" s="751"/>
    </row>
    <row r="411" spans="5:7">
      <c r="E411" s="751"/>
      <c r="F411" s="751"/>
      <c r="G411" s="751"/>
    </row>
    <row r="412" spans="5:7">
      <c r="E412" s="751"/>
      <c r="F412" s="751"/>
      <c r="G412" s="751"/>
    </row>
    <row r="413" spans="5:7">
      <c r="E413" s="751"/>
      <c r="F413" s="751"/>
      <c r="G413" s="751"/>
    </row>
    <row r="414" spans="5:7">
      <c r="E414" s="751"/>
      <c r="F414" s="751"/>
      <c r="G414" s="751"/>
    </row>
    <row r="415" spans="5:7">
      <c r="E415" s="751"/>
      <c r="F415" s="751"/>
      <c r="G415" s="751"/>
    </row>
    <row r="416" spans="5:7">
      <c r="E416" s="751"/>
      <c r="F416" s="751"/>
      <c r="G416" s="751"/>
    </row>
    <row r="417" spans="5:7">
      <c r="E417" s="751"/>
      <c r="F417" s="751"/>
      <c r="G417" s="751"/>
    </row>
    <row r="418" spans="5:7">
      <c r="E418" s="751"/>
      <c r="F418" s="751"/>
      <c r="G418" s="751"/>
    </row>
    <row r="419" spans="5:7">
      <c r="E419" s="751"/>
      <c r="F419" s="751"/>
      <c r="G419" s="751"/>
    </row>
    <row r="420" spans="5:7">
      <c r="E420" s="751"/>
      <c r="F420" s="751"/>
      <c r="G420" s="751"/>
    </row>
    <row r="421" spans="5:7">
      <c r="E421" s="751"/>
      <c r="F421" s="751"/>
      <c r="G421" s="751"/>
    </row>
    <row r="422" spans="5:7">
      <c r="E422" s="751"/>
      <c r="F422" s="751"/>
      <c r="G422" s="751"/>
    </row>
    <row r="423" spans="5:7">
      <c r="E423" s="751"/>
      <c r="F423" s="751"/>
      <c r="G423" s="751"/>
    </row>
    <row r="424" spans="5:7">
      <c r="E424" s="751"/>
      <c r="F424" s="751"/>
      <c r="G424" s="751"/>
    </row>
    <row r="425" spans="5:7">
      <c r="E425" s="751"/>
      <c r="F425" s="751"/>
      <c r="G425" s="751"/>
    </row>
    <row r="426" spans="5:7">
      <c r="E426" s="751"/>
      <c r="F426" s="751"/>
      <c r="G426" s="751"/>
    </row>
    <row r="427" spans="5:7">
      <c r="E427" s="751"/>
      <c r="F427" s="751"/>
      <c r="G427" s="751"/>
    </row>
    <row r="428" spans="5:7">
      <c r="E428" s="751"/>
      <c r="F428" s="751"/>
      <c r="G428" s="751"/>
    </row>
    <row r="429" spans="5:7">
      <c r="E429" s="751"/>
      <c r="F429" s="751"/>
      <c r="G429" s="751"/>
    </row>
    <row r="430" spans="5:7">
      <c r="E430" s="751"/>
      <c r="F430" s="751"/>
      <c r="G430" s="751"/>
    </row>
    <row r="431" spans="5:7">
      <c r="E431" s="751"/>
      <c r="F431" s="751"/>
      <c r="G431" s="751"/>
    </row>
    <row r="432" spans="5:7">
      <c r="E432" s="751"/>
      <c r="F432" s="751"/>
      <c r="G432" s="751"/>
    </row>
    <row r="433" spans="5:7">
      <c r="E433" s="751"/>
      <c r="F433" s="751"/>
      <c r="G433" s="751"/>
    </row>
    <row r="434" spans="5:7">
      <c r="E434" s="751"/>
      <c r="F434" s="751"/>
      <c r="G434" s="751"/>
    </row>
    <row r="435" spans="5:7">
      <c r="E435" s="751"/>
      <c r="F435" s="751"/>
      <c r="G435" s="751"/>
    </row>
    <row r="436" spans="5:7">
      <c r="E436" s="751"/>
      <c r="F436" s="751"/>
      <c r="G436" s="751"/>
    </row>
    <row r="437" spans="5:7">
      <c r="E437" s="751"/>
      <c r="F437" s="751"/>
      <c r="G437" s="751"/>
    </row>
    <row r="438" spans="5:7">
      <c r="E438" s="751"/>
      <c r="F438" s="751"/>
      <c r="G438" s="751"/>
    </row>
    <row r="439" spans="5:7">
      <c r="E439" s="751"/>
      <c r="F439" s="751"/>
      <c r="G439" s="751"/>
    </row>
    <row r="440" spans="5:7">
      <c r="E440" s="751"/>
      <c r="F440" s="751"/>
      <c r="G440" s="751"/>
    </row>
    <row r="441" spans="5:7">
      <c r="E441" s="751"/>
      <c r="F441" s="751"/>
      <c r="G441" s="751"/>
    </row>
    <row r="442" spans="5:7">
      <c r="E442" s="751"/>
      <c r="F442" s="751"/>
      <c r="G442" s="751"/>
    </row>
    <row r="443" spans="5:7">
      <c r="E443" s="751"/>
      <c r="F443" s="751"/>
      <c r="G443" s="751"/>
    </row>
    <row r="444" spans="5:7">
      <c r="E444" s="751"/>
      <c r="F444" s="751"/>
      <c r="G444" s="751"/>
    </row>
    <row r="445" spans="5:7">
      <c r="E445" s="751"/>
      <c r="F445" s="751"/>
      <c r="G445" s="751"/>
    </row>
    <row r="446" spans="5:7">
      <c r="E446" s="751"/>
      <c r="F446" s="751"/>
      <c r="G446" s="751"/>
    </row>
    <row r="447" spans="5:7">
      <c r="E447" s="751"/>
      <c r="F447" s="751"/>
      <c r="G447" s="751"/>
    </row>
    <row r="448" spans="5:7">
      <c r="E448" s="751"/>
      <c r="F448" s="751"/>
      <c r="G448" s="751"/>
    </row>
    <row r="449" spans="5:7">
      <c r="E449" s="751"/>
      <c r="F449" s="751"/>
      <c r="G449" s="751"/>
    </row>
    <row r="450" spans="5:7">
      <c r="E450" s="751"/>
      <c r="F450" s="751"/>
      <c r="G450" s="751"/>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sqref="A1:G1"/>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14" t="s">
        <v>491</v>
      </c>
      <c r="B1" s="1014"/>
      <c r="C1" s="1014"/>
      <c r="D1" s="1014"/>
      <c r="E1" s="1014"/>
      <c r="F1" s="1014"/>
      <c r="G1" s="1014"/>
      <c r="H1" s="813"/>
    </row>
    <row r="2" spans="1:8">
      <c r="A2" s="1043" t="s">
        <v>735</v>
      </c>
      <c r="B2" s="1043"/>
      <c r="C2" s="1043"/>
      <c r="D2" s="1043"/>
      <c r="E2" s="1043"/>
      <c r="F2" s="1043"/>
      <c r="G2" s="1043"/>
      <c r="H2" s="815"/>
    </row>
    <row r="3" spans="1:8">
      <c r="A3" s="1044" t="str">
        <f>+'Attachment H-29A'!D5</f>
        <v>Transource Pennsylvania, LLC</v>
      </c>
      <c r="B3" s="1044"/>
      <c r="C3" s="1044"/>
      <c r="D3" s="1044"/>
      <c r="E3" s="1044"/>
      <c r="F3" s="1044"/>
      <c r="G3" s="1044"/>
      <c r="H3" s="816"/>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8"/>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6">
        <v>2.5000000000000001E-3</v>
      </c>
    </row>
    <row r="27" spans="1:14">
      <c r="A27" s="684">
        <f t="shared" si="0"/>
        <v>15</v>
      </c>
      <c r="B27" s="225" t="s">
        <v>652</v>
      </c>
      <c r="C27" s="225" t="s">
        <v>296</v>
      </c>
      <c r="F27" s="975">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45" t="s">
        <v>644</v>
      </c>
      <c r="C34" s="1045"/>
      <c r="D34" s="1045"/>
      <c r="E34" s="1045"/>
      <c r="F34" s="1045"/>
      <c r="G34" s="805"/>
      <c r="H34" s="805"/>
    </row>
    <row r="35" spans="1:8" ht="86.25" customHeight="1">
      <c r="A35" s="709" t="s">
        <v>63</v>
      </c>
      <c r="B35" s="1045" t="s">
        <v>651</v>
      </c>
      <c r="C35" s="1045"/>
      <c r="D35" s="1045"/>
      <c r="E35" s="1045"/>
      <c r="F35" s="1045"/>
      <c r="G35" s="805"/>
      <c r="H35" s="805"/>
    </row>
    <row r="36" spans="1:8">
      <c r="A36" s="707"/>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sqref="A1:G1"/>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9" bestFit="1" customWidth="1"/>
    <col min="6" max="6" width="10.44140625" style="347" customWidth="1"/>
    <col min="7" max="16384" width="8.88671875" style="347"/>
  </cols>
  <sheetData>
    <row r="1" spans="1:9" ht="12.75">
      <c r="A1" s="1014" t="s">
        <v>676</v>
      </c>
      <c r="B1" s="1014"/>
      <c r="C1" s="1014"/>
      <c r="D1" s="1014"/>
      <c r="E1" s="1014"/>
      <c r="F1" s="1014"/>
      <c r="G1" s="1014"/>
      <c r="H1" s="406"/>
      <c r="I1" s="406"/>
    </row>
    <row r="2" spans="1:9" ht="12.75">
      <c r="A2" s="1043" t="s">
        <v>677</v>
      </c>
      <c r="B2" s="1043"/>
      <c r="C2" s="1043"/>
      <c r="D2" s="1043"/>
      <c r="E2" s="1043"/>
      <c r="F2" s="1043"/>
      <c r="G2" s="1043"/>
      <c r="H2" s="715"/>
      <c r="I2" s="715"/>
    </row>
    <row r="3" spans="1:9" ht="12.75">
      <c r="A3" s="1044" t="str">
        <f>+'Attachment H-29A'!D5</f>
        <v>Transource Pennsylvania, LLC</v>
      </c>
      <c r="B3" s="1044"/>
      <c r="C3" s="1044"/>
      <c r="D3" s="1044"/>
      <c r="E3" s="1044"/>
      <c r="F3" s="1044"/>
      <c r="G3" s="1044"/>
      <c r="H3" s="368"/>
      <c r="I3" s="368"/>
    </row>
    <row r="4" spans="1:9" ht="12.75">
      <c r="A4" s="714"/>
      <c r="B4" s="714"/>
      <c r="C4" s="714"/>
      <c r="D4" s="714"/>
      <c r="E4" s="714"/>
      <c r="F4" s="714"/>
      <c r="G4" s="714"/>
      <c r="H4" s="368"/>
      <c r="I4" s="368"/>
    </row>
    <row r="5" spans="1:9">
      <c r="A5" s="760"/>
      <c r="D5" s="761"/>
      <c r="E5" s="762"/>
      <c r="F5" s="760"/>
      <c r="H5" s="763"/>
    </row>
    <row r="6" spans="1:9" ht="12.75">
      <c r="A6" s="712" t="s">
        <v>148</v>
      </c>
      <c r="B6" s="564" t="s">
        <v>690</v>
      </c>
      <c r="C6" s="564"/>
      <c r="D6" s="216" t="s">
        <v>190</v>
      </c>
      <c r="E6" s="216" t="s">
        <v>191</v>
      </c>
      <c r="F6" s="377" t="s">
        <v>688</v>
      </c>
      <c r="G6" s="764"/>
      <c r="H6" s="764"/>
      <c r="I6" s="764"/>
    </row>
    <row r="7" spans="1:9" ht="25.5">
      <c r="A7" s="346">
        <v>1</v>
      </c>
      <c r="B7" s="765" t="s">
        <v>669</v>
      </c>
      <c r="C7" s="397" t="s">
        <v>199</v>
      </c>
      <c r="D7" s="782" t="s">
        <v>18</v>
      </c>
      <c r="E7" s="376" t="s">
        <v>687</v>
      </c>
      <c r="F7" s="376" t="s">
        <v>686</v>
      </c>
    </row>
    <row r="8" spans="1:9" ht="12.75">
      <c r="A8" s="346">
        <f t="shared" ref="A8:A14" si="0">+A7+1</f>
        <v>2</v>
      </c>
      <c r="B8" s="333" t="s">
        <v>671</v>
      </c>
      <c r="C8" s="333" t="s">
        <v>679</v>
      </c>
      <c r="D8" s="768">
        <v>0</v>
      </c>
      <c r="E8" s="768">
        <v>0</v>
      </c>
      <c r="F8" s="781">
        <f>+D8-E8</f>
        <v>0</v>
      </c>
    </row>
    <row r="9" spans="1:9" ht="12.75">
      <c r="A9" s="346">
        <f t="shared" si="0"/>
        <v>3</v>
      </c>
      <c r="B9" s="333" t="s">
        <v>672</v>
      </c>
      <c r="C9" s="333" t="s">
        <v>679</v>
      </c>
      <c r="D9" s="768">
        <v>0</v>
      </c>
      <c r="E9" s="768">
        <v>0</v>
      </c>
      <c r="F9" s="781">
        <f t="shared" ref="F9:F14" si="1">+D9-E9</f>
        <v>0</v>
      </c>
    </row>
    <row r="10" spans="1:9" ht="12.75">
      <c r="A10" s="346">
        <f t="shared" si="0"/>
        <v>4</v>
      </c>
      <c r="B10" s="333" t="s">
        <v>673</v>
      </c>
      <c r="C10" s="333" t="s">
        <v>679</v>
      </c>
      <c r="D10" s="768">
        <v>0</v>
      </c>
      <c r="E10" s="768">
        <v>0</v>
      </c>
      <c r="F10" s="781">
        <f t="shared" si="1"/>
        <v>0</v>
      </c>
    </row>
    <row r="11" spans="1:9" ht="12.75">
      <c r="A11" s="346">
        <f t="shared" si="0"/>
        <v>5</v>
      </c>
      <c r="B11" s="333" t="s">
        <v>674</v>
      </c>
      <c r="C11" s="333" t="s">
        <v>679</v>
      </c>
      <c r="D11" s="768">
        <v>0</v>
      </c>
      <c r="E11" s="768">
        <v>0</v>
      </c>
      <c r="F11" s="781">
        <f t="shared" si="1"/>
        <v>0</v>
      </c>
    </row>
    <row r="12" spans="1:9" ht="12.75">
      <c r="A12" s="346">
        <f t="shared" si="0"/>
        <v>6</v>
      </c>
      <c r="B12" s="333" t="s">
        <v>675</v>
      </c>
      <c r="C12" s="333" t="s">
        <v>679</v>
      </c>
      <c r="D12" s="769">
        <v>0</v>
      </c>
      <c r="E12" s="769">
        <v>0</v>
      </c>
      <c r="F12" s="781">
        <f t="shared" si="1"/>
        <v>0</v>
      </c>
    </row>
    <row r="13" spans="1:9" ht="12.75">
      <c r="A13" s="346">
        <f t="shared" si="0"/>
        <v>7</v>
      </c>
      <c r="B13" s="333" t="s">
        <v>675</v>
      </c>
      <c r="C13" s="333" t="s">
        <v>679</v>
      </c>
      <c r="D13" s="769">
        <v>0</v>
      </c>
      <c r="E13" s="769">
        <v>0</v>
      </c>
      <c r="F13" s="781">
        <f t="shared" si="1"/>
        <v>0</v>
      </c>
    </row>
    <row r="14" spans="1:9" ht="12.75">
      <c r="A14" s="346">
        <f t="shared" si="0"/>
        <v>8</v>
      </c>
      <c r="B14" s="771" t="s">
        <v>685</v>
      </c>
      <c r="C14" s="333" t="s">
        <v>683</v>
      </c>
      <c r="D14" s="770">
        <f>+SUM(D8:D13)</f>
        <v>0</v>
      </c>
      <c r="E14" s="770">
        <f>+SUM(E8:E13)</f>
        <v>0</v>
      </c>
      <c r="F14" s="783">
        <f t="shared" si="1"/>
        <v>0</v>
      </c>
    </row>
    <row r="15" spans="1:9" ht="12.75">
      <c r="A15" s="346"/>
      <c r="B15" s="771"/>
      <c r="C15" s="771"/>
      <c r="D15" s="773"/>
      <c r="E15" s="773"/>
    </row>
    <row r="16" spans="1:9" ht="12.75">
      <c r="A16" s="346"/>
      <c r="B16" s="771"/>
      <c r="C16" s="771"/>
      <c r="D16" s="773"/>
      <c r="E16" s="773"/>
    </row>
    <row r="17" spans="1:6" ht="12.75">
      <c r="A17" s="346"/>
      <c r="B17" s="771"/>
      <c r="C17" s="771"/>
      <c r="D17" s="773"/>
      <c r="E17" s="773"/>
    </row>
    <row r="18" spans="1:6" ht="12.75">
      <c r="A18" s="302"/>
      <c r="B18" s="771" t="s">
        <v>799</v>
      </c>
      <c r="C18" s="766"/>
      <c r="D18" s="767"/>
      <c r="E18" s="347"/>
    </row>
    <row r="19" spans="1:6" ht="12.75">
      <c r="A19" s="346">
        <f>+A14+1</f>
        <v>9</v>
      </c>
      <c r="B19" s="333" t="s">
        <v>404</v>
      </c>
      <c r="C19" s="333" t="s">
        <v>679</v>
      </c>
      <c r="D19" s="768">
        <v>0</v>
      </c>
      <c r="E19" s="768">
        <v>0</v>
      </c>
      <c r="F19" s="781">
        <f t="shared" ref="F19" si="2">+D19-E19</f>
        <v>0</v>
      </c>
    </row>
    <row r="20" spans="1:6" ht="12.75">
      <c r="A20" s="346">
        <f>+A19+1</f>
        <v>10</v>
      </c>
      <c r="B20" s="333" t="s">
        <v>404</v>
      </c>
      <c r="C20" s="333" t="s">
        <v>679</v>
      </c>
      <c r="D20" s="768">
        <v>0</v>
      </c>
      <c r="E20" s="768">
        <v>0</v>
      </c>
      <c r="F20" s="781">
        <f t="shared" ref="F20:F21" si="3">+D20-E20</f>
        <v>0</v>
      </c>
    </row>
    <row r="21" spans="1:6" ht="12.75">
      <c r="A21" s="346">
        <f t="shared" ref="A21" si="4">+A20+1</f>
        <v>11</v>
      </c>
      <c r="B21" s="771" t="s">
        <v>803</v>
      </c>
      <c r="C21" s="333" t="s">
        <v>800</v>
      </c>
      <c r="D21" s="770">
        <f>+SUM(D19:D20)</f>
        <v>0</v>
      </c>
      <c r="E21" s="770">
        <f>+SUM(E19:E20)</f>
        <v>0</v>
      </c>
      <c r="F21" s="783">
        <f t="shared" si="3"/>
        <v>0</v>
      </c>
    </row>
    <row r="22" spans="1:6" ht="12.75">
      <c r="A22" s="346"/>
      <c r="B22" s="771"/>
      <c r="C22" s="333"/>
      <c r="D22" s="773"/>
      <c r="E22" s="773"/>
      <c r="F22" s="853"/>
    </row>
    <row r="23" spans="1:6" ht="12.75">
      <c r="A23" s="302"/>
      <c r="B23" s="771" t="s">
        <v>801</v>
      </c>
      <c r="C23" s="766"/>
      <c r="D23" s="767"/>
      <c r="E23" s="347"/>
    </row>
    <row r="24" spans="1:6" ht="12.75">
      <c r="A24" s="346">
        <f>+A21+1</f>
        <v>12</v>
      </c>
      <c r="B24" s="333" t="s">
        <v>681</v>
      </c>
      <c r="C24" s="333" t="s">
        <v>679</v>
      </c>
      <c r="D24" s="768">
        <v>0</v>
      </c>
      <c r="E24" s="768">
        <v>0</v>
      </c>
      <c r="F24" s="781">
        <f t="shared" ref="F24:F32" si="5">+D24-E24</f>
        <v>0</v>
      </c>
    </row>
    <row r="25" spans="1:6" ht="12.75">
      <c r="A25" s="346">
        <f t="shared" ref="A25:A32" si="6">+A24+1</f>
        <v>13</v>
      </c>
      <c r="B25" s="333" t="s">
        <v>682</v>
      </c>
      <c r="C25" s="333" t="s">
        <v>679</v>
      </c>
      <c r="D25" s="768">
        <v>0</v>
      </c>
      <c r="E25" s="768">
        <v>0</v>
      </c>
      <c r="F25" s="781">
        <f t="shared" si="5"/>
        <v>0</v>
      </c>
    </row>
    <row r="26" spans="1:6" ht="12.75">
      <c r="A26" s="346">
        <f t="shared" si="6"/>
        <v>14</v>
      </c>
      <c r="B26" s="333" t="s">
        <v>680</v>
      </c>
      <c r="C26" s="333" t="s">
        <v>679</v>
      </c>
      <c r="D26" s="768">
        <v>938236.68</v>
      </c>
      <c r="E26" s="768">
        <v>0</v>
      </c>
      <c r="F26" s="781">
        <f t="shared" si="5"/>
        <v>938236.68</v>
      </c>
    </row>
    <row r="27" spans="1:6" ht="12.75">
      <c r="A27" s="346">
        <f t="shared" si="6"/>
        <v>15</v>
      </c>
      <c r="B27" s="333" t="s">
        <v>689</v>
      </c>
      <c r="C27" s="333" t="s">
        <v>679</v>
      </c>
      <c r="D27" s="768">
        <v>5209599.4800000004</v>
      </c>
      <c r="E27" s="768">
        <v>0</v>
      </c>
      <c r="F27" s="781">
        <f t="shared" si="5"/>
        <v>5209599.4800000004</v>
      </c>
    </row>
    <row r="28" spans="1:6" ht="12.75">
      <c r="A28" s="346">
        <f t="shared" si="6"/>
        <v>16</v>
      </c>
      <c r="B28" s="333" t="s">
        <v>404</v>
      </c>
      <c r="C28" s="333" t="s">
        <v>679</v>
      </c>
      <c r="D28" s="769">
        <v>0</v>
      </c>
      <c r="E28" s="769">
        <v>0</v>
      </c>
      <c r="F28" s="781">
        <f t="shared" si="5"/>
        <v>0</v>
      </c>
    </row>
    <row r="29" spans="1:6" ht="12.75">
      <c r="A29" s="346">
        <f t="shared" si="6"/>
        <v>17</v>
      </c>
      <c r="B29" s="333" t="s">
        <v>692</v>
      </c>
      <c r="C29" s="333" t="s">
        <v>684</v>
      </c>
      <c r="D29" s="770">
        <f>+SUM(D24:D28)</f>
        <v>6147836.1600000001</v>
      </c>
      <c r="E29" s="770">
        <f>+SUM(E24:E28)</f>
        <v>0</v>
      </c>
      <c r="F29" s="783">
        <f t="shared" si="5"/>
        <v>6147836.1600000001</v>
      </c>
    </row>
    <row r="30" spans="1:6" ht="12.75">
      <c r="A30" s="346">
        <f t="shared" si="6"/>
        <v>18</v>
      </c>
      <c r="B30" s="333" t="s">
        <v>691</v>
      </c>
      <c r="C30" s="333" t="s">
        <v>679</v>
      </c>
      <c r="D30" s="772">
        <f>D27</f>
        <v>5209599.4800000004</v>
      </c>
      <c r="E30" s="772"/>
      <c r="F30" s="781">
        <f t="shared" si="5"/>
        <v>5209599.4800000004</v>
      </c>
    </row>
    <row r="31" spans="1:6" ht="12.75">
      <c r="A31" s="346">
        <f t="shared" si="6"/>
        <v>19</v>
      </c>
      <c r="B31" s="333" t="s">
        <v>694</v>
      </c>
      <c r="C31" s="333" t="s">
        <v>679</v>
      </c>
      <c r="D31" s="772">
        <f>D26</f>
        <v>938236.68</v>
      </c>
      <c r="E31" s="772"/>
      <c r="F31" s="781">
        <f t="shared" si="5"/>
        <v>938236.68</v>
      </c>
    </row>
    <row r="32" spans="1:6" ht="12.75">
      <c r="A32" s="346">
        <f t="shared" si="6"/>
        <v>20</v>
      </c>
      <c r="B32" s="771" t="s">
        <v>693</v>
      </c>
      <c r="C32" s="541" t="str">
        <f>"(Line "&amp;A29&amp;" - line "&amp;A30&amp;" - line "&amp;A31&amp;")"</f>
        <v>(Line 17 - line 18 - line 19)</v>
      </c>
      <c r="D32" s="770">
        <f>+D29-D30-D31</f>
        <v>0</v>
      </c>
      <c r="E32" s="770">
        <f>+E29-E30-E31</f>
        <v>0</v>
      </c>
      <c r="F32" s="783">
        <f t="shared" si="5"/>
        <v>0</v>
      </c>
    </row>
    <row r="33" spans="1:9" ht="12.75">
      <c r="A33" s="346"/>
      <c r="B33" s="771"/>
      <c r="C33" s="771"/>
      <c r="D33" s="773"/>
      <c r="E33" s="773"/>
    </row>
    <row r="34" spans="1:9" ht="12.75">
      <c r="A34" s="713">
        <f>+A32+1</f>
        <v>21</v>
      </c>
      <c r="B34" s="784" t="s">
        <v>802</v>
      </c>
      <c r="C34" s="541" t="str">
        <f>"(Line "&amp;A21&amp;" + line "&amp;A32&amp;")"</f>
        <v>(Line 11 + line 20)</v>
      </c>
      <c r="D34" s="775">
        <f>+D21+D32</f>
        <v>0</v>
      </c>
      <c r="E34" s="775">
        <f>+E21+E32</f>
        <v>0</v>
      </c>
      <c r="F34" s="775">
        <f>+F21+F32</f>
        <v>0</v>
      </c>
    </row>
    <row r="35" spans="1:9" ht="14.25" customHeight="1">
      <c r="A35" s="333"/>
      <c r="B35" s="333"/>
      <c r="C35" s="333"/>
      <c r="E35" s="780"/>
      <c r="F35" s="346"/>
    </row>
    <row r="36" spans="1:9" s="776" customFormat="1" ht="12.75">
      <c r="A36" s="333"/>
      <c r="B36" s="333"/>
      <c r="C36" s="333"/>
      <c r="D36" s="333"/>
      <c r="E36" s="775"/>
      <c r="F36" s="773"/>
    </row>
    <row r="37" spans="1:9" ht="41.25" customHeight="1">
      <c r="A37" s="777" t="s">
        <v>670</v>
      </c>
      <c r="B37" s="1037" t="s">
        <v>804</v>
      </c>
      <c r="C37" s="1037"/>
      <c r="D37" s="1037"/>
      <c r="E37" s="1037"/>
      <c r="F37" s="1037"/>
      <c r="G37" s="1037"/>
    </row>
    <row r="38" spans="1:9" ht="12.75">
      <c r="A38" s="564"/>
      <c r="B38" s="564"/>
      <c r="C38" s="564"/>
      <c r="D38" s="564"/>
      <c r="E38" s="564"/>
      <c r="F38" s="564"/>
      <c r="G38" s="564"/>
      <c r="H38" s="564"/>
      <c r="I38" s="564"/>
    </row>
    <row r="42" spans="1:9" ht="12.75">
      <c r="A42" s="346"/>
      <c r="B42" s="333"/>
      <c r="C42" s="333"/>
      <c r="D42" s="778"/>
      <c r="E42" s="347"/>
    </row>
    <row r="113" spans="5:5">
      <c r="E113" s="225"/>
    </row>
    <row r="232" spans="4:8">
      <c r="D232" s="774"/>
      <c r="F232" s="774"/>
      <c r="G232" s="774"/>
      <c r="H232" s="774"/>
    </row>
    <row r="233" spans="4:8" ht="99.75" customHeight="1">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c r="D246" s="774"/>
      <c r="F246" s="774"/>
      <c r="G246" s="774"/>
      <c r="H246" s="774"/>
    </row>
    <row r="247" spans="4:8">
      <c r="D247" s="774"/>
      <c r="F247" s="774"/>
      <c r="G247" s="774"/>
      <c r="H247" s="774"/>
    </row>
    <row r="248" spans="4:8">
      <c r="D248" s="774"/>
      <c r="F248" s="774"/>
      <c r="G248" s="774"/>
      <c r="H248" s="774"/>
    </row>
    <row r="249" spans="4:8">
      <c r="D249" s="774"/>
      <c r="F249" s="774"/>
      <c r="G249" s="774"/>
      <c r="H249" s="774"/>
    </row>
    <row r="250" spans="4:8">
      <c r="D250" s="774"/>
      <c r="F250" s="774"/>
      <c r="G250" s="774"/>
      <c r="H250" s="774"/>
    </row>
    <row r="251" spans="4:8">
      <c r="D251" s="774"/>
      <c r="F251" s="774"/>
      <c r="G251" s="774"/>
      <c r="H251" s="774"/>
    </row>
    <row r="252" spans="4:8">
      <c r="D252" s="774"/>
      <c r="F252" s="774"/>
      <c r="G252" s="774"/>
      <c r="H252" s="774"/>
    </row>
    <row r="253" spans="4:8">
      <c r="D253" s="774"/>
      <c r="F253" s="774"/>
      <c r="G253" s="774"/>
      <c r="H253" s="774"/>
    </row>
    <row r="254" spans="4:8" ht="40.5" customHeight="1">
      <c r="D254" s="774"/>
      <c r="F254" s="774"/>
      <c r="G254" s="774"/>
      <c r="H254" s="774"/>
    </row>
    <row r="255" spans="4:8">
      <c r="D255" s="774"/>
      <c r="F255" s="774"/>
      <c r="G255" s="774"/>
      <c r="H255" s="774"/>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7"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9" bestFit="1" customWidth="1"/>
    <col min="6" max="6" width="10.44140625" style="347" customWidth="1"/>
    <col min="7" max="16384" width="8.88671875" style="347"/>
  </cols>
  <sheetData>
    <row r="1" spans="1:9" ht="12.75">
      <c r="A1" s="1014" t="s">
        <v>740</v>
      </c>
      <c r="B1" s="1014"/>
      <c r="C1" s="1014"/>
      <c r="D1" s="1014"/>
      <c r="E1" s="406"/>
      <c r="F1" s="406"/>
      <c r="G1" s="406"/>
      <c r="H1" s="406"/>
      <c r="I1" s="406"/>
    </row>
    <row r="2" spans="1:9" ht="12.75">
      <c r="A2" s="1043" t="s">
        <v>741</v>
      </c>
      <c r="B2" s="1043"/>
      <c r="C2" s="1043"/>
      <c r="D2" s="1043"/>
      <c r="E2" s="715"/>
      <c r="F2" s="715"/>
      <c r="G2" s="715"/>
      <c r="H2" s="715"/>
      <c r="I2" s="715"/>
    </row>
    <row r="3" spans="1:9" ht="12.75">
      <c r="A3" s="1044" t="str">
        <f>+'Attachment H-29A'!D5</f>
        <v>Transource Pennsylvania, LLC</v>
      </c>
      <c r="B3" s="1044"/>
      <c r="C3" s="1044"/>
      <c r="D3" s="1044"/>
      <c r="E3" s="368"/>
      <c r="F3" s="368"/>
      <c r="G3" s="368"/>
      <c r="H3" s="368"/>
      <c r="I3" s="368"/>
    </row>
    <row r="4" spans="1:9" ht="12.75">
      <c r="A4" s="842"/>
      <c r="B4" s="842"/>
      <c r="C4" s="842"/>
      <c r="D4" s="842"/>
      <c r="E4" s="842"/>
      <c r="F4" s="842"/>
      <c r="G4" s="842"/>
      <c r="H4" s="368"/>
      <c r="I4" s="368"/>
    </row>
    <row r="5" spans="1:9">
      <c r="A5" s="760"/>
      <c r="C5" s="564"/>
      <c r="D5" s="841"/>
      <c r="E5"/>
      <c r="F5"/>
      <c r="H5" s="763"/>
    </row>
    <row r="6" spans="1:9" ht="15">
      <c r="A6" s="840" t="s">
        <v>148</v>
      </c>
      <c r="B6" s="844"/>
      <c r="C6" s="397" t="s">
        <v>199</v>
      </c>
      <c r="D6" s="782" t="s">
        <v>11</v>
      </c>
      <c r="E6"/>
      <c r="F6"/>
      <c r="G6" s="764"/>
      <c r="H6" s="764"/>
      <c r="I6" s="764"/>
    </row>
    <row r="7" spans="1:9" ht="15">
      <c r="A7" s="346"/>
      <c r="B7" s="765"/>
      <c r="E7"/>
      <c r="F7"/>
    </row>
    <row r="8" spans="1:9" customFormat="1" ht="15">
      <c r="A8" s="846">
        <v>1</v>
      </c>
      <c r="B8" s="125" t="s">
        <v>741</v>
      </c>
      <c r="D8" s="768">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9" t="s">
        <v>780</v>
      </c>
      <c r="B16" s="993" t="s">
        <v>791</v>
      </c>
      <c r="C16" s="993"/>
      <c r="D16" s="993"/>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8"/>
      <c r="E34" s="347"/>
    </row>
    <row r="105" spans="5:5">
      <c r="E105" s="225"/>
    </row>
    <row r="224" spans="4:8">
      <c r="D224" s="774"/>
      <c r="F224" s="774"/>
      <c r="G224" s="774"/>
      <c r="H224" s="774"/>
    </row>
    <row r="225" spans="4:8" ht="99.75" customHeight="1">
      <c r="D225" s="774"/>
      <c r="F225" s="774"/>
      <c r="G225" s="774"/>
      <c r="H225" s="774"/>
    </row>
    <row r="226" spans="4:8">
      <c r="D226" s="774"/>
      <c r="F226" s="774"/>
      <c r="G226" s="774"/>
      <c r="H226" s="774"/>
    </row>
    <row r="227" spans="4:8">
      <c r="D227" s="774"/>
      <c r="F227" s="774"/>
      <c r="G227" s="774"/>
      <c r="H227" s="774"/>
    </row>
    <row r="228" spans="4:8">
      <c r="D228" s="774"/>
      <c r="F228" s="774"/>
      <c r="G228" s="774"/>
      <c r="H228" s="774"/>
    </row>
    <row r="229" spans="4:8">
      <c r="D229" s="774"/>
      <c r="F229" s="774"/>
      <c r="G229" s="774"/>
      <c r="H229" s="774"/>
    </row>
    <row r="230" spans="4:8">
      <c r="D230" s="774"/>
      <c r="F230" s="774"/>
      <c r="G230" s="774"/>
      <c r="H230" s="774"/>
    </row>
    <row r="231" spans="4:8">
      <c r="D231" s="774"/>
      <c r="F231" s="774"/>
      <c r="G231" s="774"/>
      <c r="H231" s="774"/>
    </row>
    <row r="232" spans="4:8">
      <c r="D232" s="774"/>
      <c r="F232" s="774"/>
      <c r="G232" s="774"/>
      <c r="H232" s="774"/>
    </row>
    <row r="233" spans="4:8">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ht="40.5" customHeight="1">
      <c r="D246" s="774"/>
      <c r="F246" s="774"/>
      <c r="G246" s="774"/>
      <c r="H246" s="774"/>
    </row>
    <row r="247" spans="4:8">
      <c r="D247" s="774"/>
      <c r="F247" s="774"/>
      <c r="G247" s="774"/>
      <c r="H247" s="774"/>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topLeftCell="A28" zoomScale="85" zoomScaleNormal="100" zoomScaleSheetLayoutView="85" workbookViewId="0">
      <selection activeCell="T56" sqref="T56"/>
    </sheetView>
  </sheetViews>
  <sheetFormatPr defaultColWidth="8.88671875" defaultRowHeight="12.75"/>
  <cols>
    <col min="1" max="1" width="6" style="23" customWidth="1"/>
    <col min="2" max="2" width="1.44140625" style="23" customWidth="1"/>
    <col min="3" max="3" width="13.44140625" style="23" customWidth="1"/>
    <col min="4" max="4" width="13.5546875" style="539" customWidth="1"/>
    <col min="5" max="5" width="24.664062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0"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6"/>
      <c r="M4" s="22"/>
      <c r="N4" s="52"/>
      <c r="O4" s="53"/>
      <c r="P4" s="53"/>
      <c r="Q4" s="53"/>
      <c r="R4" s="53"/>
      <c r="S4" s="53"/>
      <c r="T4" s="24"/>
      <c r="U4" s="54"/>
      <c r="V4" s="54"/>
      <c r="W4" s="24"/>
    </row>
    <row r="5" spans="1:23">
      <c r="E5" s="17"/>
      <c r="F5" s="212" t="str">
        <f>+'Attachment H-29A'!D5</f>
        <v>Transource Pennsylvania, LLC</v>
      </c>
      <c r="G5" s="20"/>
      <c r="I5" s="20"/>
      <c r="J5" s="20"/>
      <c r="K5" s="20"/>
      <c r="L5" s="408"/>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745</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744</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8"/>
      <c r="O13" s="20"/>
      <c r="P13" s="20"/>
      <c r="Q13" s="20"/>
      <c r="R13" s="20"/>
      <c r="S13" s="20"/>
      <c r="T13" s="24"/>
      <c r="U13" s="20"/>
      <c r="V13" s="20"/>
      <c r="W13" s="60"/>
    </row>
    <row r="14" spans="1:23">
      <c r="A14" s="66"/>
      <c r="C14" s="60"/>
      <c r="D14" s="548"/>
      <c r="E14" s="60"/>
      <c r="F14" s="20"/>
      <c r="G14" s="20"/>
      <c r="I14" s="20"/>
      <c r="K14" s="20"/>
      <c r="L14" s="408"/>
      <c r="O14" s="20"/>
      <c r="P14" s="20"/>
      <c r="Q14" s="20"/>
      <c r="R14" s="20"/>
      <c r="S14" s="20"/>
      <c r="T14" s="24"/>
      <c r="U14" s="20"/>
      <c r="V14" s="20"/>
      <c r="W14" s="60"/>
    </row>
    <row r="15" spans="1:23">
      <c r="A15" s="21">
        <v>1</v>
      </c>
      <c r="C15" s="60" t="s">
        <v>498</v>
      </c>
      <c r="D15" s="548"/>
      <c r="E15" s="60"/>
      <c r="F15" s="67" t="str">
        <f>"Attach H-29A, p 2, line "&amp;'Attachment H-29A'!A66&amp;" col 5 plus line "&amp;'Attachment H-29A'!A92&amp;" col 5 (Note A)"</f>
        <v>Attach H-29A, p 2, line 2 col 5 plus line 25 col 5 (Note A)</v>
      </c>
      <c r="G15" s="21"/>
      <c r="I15" s="47">
        <f>+'Attachment H-29A'!I66+'Attachment H-29A'!I92</f>
        <v>37170524.737692311</v>
      </c>
      <c r="R15" s="20"/>
      <c r="S15" s="20"/>
      <c r="T15" s="24"/>
      <c r="U15" s="20"/>
      <c r="V15" s="20"/>
      <c r="W15" s="60"/>
    </row>
    <row r="16" spans="1:23">
      <c r="A16" s="21">
        <v>2</v>
      </c>
      <c r="C16" s="60" t="s">
        <v>499</v>
      </c>
      <c r="D16" s="548"/>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37170524.737692311</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8"/>
      <c r="O18" s="20"/>
      <c r="P18" s="20"/>
      <c r="Q18" s="20"/>
      <c r="R18" s="20"/>
      <c r="S18" s="20"/>
      <c r="T18" s="20"/>
      <c r="U18" s="20"/>
      <c r="V18" s="20"/>
      <c r="W18" s="60"/>
    </row>
    <row r="19" spans="1:23">
      <c r="A19" s="21">
        <v>3</v>
      </c>
      <c r="C19" s="60" t="s">
        <v>122</v>
      </c>
      <c r="D19" s="548"/>
      <c r="E19" s="60"/>
      <c r="F19" s="67" t="s">
        <v>866</v>
      </c>
      <c r="G19" s="21"/>
      <c r="I19" s="47">
        <f>+'Attachment H-29A'!I134</f>
        <v>470220.26354779326</v>
      </c>
      <c r="R19" s="20"/>
      <c r="S19" s="20"/>
      <c r="T19" s="20"/>
      <c r="U19" s="20"/>
      <c r="V19" s="20"/>
      <c r="W19" s="60"/>
    </row>
    <row r="20" spans="1:23">
      <c r="A20" s="21">
        <v>4</v>
      </c>
      <c r="C20" s="60" t="s">
        <v>123</v>
      </c>
      <c r="D20" s="548"/>
      <c r="E20" s="60"/>
      <c r="F20" s="67" t="s">
        <v>124</v>
      </c>
      <c r="G20" s="21"/>
      <c r="I20" s="497">
        <f>IF(I19=0,0,+I19/I15)</f>
        <v>1.2650353118931685E-2</v>
      </c>
      <c r="J20" s="388"/>
      <c r="K20" s="68">
        <f>I20</f>
        <v>1.2650353118931685E-2</v>
      </c>
      <c r="L20" s="390"/>
      <c r="O20" s="68"/>
      <c r="P20" s="68"/>
      <c r="Q20" s="68"/>
      <c r="R20" s="20"/>
      <c r="S20" s="69"/>
      <c r="T20" s="70"/>
      <c r="U20" s="71"/>
      <c r="V20" s="20"/>
      <c r="W20" s="60"/>
    </row>
    <row r="21" spans="1:23">
      <c r="A21" s="21"/>
      <c r="C21" s="60"/>
      <c r="D21" s="548"/>
      <c r="E21" s="60"/>
      <c r="F21" s="67"/>
      <c r="G21" s="21"/>
      <c r="I21" s="72"/>
      <c r="K21" s="68"/>
      <c r="L21" s="390"/>
      <c r="O21" s="68"/>
      <c r="P21" s="68"/>
      <c r="Q21" s="68"/>
      <c r="R21" s="20"/>
      <c r="S21" s="69"/>
      <c r="T21" s="70"/>
      <c r="U21" s="71"/>
      <c r="V21" s="20"/>
      <c r="W21" s="60"/>
    </row>
    <row r="22" spans="1:23">
      <c r="A22" s="59"/>
      <c r="C22" s="60" t="s">
        <v>509</v>
      </c>
      <c r="D22" s="548"/>
      <c r="E22" s="60"/>
      <c r="F22" s="211"/>
      <c r="G22" s="50"/>
      <c r="I22" s="20"/>
      <c r="K22" s="497"/>
      <c r="L22" s="389"/>
      <c r="O22" s="20"/>
      <c r="P22" s="20"/>
      <c r="Q22" s="20"/>
      <c r="R22" s="20"/>
      <c r="S22" s="69"/>
      <c r="T22" s="70"/>
      <c r="U22" s="71"/>
      <c r="V22" s="20"/>
      <c r="W22" s="60"/>
    </row>
    <row r="23" spans="1:23">
      <c r="A23" s="59" t="s">
        <v>125</v>
      </c>
      <c r="C23" s="60" t="s">
        <v>508</v>
      </c>
      <c r="D23" s="548"/>
      <c r="E23" s="60"/>
      <c r="F23" s="67" t="s">
        <v>747</v>
      </c>
      <c r="G23" s="21"/>
      <c r="I23" s="47">
        <f>+'Attachment H-29A'!I138</f>
        <v>42595.3</v>
      </c>
      <c r="K23" s="497"/>
      <c r="L23" s="389"/>
      <c r="R23" s="20"/>
      <c r="S23" s="69"/>
      <c r="T23" s="70"/>
      <c r="U23" s="71"/>
      <c r="V23" s="20"/>
      <c r="W23" s="60"/>
    </row>
    <row r="24" spans="1:23">
      <c r="A24" s="59" t="s">
        <v>126</v>
      </c>
      <c r="C24" s="60" t="s">
        <v>730</v>
      </c>
      <c r="D24" s="548"/>
      <c r="E24" s="60"/>
      <c r="F24" s="67" t="s">
        <v>127</v>
      </c>
      <c r="G24" s="21"/>
      <c r="I24" s="497">
        <f>IF(I23=0,0,I23/I15)</f>
        <v>1.1459429292588589E-3</v>
      </c>
      <c r="J24" s="48"/>
      <c r="K24" s="68">
        <f>I24</f>
        <v>1.1459429292588589E-3</v>
      </c>
      <c r="L24" s="390"/>
      <c r="O24" s="68"/>
      <c r="P24" s="68"/>
      <c r="Q24" s="68"/>
      <c r="R24" s="20"/>
      <c r="S24" s="69"/>
      <c r="T24" s="70"/>
      <c r="U24" s="71"/>
      <c r="V24" s="20"/>
      <c r="W24" s="60"/>
    </row>
    <row r="25" spans="1:23">
      <c r="A25" s="21"/>
      <c r="C25" s="60"/>
      <c r="D25" s="548"/>
      <c r="E25" s="60"/>
      <c r="F25" s="67"/>
      <c r="G25" s="21"/>
      <c r="I25" s="48"/>
      <c r="J25" s="48"/>
      <c r="K25" s="68"/>
      <c r="L25" s="390"/>
      <c r="O25" s="68"/>
      <c r="P25" s="68"/>
      <c r="Q25" s="68"/>
      <c r="R25" s="20"/>
      <c r="S25" s="69"/>
      <c r="T25" s="70"/>
      <c r="U25" s="71"/>
      <c r="V25" s="20"/>
      <c r="W25" s="60"/>
    </row>
    <row r="26" spans="1:23">
      <c r="A26" s="59"/>
      <c r="C26" s="60" t="s">
        <v>128</v>
      </c>
      <c r="D26" s="548"/>
      <c r="E26" s="60"/>
      <c r="F26" s="211"/>
      <c r="G26" s="50"/>
      <c r="I26" s="48"/>
      <c r="J26" s="48"/>
      <c r="K26" s="497"/>
      <c r="L26" s="389"/>
      <c r="O26" s="20"/>
      <c r="P26" s="20"/>
      <c r="Q26" s="20"/>
      <c r="R26" s="20"/>
      <c r="S26" s="20"/>
      <c r="T26" s="20"/>
      <c r="U26" s="20"/>
      <c r="V26" s="20"/>
      <c r="W26" s="60"/>
    </row>
    <row r="27" spans="1:23">
      <c r="A27" s="59" t="s">
        <v>129</v>
      </c>
      <c r="C27" s="60" t="s">
        <v>130</v>
      </c>
      <c r="D27" s="548"/>
      <c r="E27" s="60"/>
      <c r="F27" s="67" t="s">
        <v>748</v>
      </c>
      <c r="G27" s="21"/>
      <c r="I27" s="47">
        <f>+'Attachment H-29A'!I151</f>
        <v>0</v>
      </c>
      <c r="J27" s="48"/>
      <c r="K27" s="497"/>
      <c r="L27" s="389"/>
      <c r="R27" s="20"/>
      <c r="S27" s="64"/>
      <c r="T27" s="20"/>
      <c r="U27" s="21"/>
      <c r="V27" s="58"/>
      <c r="W27" s="60"/>
    </row>
    <row r="28" spans="1:23">
      <c r="A28" s="59" t="s">
        <v>131</v>
      </c>
      <c r="C28" s="60" t="s">
        <v>132</v>
      </c>
      <c r="D28" s="548"/>
      <c r="E28" s="60"/>
      <c r="F28" s="67" t="s">
        <v>133</v>
      </c>
      <c r="G28" s="21"/>
      <c r="I28" s="497">
        <f>IF(I27=0,0,I27/I15)</f>
        <v>0</v>
      </c>
      <c r="J28" s="48"/>
      <c r="K28" s="68">
        <f>I28</f>
        <v>0</v>
      </c>
      <c r="L28" s="390"/>
      <c r="O28" s="68"/>
      <c r="P28" s="68"/>
      <c r="Q28" s="68"/>
      <c r="R28" s="20"/>
      <c r="S28" s="69"/>
      <c r="T28" s="20"/>
      <c r="U28" s="71"/>
      <c r="V28" s="58"/>
      <c r="W28" s="60"/>
    </row>
    <row r="29" spans="1:23">
      <c r="A29" s="59"/>
      <c r="C29" s="60"/>
      <c r="D29" s="548"/>
      <c r="E29" s="60"/>
      <c r="F29" s="67"/>
      <c r="G29" s="21"/>
      <c r="I29" s="20"/>
      <c r="K29" s="497"/>
      <c r="L29" s="389"/>
      <c r="O29" s="20"/>
      <c r="P29" s="20"/>
      <c r="Q29" s="20"/>
      <c r="R29" s="20"/>
      <c r="V29" s="20"/>
      <c r="W29" s="60"/>
    </row>
    <row r="30" spans="1:23">
      <c r="A30" s="59" t="s">
        <v>134</v>
      </c>
      <c r="C30" s="60" t="s">
        <v>175</v>
      </c>
      <c r="D30" s="548"/>
      <c r="E30" s="60"/>
      <c r="F30" s="67" t="s">
        <v>749</v>
      </c>
      <c r="G30" s="21"/>
      <c r="I30" s="47">
        <f>-'Attachment H-29A'!I18</f>
        <v>0</v>
      </c>
      <c r="K30" s="497"/>
      <c r="L30" s="389"/>
      <c r="O30" s="20"/>
      <c r="P30" s="20"/>
      <c r="Q30" s="20"/>
      <c r="R30" s="20"/>
      <c r="V30" s="20"/>
      <c r="W30" s="60"/>
    </row>
    <row r="31" spans="1:23">
      <c r="A31" s="59" t="s">
        <v>137</v>
      </c>
      <c r="C31" s="60" t="s">
        <v>378</v>
      </c>
      <c r="D31" s="548"/>
      <c r="E31" s="60"/>
      <c r="F31" s="67" t="s">
        <v>170</v>
      </c>
      <c r="G31" s="21"/>
      <c r="I31" s="496">
        <f>IF(I30=0,0,I30/I15)</f>
        <v>0</v>
      </c>
      <c r="K31" s="497">
        <f>+I31</f>
        <v>0</v>
      </c>
      <c r="L31" s="389"/>
      <c r="O31" s="20"/>
      <c r="P31" s="20"/>
      <c r="Q31" s="20"/>
      <c r="R31" s="20"/>
      <c r="V31" s="20"/>
      <c r="W31" s="60"/>
    </row>
    <row r="32" spans="1:23">
      <c r="A32" s="59"/>
      <c r="C32" s="60"/>
      <c r="D32" s="548"/>
      <c r="E32" s="60"/>
      <c r="F32" s="67"/>
      <c r="G32" s="21"/>
      <c r="I32" s="20"/>
      <c r="K32" s="497"/>
      <c r="L32" s="389"/>
      <c r="O32" s="20"/>
      <c r="P32" s="20"/>
      <c r="Q32" s="20"/>
      <c r="R32" s="20"/>
      <c r="V32" s="20"/>
      <c r="W32" s="60"/>
    </row>
    <row r="33" spans="1:23">
      <c r="A33" s="73" t="s">
        <v>138</v>
      </c>
      <c r="B33" s="74"/>
      <c r="C33" s="65" t="s">
        <v>135</v>
      </c>
      <c r="D33" s="549"/>
      <c r="E33" s="65"/>
      <c r="F33" s="75" t="s">
        <v>171</v>
      </c>
      <c r="G33" s="61"/>
      <c r="I33" s="70"/>
      <c r="K33" s="76">
        <f>K20+K24+K28+K31</f>
        <v>1.3796296048190545E-2</v>
      </c>
      <c r="L33" s="391"/>
      <c r="O33" s="76"/>
      <c r="P33" s="76"/>
      <c r="Q33" s="76"/>
      <c r="R33" s="20"/>
      <c r="V33" s="20"/>
      <c r="W33" s="60"/>
    </row>
    <row r="34" spans="1:23">
      <c r="A34" s="59"/>
      <c r="C34" s="60"/>
      <c r="D34" s="548"/>
      <c r="E34" s="60"/>
      <c r="F34" s="67"/>
      <c r="G34" s="21"/>
      <c r="I34" s="20"/>
      <c r="K34" s="497"/>
      <c r="L34" s="389"/>
      <c r="O34" s="20"/>
      <c r="P34" s="20"/>
      <c r="Q34" s="20"/>
      <c r="R34" s="20"/>
      <c r="S34" s="20"/>
      <c r="T34" s="20"/>
      <c r="U34" s="77"/>
      <c r="V34" s="20"/>
      <c r="W34" s="60"/>
    </row>
    <row r="35" spans="1:23">
      <c r="A35" s="59"/>
      <c r="B35" s="78"/>
      <c r="C35" s="20" t="s">
        <v>136</v>
      </c>
      <c r="D35" s="538"/>
      <c r="E35" s="20"/>
      <c r="F35" s="67"/>
      <c r="G35" s="21"/>
      <c r="I35" s="20"/>
      <c r="K35" s="497"/>
      <c r="L35" s="389"/>
      <c r="O35" s="20"/>
      <c r="P35" s="20"/>
      <c r="Q35" s="20"/>
      <c r="R35" s="79"/>
      <c r="S35" s="78"/>
      <c r="V35" s="58"/>
      <c r="W35" s="20" t="s">
        <v>2</v>
      </c>
    </row>
    <row r="36" spans="1:23">
      <c r="A36" s="59" t="s">
        <v>140</v>
      </c>
      <c r="B36" s="78"/>
      <c r="C36" s="20" t="s">
        <v>42</v>
      </c>
      <c r="D36" s="538"/>
      <c r="E36" s="20"/>
      <c r="F36" s="67" t="s">
        <v>750</v>
      </c>
      <c r="G36" s="21"/>
      <c r="I36" s="47">
        <f>+'Attachment H-29A'!I166</f>
        <v>967040.37582805229</v>
      </c>
      <c r="K36" s="497"/>
      <c r="L36" s="389"/>
      <c r="O36" s="20"/>
      <c r="P36" s="20"/>
      <c r="Q36" s="20"/>
      <c r="R36" s="79"/>
      <c r="S36" s="78"/>
      <c r="V36" s="58"/>
      <c r="W36" s="20"/>
    </row>
    <row r="37" spans="1:23">
      <c r="A37" s="59" t="s">
        <v>142</v>
      </c>
      <c r="B37" s="78"/>
      <c r="C37" s="20" t="s">
        <v>139</v>
      </c>
      <c r="D37" s="538"/>
      <c r="E37" s="20"/>
      <c r="F37" s="67" t="s">
        <v>144</v>
      </c>
      <c r="G37" s="21"/>
      <c r="I37" s="497">
        <f>IF(I16=0,0,I36/I16)</f>
        <v>2.6016322950841664E-2</v>
      </c>
      <c r="K37" s="68">
        <f>I37</f>
        <v>2.6016322950841664E-2</v>
      </c>
      <c r="L37" s="390"/>
      <c r="O37" s="68"/>
      <c r="P37" s="68"/>
      <c r="Q37" s="68"/>
      <c r="R37" s="79"/>
      <c r="S37" s="78"/>
      <c r="T37" s="20"/>
      <c r="U37" s="20"/>
      <c r="V37" s="58"/>
      <c r="W37" s="20"/>
    </row>
    <row r="38" spans="1:23">
      <c r="A38" s="59"/>
      <c r="C38" s="20"/>
      <c r="D38" s="538"/>
      <c r="E38" s="20"/>
      <c r="F38" s="67"/>
      <c r="G38" s="21"/>
      <c r="I38" s="20"/>
      <c r="K38" s="497"/>
      <c r="L38" s="389"/>
      <c r="O38" s="20"/>
      <c r="P38" s="20"/>
      <c r="Q38" s="20"/>
      <c r="R38" s="20"/>
      <c r="T38" s="24"/>
      <c r="U38" s="20"/>
      <c r="V38" s="24"/>
      <c r="W38" s="60"/>
    </row>
    <row r="39" spans="1:23">
      <c r="A39" s="59"/>
      <c r="C39" s="60" t="s">
        <v>43</v>
      </c>
      <c r="D39" s="548"/>
      <c r="E39" s="60"/>
      <c r="F39" s="80"/>
      <c r="G39" s="81"/>
      <c r="K39" s="497"/>
      <c r="L39" s="389"/>
      <c r="R39" s="20"/>
      <c r="T39" s="20"/>
      <c r="U39" s="20"/>
      <c r="V39" s="20"/>
      <c r="W39" s="60"/>
    </row>
    <row r="40" spans="1:23">
      <c r="A40" s="59" t="s">
        <v>145</v>
      </c>
      <c r="C40" s="60" t="s">
        <v>141</v>
      </c>
      <c r="D40" s="548"/>
      <c r="E40" s="60"/>
      <c r="F40" s="67" t="s">
        <v>751</v>
      </c>
      <c r="G40" s="21"/>
      <c r="I40" s="47">
        <f>+'Attachment H-29A'!I169</f>
        <v>2855515.4590004804</v>
      </c>
      <c r="K40" s="497"/>
      <c r="L40" s="389"/>
      <c r="O40" s="20"/>
      <c r="P40" s="20"/>
      <c r="Q40" s="20"/>
      <c r="R40" s="20"/>
      <c r="T40" s="20"/>
      <c r="U40" s="20"/>
      <c r="V40" s="20"/>
      <c r="W40" s="60"/>
    </row>
    <row r="41" spans="1:23">
      <c r="A41" s="59" t="s">
        <v>168</v>
      </c>
      <c r="B41" s="78"/>
      <c r="C41" s="20" t="s">
        <v>143</v>
      </c>
      <c r="D41" s="538"/>
      <c r="E41" s="20"/>
      <c r="F41" s="67" t="s">
        <v>329</v>
      </c>
      <c r="G41" s="21"/>
      <c r="I41" s="497">
        <f>IF(I16=0,0,I40/I16)</f>
        <v>7.6822037868754647E-2</v>
      </c>
      <c r="K41" s="68">
        <f>I41</f>
        <v>7.6822037868754647E-2</v>
      </c>
      <c r="L41" s="390"/>
      <c r="O41" s="68"/>
      <c r="P41" s="68"/>
      <c r="Q41" s="68"/>
      <c r="R41" s="20"/>
      <c r="U41" s="82"/>
      <c r="V41" s="58"/>
      <c r="W41" s="20"/>
    </row>
    <row r="42" spans="1:23">
      <c r="A42" s="59"/>
      <c r="C42" s="60"/>
      <c r="D42" s="548"/>
      <c r="E42" s="60"/>
      <c r="F42" s="67"/>
      <c r="G42" s="21"/>
      <c r="I42" s="388"/>
      <c r="K42" s="497"/>
      <c r="L42" s="389"/>
      <c r="O42" s="20"/>
      <c r="P42" s="20"/>
      <c r="Q42" s="20"/>
      <c r="R42" s="20"/>
      <c r="S42" s="81"/>
      <c r="T42" s="20"/>
      <c r="U42" s="20"/>
      <c r="V42" s="20"/>
      <c r="W42" s="60"/>
    </row>
    <row r="43" spans="1:23">
      <c r="A43" s="73" t="s">
        <v>169</v>
      </c>
      <c r="B43" s="74"/>
      <c r="C43" s="65" t="s">
        <v>146</v>
      </c>
      <c r="D43" s="549"/>
      <c r="E43" s="65"/>
      <c r="F43" s="75" t="s">
        <v>172</v>
      </c>
      <c r="G43" s="61"/>
      <c r="I43" s="497">
        <f>+I41+I37</f>
        <v>0.10283836081959631</v>
      </c>
      <c r="K43" s="76">
        <f>K37+K41</f>
        <v>0.10283836081959631</v>
      </c>
      <c r="L43" s="391"/>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Pennsylvania, LLC</v>
      </c>
      <c r="P50" s="546" t="str">
        <f>+F50</f>
        <v>Transource Pennsylvania, LLC</v>
      </c>
      <c r="R50" s="20"/>
      <c r="T50" s="20"/>
      <c r="U50" s="24"/>
      <c r="V50" s="20"/>
      <c r="W50" s="60"/>
    </row>
    <row r="51" spans="1:23" s="410" customFormat="1">
      <c r="A51" s="446"/>
      <c r="D51" s="539"/>
      <c r="F51" s="65"/>
      <c r="G51" s="65"/>
      <c r="I51" s="24"/>
      <c r="J51" s="24"/>
      <c r="K51" s="24"/>
      <c r="L51" s="24"/>
      <c r="M51" s="24"/>
      <c r="N51" s="24"/>
      <c r="O51" s="24"/>
      <c r="P51" s="24"/>
      <c r="Q51" s="24"/>
      <c r="R51" s="408"/>
      <c r="S51" s="408"/>
      <c r="T51" s="408"/>
      <c r="U51" s="24"/>
      <c r="V51" s="408"/>
      <c r="W51" s="60"/>
    </row>
    <row r="52" spans="1:23" s="410" customFormat="1" ht="53.25" customHeight="1">
      <c r="A52" s="446"/>
      <c r="C52" s="1002" t="s">
        <v>771</v>
      </c>
      <c r="D52" s="1002"/>
      <c r="E52" s="1002"/>
      <c r="F52" s="1002"/>
      <c r="G52" s="1002"/>
      <c r="H52" s="1002"/>
      <c r="I52" s="1002"/>
      <c r="J52" s="1002"/>
      <c r="K52" s="1002"/>
      <c r="L52" s="445"/>
      <c r="M52" s="24"/>
      <c r="N52" s="24"/>
      <c r="O52" s="24"/>
      <c r="P52" s="24"/>
      <c r="Q52" s="24"/>
      <c r="R52" s="408"/>
      <c r="S52" s="408"/>
      <c r="T52" s="408"/>
      <c r="U52" s="24"/>
      <c r="V52" s="408"/>
      <c r="W52" s="60"/>
    </row>
    <row r="53" spans="1:23" s="410" customFormat="1" ht="28.5" customHeight="1">
      <c r="A53" s="446"/>
      <c r="C53" s="1004" t="s">
        <v>665</v>
      </c>
      <c r="D53" s="1004"/>
      <c r="E53" s="1004"/>
      <c r="F53" s="1004"/>
      <c r="G53" s="1004"/>
      <c r="H53" s="1004"/>
      <c r="I53" s="1004"/>
      <c r="J53" s="1004"/>
      <c r="K53" s="1004"/>
      <c r="L53" s="24"/>
      <c r="M53" s="24"/>
      <c r="N53" s="24"/>
      <c r="O53" s="24"/>
      <c r="P53" s="24"/>
      <c r="Q53" s="24"/>
      <c r="R53" s="408"/>
      <c r="S53" s="408"/>
      <c r="T53" s="408"/>
      <c r="U53" s="24"/>
      <c r="V53" s="408"/>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2"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770</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6" t="s">
        <v>904</v>
      </c>
      <c r="D59" s="558" t="s">
        <v>581</v>
      </c>
      <c r="E59" s="958" t="s">
        <v>905</v>
      </c>
      <c r="F59" s="563">
        <f>I15</f>
        <v>37170524.737692311</v>
      </c>
      <c r="G59" s="389">
        <f>$K$33</f>
        <v>1.3796296048190545E-2</v>
      </c>
      <c r="H59" s="265">
        <f>F59*G59</f>
        <v>512815.56354779331</v>
      </c>
      <c r="I59" s="560">
        <f>I16</f>
        <v>37170524.737692311</v>
      </c>
      <c r="J59" s="389">
        <f>$K$43</f>
        <v>0.10283836081959631</v>
      </c>
      <c r="K59" s="567">
        <f>I59*J59</f>
        <v>3822555.8348285323</v>
      </c>
      <c r="L59" s="512" t="str">
        <f>+A59</f>
        <v>1a</v>
      </c>
      <c r="M59" s="563">
        <f>+'Attachment H-29A'!D137</f>
        <v>0</v>
      </c>
      <c r="N59" s="265">
        <f>H59+K59+M59</f>
        <v>4335371.3983763251</v>
      </c>
      <c r="O59" s="281">
        <v>0</v>
      </c>
      <c r="P59" s="265">
        <f>O59/100*'2-Incentive ROE'!$J$38*I59</f>
        <v>0</v>
      </c>
      <c r="Q59" s="265">
        <f>+N59+P59</f>
        <v>4335371.3983763251</v>
      </c>
      <c r="R59" s="563">
        <v>0</v>
      </c>
      <c r="S59" s="567">
        <f>+N59+P59-R59</f>
        <v>4335371.3983763251</v>
      </c>
      <c r="T59" s="563">
        <v>0</v>
      </c>
      <c r="U59" s="265">
        <f>+S59+T59</f>
        <v>4335371.3983763251</v>
      </c>
    </row>
    <row r="60" spans="1:23">
      <c r="A60" s="512" t="s">
        <v>503</v>
      </c>
      <c r="B60" s="96"/>
      <c r="C60" s="956"/>
      <c r="D60" s="558"/>
      <c r="E60" s="958"/>
      <c r="F60" s="563">
        <v>0</v>
      </c>
      <c r="G60" s="389">
        <f>$K$33</f>
        <v>1.3796296048190545E-2</v>
      </c>
      <c r="H60" s="265">
        <f>F60*G60</f>
        <v>0</v>
      </c>
      <c r="I60" s="97">
        <v>0</v>
      </c>
      <c r="J60" s="389">
        <f>$K$43</f>
        <v>0.10283836081959631</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37170524.737692311</v>
      </c>
      <c r="G61" s="510"/>
      <c r="H61" s="511">
        <f>+H59+H60</f>
        <v>512815.56354779331</v>
      </c>
      <c r="I61" s="535">
        <f>+I59+I60</f>
        <v>37170524.737692311</v>
      </c>
      <c r="J61" s="510"/>
      <c r="K61" s="511">
        <f>+K59+K60</f>
        <v>3822555.8348285323</v>
      </c>
      <c r="L61" s="532">
        <f>+A61</f>
        <v>2</v>
      </c>
      <c r="M61" s="536">
        <f>+M59+M60</f>
        <v>0</v>
      </c>
      <c r="N61" s="511">
        <f>+N59+N60</f>
        <v>4335371.3983763251</v>
      </c>
      <c r="O61" s="514"/>
      <c r="P61" s="511">
        <f t="shared" ref="P61:U61" si="0">+P59+P60</f>
        <v>0</v>
      </c>
      <c r="Q61" s="511">
        <f t="shared" si="0"/>
        <v>4335371.3983763251</v>
      </c>
      <c r="R61" s="536">
        <f t="shared" si="0"/>
        <v>0</v>
      </c>
      <c r="S61" s="511">
        <f t="shared" si="0"/>
        <v>4335371.3983763251</v>
      </c>
      <c r="T61" s="536">
        <f t="shared" si="0"/>
        <v>0</v>
      </c>
      <c r="U61" s="511">
        <f t="shared" si="0"/>
        <v>4335371.3983763251</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7"/>
      <c r="D63" s="558" t="s">
        <v>582</v>
      </c>
      <c r="E63" s="959"/>
      <c r="F63" s="563">
        <v>0</v>
      </c>
      <c r="G63" s="389">
        <f>$K$33</f>
        <v>1.3796296048190545E-2</v>
      </c>
      <c r="H63" s="265">
        <f>F63*G63</f>
        <v>0</v>
      </c>
      <c r="I63" s="97">
        <v>0</v>
      </c>
      <c r="J63" s="389">
        <f>$K$43</f>
        <v>0.10283836081959631</v>
      </c>
      <c r="K63" s="567">
        <f>I63*J63</f>
        <v>0</v>
      </c>
      <c r="L63" s="512" t="str">
        <f t="shared" ref="L63:L69" si="1">+A63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7"/>
      <c r="D64" s="558"/>
      <c r="E64" s="959"/>
      <c r="F64" s="563">
        <v>0</v>
      </c>
      <c r="G64" s="389">
        <f>$K$33</f>
        <v>1.3796296048190545E-2</v>
      </c>
      <c r="H64" s="265">
        <f>F64*G64</f>
        <v>0</v>
      </c>
      <c r="I64" s="97">
        <v>0</v>
      </c>
      <c r="J64" s="389">
        <f>$K$43</f>
        <v>0.10283836081959631</v>
      </c>
      <c r="K64" s="567">
        <f>I64*J64</f>
        <v>0</v>
      </c>
      <c r="L64" s="512" t="str">
        <f t="shared" si="1"/>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60"/>
      <c r="F65" s="536">
        <f>+F63+F64</f>
        <v>0</v>
      </c>
      <c r="G65" s="510"/>
      <c r="H65" s="511">
        <f>+H63+H64</f>
        <v>0</v>
      </c>
      <c r="I65" s="535">
        <f>+I63+I64</f>
        <v>0</v>
      </c>
      <c r="J65" s="510"/>
      <c r="K65" s="511">
        <f>+K63+K64</f>
        <v>0</v>
      </c>
      <c r="L65" s="532">
        <f t="shared" si="1"/>
        <v>4</v>
      </c>
      <c r="M65" s="536">
        <f>+M63+M64</f>
        <v>0</v>
      </c>
      <c r="N65" s="511">
        <f>+N63+N64</f>
        <v>0</v>
      </c>
      <c r="O65" s="514"/>
      <c r="P65" s="511">
        <f t="shared" ref="P65:U65" si="2">+P63+P64</f>
        <v>0</v>
      </c>
      <c r="Q65" s="511">
        <f t="shared" si="2"/>
        <v>0</v>
      </c>
      <c r="R65" s="536">
        <f t="shared" si="2"/>
        <v>0</v>
      </c>
      <c r="S65" s="511">
        <f t="shared" si="2"/>
        <v>0</v>
      </c>
      <c r="T65" s="536">
        <f t="shared" si="2"/>
        <v>0</v>
      </c>
      <c r="U65" s="511">
        <f t="shared" si="2"/>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1"/>
        <v>5</v>
      </c>
      <c r="M67" s="563"/>
      <c r="N67" s="567"/>
      <c r="O67" s="569"/>
      <c r="P67" s="567"/>
      <c r="Q67" s="567"/>
      <c r="R67" s="563"/>
      <c r="S67" s="567"/>
      <c r="T67" s="563"/>
      <c r="U67" s="567"/>
    </row>
    <row r="68" spans="1:21">
      <c r="A68" s="579"/>
      <c r="B68" s="46"/>
      <c r="C68" s="46"/>
      <c r="D68" s="544"/>
      <c r="E68" s="46"/>
      <c r="F68" s="509"/>
      <c r="G68" s="46"/>
      <c r="H68" s="416"/>
      <c r="I68" s="46"/>
      <c r="J68" s="46"/>
      <c r="K68" s="416"/>
      <c r="L68" s="579"/>
      <c r="M68" s="46"/>
      <c r="N68" s="416"/>
      <c r="O68" s="282"/>
      <c r="P68" s="485"/>
      <c r="Q68" s="485"/>
      <c r="R68" s="208"/>
      <c r="S68" s="207"/>
      <c r="T68" s="46"/>
      <c r="U68" s="266">
        <f>N68+T68</f>
        <v>0</v>
      </c>
    </row>
    <row r="69" spans="1:21">
      <c r="A69" s="654">
        <f>+A67+1</f>
        <v>6</v>
      </c>
      <c r="B69" s="655"/>
      <c r="C69" s="656" t="s">
        <v>159</v>
      </c>
      <c r="D69" s="656"/>
      <c r="E69" s="656"/>
      <c r="F69" s="657">
        <f>+F61+F65+F67</f>
        <v>37170524.737692311</v>
      </c>
      <c r="G69" s="658"/>
      <c r="H69" s="661">
        <f>+H61+H65+H67</f>
        <v>512815.56354779331</v>
      </c>
      <c r="I69" s="657">
        <f>+I61+I65+I67</f>
        <v>37170524.737692311</v>
      </c>
      <c r="J69" s="659"/>
      <c r="K69" s="661">
        <f>+K61+K65+K67</f>
        <v>3822555.8348285323</v>
      </c>
      <c r="L69" s="654">
        <f t="shared" si="1"/>
        <v>6</v>
      </c>
      <c r="M69" s="657">
        <f>+M61+M65+M67</f>
        <v>0</v>
      </c>
      <c r="N69" s="661">
        <f>+N61+N65+N67</f>
        <v>4335371.3983763251</v>
      </c>
      <c r="O69" s="660"/>
      <c r="P69" s="661">
        <f t="shared" ref="P69:U69" si="3">+P61+P65+P67</f>
        <v>0</v>
      </c>
      <c r="Q69" s="661">
        <f t="shared" si="3"/>
        <v>4335371.3983763251</v>
      </c>
      <c r="R69" s="661">
        <f t="shared" si="3"/>
        <v>0</v>
      </c>
      <c r="S69" s="661">
        <f t="shared" si="3"/>
        <v>4335371.3983763251</v>
      </c>
      <c r="T69" s="661">
        <f t="shared" si="3"/>
        <v>0</v>
      </c>
      <c r="U69" s="661">
        <f t="shared" si="3"/>
        <v>4335371.3983763251</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0" customFormat="1" ht="27.75" customHeight="1">
      <c r="A74" s="98" t="s">
        <v>62</v>
      </c>
      <c r="C74" s="1001" t="s">
        <v>865</v>
      </c>
      <c r="D74" s="1001"/>
      <c r="E74" s="1001"/>
      <c r="F74" s="1001"/>
      <c r="G74" s="1001"/>
      <c r="H74" s="1001"/>
      <c r="I74" s="1001"/>
      <c r="J74" s="1001"/>
      <c r="K74" s="1001"/>
      <c r="L74" s="561" t="str">
        <f>+A74</f>
        <v>A</v>
      </c>
      <c r="M74" s="1001" t="str">
        <f>+C74</f>
        <v>Gross Transmission Plant is that identified on page 2 line 2 of Attachment H-29A inclusive of any CWIP included in rate base when authorized by FERC order.</v>
      </c>
      <c r="N74" s="1001"/>
      <c r="O74" s="1001"/>
      <c r="P74" s="1001"/>
      <c r="Q74" s="1001"/>
      <c r="R74" s="1001"/>
      <c r="S74" s="1001"/>
      <c r="T74" s="1001"/>
      <c r="U74" s="1001"/>
    </row>
    <row r="75" spans="1:21" ht="29.25" customHeight="1">
      <c r="A75" s="98" t="s">
        <v>63</v>
      </c>
      <c r="C75" s="1001" t="s">
        <v>752</v>
      </c>
      <c r="D75" s="1001"/>
      <c r="E75" s="1001"/>
      <c r="F75" s="1001"/>
      <c r="G75" s="1001"/>
      <c r="H75" s="1001"/>
      <c r="I75" s="1001"/>
      <c r="J75" s="1001"/>
      <c r="K75" s="1001"/>
      <c r="L75" s="561" t="str">
        <f t="shared" ref="L75:L82" si="4">+A75</f>
        <v>B</v>
      </c>
      <c r="M75" s="1001" t="str">
        <f t="shared" ref="M75:M82" si="5">+C75</f>
        <v>Net Plant is that identified on page 2 line 14 of Attachment H-29A inclusive of any CWIP or unamortized Abandoned Plant included in rate base when authorized by FERC order less any prefunded AFUDC, if applicable.</v>
      </c>
      <c r="N75" s="1001"/>
      <c r="O75" s="1001"/>
      <c r="P75" s="1001"/>
      <c r="Q75" s="1001"/>
      <c r="R75" s="1001"/>
      <c r="S75" s="1001"/>
      <c r="T75" s="1001"/>
      <c r="U75" s="1001"/>
    </row>
    <row r="76" spans="1:21" s="410" customFormat="1" ht="15" customHeight="1">
      <c r="A76" s="98" t="s">
        <v>64</v>
      </c>
      <c r="B76" s="478"/>
      <c r="C76" s="1001" t="s">
        <v>633</v>
      </c>
      <c r="D76" s="1001"/>
      <c r="E76" s="1001"/>
      <c r="F76" s="1001"/>
      <c r="G76" s="1001"/>
      <c r="H76" s="1001"/>
      <c r="I76" s="1001"/>
      <c r="J76" s="1001"/>
      <c r="K76" s="1001"/>
      <c r="L76" s="561" t="str">
        <f t="shared" si="4"/>
        <v>C</v>
      </c>
      <c r="M76" s="1001" t="str">
        <f t="shared" si="5"/>
        <v>General and Intangible Depreciation and Amortization Expense includes all expense not directly associated with a project, which is entered on page 3 , column 9.</v>
      </c>
      <c r="N76" s="1001"/>
      <c r="O76" s="1001"/>
      <c r="P76" s="1001"/>
      <c r="Q76" s="1001"/>
      <c r="R76" s="1001"/>
      <c r="S76" s="1001"/>
      <c r="T76" s="1001"/>
      <c r="U76" s="1001"/>
    </row>
    <row r="77" spans="1:21" ht="30" customHeight="1">
      <c r="A77" s="98" t="s">
        <v>65</v>
      </c>
      <c r="C77" s="1001" t="s">
        <v>500</v>
      </c>
      <c r="D77" s="1001"/>
      <c r="E77" s="1001"/>
      <c r="F77" s="1001"/>
      <c r="G77" s="1001"/>
      <c r="H77" s="1001"/>
      <c r="I77" s="1001"/>
      <c r="J77" s="1001"/>
      <c r="K77" s="1001"/>
      <c r="L77" s="561" t="str">
        <f t="shared" si="4"/>
        <v>D</v>
      </c>
      <c r="M77" s="1001"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001"/>
      <c r="O77" s="1001"/>
      <c r="P77" s="1001"/>
      <c r="Q77" s="1001"/>
      <c r="R77" s="1001"/>
      <c r="S77" s="1001"/>
      <c r="T77" s="1001"/>
      <c r="U77" s="1001"/>
    </row>
    <row r="78" spans="1:21" ht="29.25" customHeight="1">
      <c r="A78" s="98" t="s">
        <v>66</v>
      </c>
      <c r="C78" s="1001" t="s">
        <v>867</v>
      </c>
      <c r="D78" s="1001"/>
      <c r="E78" s="1001"/>
      <c r="F78" s="1001"/>
      <c r="G78" s="1001"/>
      <c r="H78" s="1001"/>
      <c r="I78" s="1001"/>
      <c r="J78" s="1001"/>
      <c r="K78" s="1001"/>
      <c r="L78" s="561" t="str">
        <f t="shared" si="4"/>
        <v>E</v>
      </c>
      <c r="M78" s="1001" t="str">
        <f t="shared" si="5"/>
        <v>Project Net Plant is the Project Gross Plant Identified in Column 3 less the associated Accumulated Depreciation plus CWIP in rate base, if applicable and Unamortized Abandoned Plant, if applicable.</v>
      </c>
      <c r="N78" s="1001"/>
      <c r="O78" s="1001"/>
      <c r="P78" s="1001"/>
      <c r="Q78" s="1001"/>
      <c r="R78" s="1001"/>
      <c r="S78" s="1001"/>
      <c r="T78" s="1001"/>
      <c r="U78" s="1001"/>
    </row>
    <row r="79" spans="1:21" ht="27" customHeight="1">
      <c r="A79" s="98" t="s">
        <v>67</v>
      </c>
      <c r="C79" s="1001" t="s">
        <v>868</v>
      </c>
      <c r="D79" s="1001"/>
      <c r="E79" s="1001"/>
      <c r="F79" s="1001"/>
      <c r="G79" s="1001"/>
      <c r="H79" s="1001"/>
      <c r="I79" s="1001"/>
      <c r="J79" s="1001"/>
      <c r="K79" s="1001"/>
      <c r="L79" s="561" t="str">
        <f t="shared" si="4"/>
        <v>F</v>
      </c>
      <c r="M79" s="1001" t="str">
        <f t="shared" si="5"/>
        <v>Project Depreciation Expense is the actual value booked for the project (excluding General and Intangible depreciation) at Attachment H-29A, page 3, line 19, plus amortization of Abandoned Plant at Attachment H-29A, page 3, line 21, if applicable.</v>
      </c>
      <c r="N79" s="1001"/>
      <c r="O79" s="1001"/>
      <c r="P79" s="1001"/>
      <c r="Q79" s="1001"/>
      <c r="R79" s="1001"/>
      <c r="S79" s="1001"/>
      <c r="T79" s="1001"/>
      <c r="U79" s="1001"/>
    </row>
    <row r="80" spans="1:21">
      <c r="A80" s="484" t="s">
        <v>68</v>
      </c>
      <c r="C80" s="483" t="s">
        <v>501</v>
      </c>
      <c r="D80" s="600"/>
      <c r="E80" s="483"/>
      <c r="F80" s="483"/>
      <c r="G80" s="483"/>
      <c r="H80" s="483"/>
      <c r="I80" s="483"/>
      <c r="J80" s="483"/>
      <c r="K80" s="483"/>
      <c r="L80" s="561" t="str">
        <f t="shared" si="4"/>
        <v>G</v>
      </c>
      <c r="M80" s="1001" t="str">
        <f t="shared" si="5"/>
        <v>Requires approval by FERC of incentive return applicable to the specified project(s).</v>
      </c>
      <c r="N80" s="1001"/>
      <c r="O80" s="1001"/>
      <c r="P80" s="1001"/>
      <c r="Q80" s="1001"/>
      <c r="R80" s="1001"/>
      <c r="S80" s="1001"/>
      <c r="T80" s="1001"/>
      <c r="U80" s="1001"/>
    </row>
    <row r="81" spans="1:21" ht="88.5" customHeight="1">
      <c r="A81" s="98" t="s">
        <v>69</v>
      </c>
      <c r="C81" s="1003" t="s">
        <v>909</v>
      </c>
      <c r="D81" s="1003"/>
      <c r="E81" s="1003"/>
      <c r="F81" s="1003"/>
      <c r="G81" s="1003"/>
      <c r="H81" s="1003"/>
      <c r="I81" s="1003"/>
      <c r="J81" s="1003"/>
      <c r="K81" s="1003"/>
      <c r="L81" s="561" t="str">
        <f t="shared" si="4"/>
        <v>H</v>
      </c>
      <c r="M81" s="1001"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1001"/>
      <c r="O81" s="1001"/>
      <c r="P81" s="1001"/>
      <c r="Q81" s="1001"/>
      <c r="R81" s="1001"/>
      <c r="S81" s="1001"/>
      <c r="T81" s="1001"/>
      <c r="U81" s="1001"/>
    </row>
    <row r="82" spans="1:21">
      <c r="A82" s="98" t="s">
        <v>70</v>
      </c>
      <c r="C82" s="1003" t="s">
        <v>587</v>
      </c>
      <c r="D82" s="1003"/>
      <c r="E82" s="1003"/>
      <c r="F82" s="1003"/>
      <c r="G82" s="1003"/>
      <c r="H82" s="1003"/>
      <c r="I82" s="1003"/>
      <c r="J82" s="1003"/>
      <c r="K82" s="1003"/>
      <c r="L82" s="561" t="str">
        <f t="shared" si="4"/>
        <v>I</v>
      </c>
      <c r="M82" s="1001" t="str">
        <f t="shared" si="5"/>
        <v>True-Up Adjustment is calculated on the Project True-up Schedule for the relevant true-up year.</v>
      </c>
      <c r="N82" s="1001"/>
      <c r="O82" s="1001"/>
      <c r="P82" s="1001"/>
      <c r="Q82" s="1001"/>
      <c r="R82" s="1001"/>
      <c r="S82" s="1001"/>
      <c r="T82" s="1001"/>
      <c r="U82" s="1001"/>
    </row>
    <row r="83" spans="1:21" ht="15.75" customHeight="1">
      <c r="A83" s="98"/>
      <c r="C83" s="1001"/>
      <c r="D83" s="1001"/>
      <c r="E83" s="1001"/>
      <c r="F83" s="1001"/>
      <c r="G83" s="1001"/>
      <c r="H83" s="1001"/>
      <c r="I83" s="1001"/>
      <c r="J83" s="1001"/>
      <c r="K83" s="1001"/>
      <c r="L83" s="444"/>
      <c r="M83" s="483"/>
      <c r="N83" s="483"/>
      <c r="O83" s="483"/>
      <c r="P83" s="483"/>
      <c r="Q83" s="483"/>
      <c r="R83" s="483"/>
      <c r="S83" s="483"/>
    </row>
    <row r="85" spans="1:21">
      <c r="C85" s="320"/>
      <c r="D85" s="581"/>
    </row>
    <row r="86" spans="1:21">
      <c r="C86" s="320"/>
      <c r="D86" s="581"/>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1005" t="s">
        <v>236</v>
      </c>
      <c r="C1" s="1005"/>
      <c r="D1" s="1005"/>
      <c r="E1" s="1005"/>
      <c r="F1" s="1005"/>
      <c r="G1" s="1005"/>
      <c r="H1" s="1005"/>
      <c r="I1" s="1005"/>
      <c r="J1" s="1005"/>
    </row>
    <row r="2" spans="1:10">
      <c r="B2" s="1005" t="s">
        <v>290</v>
      </c>
      <c r="C2" s="1005"/>
      <c r="D2" s="1005"/>
      <c r="E2" s="1005"/>
      <c r="F2" s="1005"/>
      <c r="G2" s="1005"/>
      <c r="H2" s="1005"/>
      <c r="I2" s="1005"/>
      <c r="J2" s="1005"/>
    </row>
    <row r="3" spans="1:10">
      <c r="B3" s="1005" t="str">
        <f>+'Attachment H-29A'!D5</f>
        <v>Transource Pennsylvania, LLC</v>
      </c>
      <c r="C3" s="1005"/>
      <c r="D3" s="1005"/>
      <c r="E3" s="1005"/>
      <c r="F3" s="1005"/>
      <c r="G3" s="1005"/>
      <c r="H3" s="1005"/>
      <c r="I3" s="1005"/>
      <c r="J3" s="1005"/>
    </row>
    <row r="5" spans="1:10">
      <c r="A5" s="260">
        <v>1</v>
      </c>
      <c r="B5" s="225" t="s">
        <v>284</v>
      </c>
      <c r="C5" s="225" t="str">
        <f>"Attachment H-29A, page 2, line "&amp;'Attachment H-29A'!A105&amp;", Col.5"</f>
        <v>Attachment H-29A, page 2, line 35, Col.5</v>
      </c>
      <c r="I5" s="225"/>
      <c r="J5" s="260">
        <f>+'Attachment H-29A'!I105</f>
        <v>38141587.157943472</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8" t="s">
        <v>199</v>
      </c>
      <c r="E9" s="234" t="s">
        <v>48</v>
      </c>
      <c r="F9" s="234" t="s">
        <v>58</v>
      </c>
      <c r="G9" s="229"/>
      <c r="H9" s="234"/>
      <c r="I9" s="234" t="s">
        <v>59</v>
      </c>
      <c r="J9" s="231"/>
    </row>
    <row r="10" spans="1:10">
      <c r="A10" s="227">
        <f>+A7+1</f>
        <v>3</v>
      </c>
      <c r="B10" s="228" t="s">
        <v>227</v>
      </c>
      <c r="C10" s="32" t="s">
        <v>753</v>
      </c>
      <c r="D10" s="235"/>
      <c r="E10" s="471">
        <f>+'Attachment H-29A'!D203</f>
        <v>19753846.153846152</v>
      </c>
      <c r="F10" s="473">
        <f>+'Attachment H-29A'!E203</f>
        <v>0.4</v>
      </c>
      <c r="G10" s="474"/>
      <c r="H10" s="477">
        <f>+'Attachment H-29A'!G203</f>
        <v>3.1165484696261687E-2</v>
      </c>
      <c r="I10" s="475">
        <f>F10*H10</f>
        <v>1.2466193878504676E-2</v>
      </c>
      <c r="J10" s="231"/>
    </row>
    <row r="11" spans="1:10">
      <c r="A11" s="227">
        <f>+A10+1</f>
        <v>4</v>
      </c>
      <c r="B11" s="228" t="s">
        <v>285</v>
      </c>
      <c r="C11" s="32" t="s">
        <v>753</v>
      </c>
      <c r="D11" s="235"/>
      <c r="E11" s="471">
        <f>+'Attachment H-29A'!D204</f>
        <v>0</v>
      </c>
      <c r="F11" s="473">
        <f>+'Attachment H-29A'!E204</f>
        <v>0</v>
      </c>
      <c r="G11" s="474"/>
      <c r="H11" s="477">
        <f>+'Attachment H-29A'!G204</f>
        <v>0</v>
      </c>
      <c r="I11" s="475">
        <f>F11*H11</f>
        <v>0</v>
      </c>
      <c r="J11" s="231"/>
    </row>
    <row r="12" spans="1:10" ht="32.25" thickBot="1">
      <c r="A12" s="227">
        <f>+A11+1</f>
        <v>5</v>
      </c>
      <c r="B12" s="228" t="s">
        <v>262</v>
      </c>
      <c r="C12" s="32" t="s">
        <v>754</v>
      </c>
      <c r="D12" s="275" t="s">
        <v>772</v>
      </c>
      <c r="E12" s="471">
        <f>+'Attachment H-29A'!D205</f>
        <v>13657586.908846153</v>
      </c>
      <c r="F12" s="473">
        <f>+'Attachment H-29A'!E205</f>
        <v>0.6</v>
      </c>
      <c r="G12" s="474"/>
      <c r="H12" s="477">
        <f>+'Attachment H-29A'!G205+0.01</f>
        <v>0.114</v>
      </c>
      <c r="I12" s="476">
        <f>F12*H12</f>
        <v>6.8400000000000002E-2</v>
      </c>
      <c r="J12" s="231"/>
    </row>
    <row r="13" spans="1:10">
      <c r="A13" s="227">
        <f>+A12+1</f>
        <v>6</v>
      </c>
      <c r="B13" s="232" t="s">
        <v>510</v>
      </c>
      <c r="C13" s="236"/>
      <c r="D13" s="236"/>
      <c r="E13" s="471">
        <f>SUM(E10:E12)</f>
        <v>33411433.062692307</v>
      </c>
      <c r="F13" s="226" t="s">
        <v>2</v>
      </c>
      <c r="G13" s="226"/>
      <c r="H13" s="472"/>
      <c r="I13" s="475">
        <f>SUM(I10:I12)</f>
        <v>8.0866193878504675E-2</v>
      </c>
      <c r="J13" s="231"/>
    </row>
    <row r="14" spans="1:10">
      <c r="A14" s="227">
        <f t="shared" ref="A14:A38" si="0">+A13+1</f>
        <v>7</v>
      </c>
      <c r="B14" s="232" t="s">
        <v>779</v>
      </c>
      <c r="C14" s="236"/>
      <c r="D14" s="236"/>
      <c r="E14" s="237"/>
      <c r="F14" s="229"/>
      <c r="G14" s="229"/>
      <c r="H14" s="229"/>
      <c r="I14" s="486"/>
      <c r="J14" s="260">
        <f>+I13*J5</f>
        <v>3084364.981948141</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734</v>
      </c>
      <c r="C17" s="229"/>
      <c r="D17" s="502"/>
      <c r="E17" s="665">
        <f>IF('Attachment H-29A'!D237&gt;0,1-(((1-'Attachment H-29A'!D238)*(1-'Attachment H-29A'!D237))/(1-'Attachment H-29A'!D237*'Attachment H-29A'!D238*'Attachment H-29A'!D239)),0)</f>
        <v>0.28892099999999998</v>
      </c>
      <c r="F17" s="665"/>
      <c r="G17" s="236"/>
      <c r="H17" s="239"/>
      <c r="I17" s="486"/>
      <c r="J17" s="487"/>
    </row>
    <row r="18" spans="1:10">
      <c r="A18" s="227">
        <f t="shared" si="0"/>
        <v>10</v>
      </c>
      <c r="B18" s="236" t="s">
        <v>41</v>
      </c>
      <c r="C18" s="229"/>
      <c r="D18" s="502"/>
      <c r="E18" s="665">
        <f>IF(I13&gt;0,(E17/(1-E17))*(1-I10/I13),0)</f>
        <v>0.34367691033778019</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755</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1.4063135038441579</v>
      </c>
      <c r="F21" s="229"/>
      <c r="G21" s="236"/>
      <c r="H21" s="239"/>
      <c r="I21" s="486"/>
      <c r="J21" s="487"/>
    </row>
    <row r="22" spans="1:10">
      <c r="A22" s="227">
        <f t="shared" si="0"/>
        <v>14</v>
      </c>
      <c r="B22" s="241" t="s">
        <v>238</v>
      </c>
      <c r="C22" s="238"/>
      <c r="D22" s="238" t="s">
        <v>756</v>
      </c>
      <c r="E22" s="243">
        <f>+'Attachment H-29A'!D159</f>
        <v>0</v>
      </c>
      <c r="F22" s="229"/>
      <c r="G22" s="236"/>
      <c r="H22" s="239"/>
      <c r="I22" s="486"/>
      <c r="J22" s="487"/>
    </row>
    <row r="23" spans="1:10">
      <c r="A23" s="227">
        <f t="shared" si="0"/>
        <v>15</v>
      </c>
      <c r="B23" s="241" t="s">
        <v>239</v>
      </c>
      <c r="C23" s="238"/>
      <c r="D23" s="238" t="s">
        <v>757</v>
      </c>
      <c r="E23" s="243">
        <f>+'Attachment H-29A'!D160</f>
        <v>0</v>
      </c>
      <c r="F23" s="229"/>
      <c r="G23" s="236"/>
      <c r="H23" s="244"/>
      <c r="I23" s="486"/>
      <c r="J23" s="487"/>
    </row>
    <row r="24" spans="1:10">
      <c r="A24" s="227">
        <f t="shared" si="0"/>
        <v>16</v>
      </c>
      <c r="B24" s="241" t="s">
        <v>287</v>
      </c>
      <c r="C24" s="238"/>
      <c r="D24" s="238" t="s">
        <v>758</v>
      </c>
      <c r="E24" s="490">
        <f>+'Attachment H-29A'!D161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1060025.0273499803</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H-29A'!G83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1060025.0273499803</v>
      </c>
      <c r="J29" s="260">
        <f>+I29</f>
        <v>1060025.0273499803</v>
      </c>
    </row>
    <row r="30" spans="1:10">
      <c r="A30" s="227"/>
      <c r="I30" s="487"/>
      <c r="J30" s="487"/>
    </row>
    <row r="31" spans="1:10">
      <c r="A31" s="227">
        <f>+A29+1</f>
        <v>22</v>
      </c>
      <c r="B31" s="235" t="s">
        <v>773</v>
      </c>
      <c r="D31" s="238" t="str">
        <f>"(line "&amp;A14&amp;" + line "&amp;A29&amp;")"</f>
        <v>(line 7 + line 21)</v>
      </c>
      <c r="I31" s="487"/>
      <c r="J31" s="260">
        <f>+J29+J14</f>
        <v>4144390.0092981216</v>
      </c>
    </row>
    <row r="32" spans="1:10">
      <c r="A32" s="227"/>
      <c r="I32" s="487"/>
      <c r="J32" s="487"/>
    </row>
    <row r="33" spans="1:10">
      <c r="A33" s="227">
        <f>+A31+1</f>
        <v>23</v>
      </c>
      <c r="B33" s="225" t="s">
        <v>759</v>
      </c>
      <c r="I33" s="487"/>
      <c r="J33" s="260">
        <f>+'Attachment H-29A'!I169</f>
        <v>2855515.4590004804</v>
      </c>
    </row>
    <row r="34" spans="1:10">
      <c r="A34" s="227">
        <f t="shared" si="0"/>
        <v>24</v>
      </c>
      <c r="B34" s="225" t="s">
        <v>760</v>
      </c>
      <c r="I34" s="487"/>
      <c r="J34" s="260">
        <f>+'Attachment H-29A'!I166</f>
        <v>967040.37582805229</v>
      </c>
    </row>
    <row r="35" spans="1:10">
      <c r="A35" s="227">
        <f t="shared" si="0"/>
        <v>25</v>
      </c>
      <c r="B35" s="235" t="s">
        <v>774</v>
      </c>
      <c r="D35" s="238" t="str">
        <f>"(line "&amp;A33&amp;" + line "&amp;A34&amp;")"</f>
        <v>(line 23 + line 24)</v>
      </c>
      <c r="I35" s="487"/>
      <c r="J35" s="690">
        <f>SUM(J33:J34)</f>
        <v>3822555.8348285328</v>
      </c>
    </row>
    <row r="36" spans="1:10">
      <c r="A36" s="227">
        <f t="shared" si="0"/>
        <v>26</v>
      </c>
      <c r="B36" s="235" t="s">
        <v>775</v>
      </c>
      <c r="D36" s="238" t="str">
        <f>"(line "&amp;A31&amp;" - line "&amp;A35&amp;")"</f>
        <v>(line 22 - line 25)</v>
      </c>
      <c r="I36" s="225"/>
      <c r="J36" s="847">
        <f>+J31-J35</f>
        <v>321834.17446958879</v>
      </c>
    </row>
    <row r="37" spans="1:10">
      <c r="A37" s="227">
        <f t="shared" si="0"/>
        <v>27</v>
      </c>
      <c r="B37" s="225" t="s">
        <v>288</v>
      </c>
      <c r="I37" s="225"/>
      <c r="J37" s="276">
        <f>+J5</f>
        <v>38141587.157943472</v>
      </c>
    </row>
    <row r="38" spans="1:10">
      <c r="A38" s="227">
        <f t="shared" si="0"/>
        <v>28</v>
      </c>
      <c r="B38" s="225" t="s">
        <v>776</v>
      </c>
      <c r="I38" s="225"/>
      <c r="J38" s="277">
        <f>IF(J37=0,0,J36/J37)</f>
        <v>8.4378810230649436E-3</v>
      </c>
    </row>
    <row r="39" spans="1:10">
      <c r="I39" s="225"/>
      <c r="J39" s="231"/>
    </row>
    <row r="40" spans="1:10">
      <c r="A40" s="667" t="s">
        <v>267</v>
      </c>
      <c r="I40" s="225"/>
      <c r="J40" s="231"/>
    </row>
    <row r="41" spans="1:10">
      <c r="A41" s="666" t="s">
        <v>62</v>
      </c>
      <c r="B41" s="260" t="s">
        <v>777</v>
      </c>
      <c r="I41" s="225"/>
      <c r="J41" s="231"/>
    </row>
    <row r="42" spans="1:10">
      <c r="A42" s="666"/>
      <c r="B42" s="225" t="s">
        <v>778</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761</v>
      </c>
      <c r="I46" s="225"/>
      <c r="J46" s="231"/>
    </row>
    <row r="47" spans="1:10">
      <c r="A47" s="666" t="s">
        <v>64</v>
      </c>
      <c r="B47" s="225" t="s">
        <v>907</v>
      </c>
    </row>
    <row r="48" spans="1:10">
      <c r="B48" s="225" t="s">
        <v>908</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85" zoomScaleNormal="100" zoomScaleSheetLayoutView="85" workbookViewId="0"/>
  </sheetViews>
  <sheetFormatPr defaultColWidth="8.88671875" defaultRowHeight="12.75"/>
  <cols>
    <col min="1" max="1" width="6" style="437" customWidth="1"/>
    <col min="2" max="2" width="28.33203125" style="410" customWidth="1"/>
    <col min="3" max="3" width="12.109375" style="539" customWidth="1"/>
    <col min="4" max="4" width="21.6640625" style="410" customWidth="1"/>
    <col min="5" max="5" width="14.6640625" style="410" customWidth="1"/>
    <col min="6" max="6" width="14.5546875" style="410" customWidth="1"/>
    <col min="7" max="7" width="15.21875" style="410" customWidth="1"/>
    <col min="8" max="8" width="13.77734375" style="410" customWidth="1"/>
    <col min="9" max="9" width="12" style="410" customWidth="1"/>
    <col min="10" max="10" width="9.5546875" style="410" customWidth="1"/>
    <col min="11" max="11" width="12" style="410" customWidth="1"/>
    <col min="12" max="12" width="10.33203125" style="410" customWidth="1"/>
    <col min="13" max="13" width="13.5546875" style="410" customWidth="1"/>
    <col min="14" max="16384" width="8.88671875" style="410"/>
  </cols>
  <sheetData>
    <row r="1" spans="1:13">
      <c r="L1" s="406" t="s">
        <v>414</v>
      </c>
      <c r="M1" s="406"/>
    </row>
    <row r="2" spans="1:13">
      <c r="F2" s="407" t="s">
        <v>182</v>
      </c>
    </row>
    <row r="3" spans="1:13">
      <c r="F3" s="418" t="s">
        <v>553</v>
      </c>
    </row>
    <row r="4" spans="1:13">
      <c r="E4" s="406"/>
      <c r="F4" s="413" t="str">
        <f>+'Attachment H-29A'!D5</f>
        <v>Transource Pennsylvania, LLC</v>
      </c>
      <c r="G4" s="406"/>
      <c r="H4" s="406"/>
      <c r="J4" s="406"/>
      <c r="K4" s="406"/>
      <c r="L4" s="406"/>
      <c r="M4" s="409"/>
    </row>
    <row r="5" spans="1:13">
      <c r="E5" s="406"/>
      <c r="G5" s="408"/>
      <c r="H5" s="408"/>
      <c r="J5" s="408"/>
      <c r="K5" s="408"/>
      <c r="L5" s="408"/>
      <c r="M5" s="409"/>
    </row>
    <row r="6" spans="1:13" ht="70.5" customHeight="1">
      <c r="B6" s="994" t="s">
        <v>589</v>
      </c>
      <c r="C6" s="994"/>
      <c r="D6" s="994"/>
      <c r="E6" s="994"/>
      <c r="F6" s="994"/>
      <c r="G6" s="994"/>
      <c r="H6" s="994"/>
      <c r="I6" s="994"/>
      <c r="J6" s="994"/>
      <c r="K6" s="994"/>
      <c r="L6" s="994"/>
      <c r="M6" s="588"/>
    </row>
    <row r="7" spans="1:13" s="417" customFormat="1" ht="27" customHeight="1">
      <c r="A7" s="438"/>
      <c r="B7" s="1004" t="s">
        <v>665</v>
      </c>
      <c r="C7" s="1004"/>
      <c r="D7" s="1004"/>
      <c r="E7" s="1004"/>
      <c r="F7" s="1004"/>
      <c r="G7" s="1004"/>
      <c r="H7" s="1004"/>
      <c r="I7" s="1004"/>
      <c r="J7" s="1004"/>
      <c r="K7" s="414"/>
      <c r="L7" s="414"/>
      <c r="M7" s="414"/>
    </row>
    <row r="8" spans="1:13" s="568" customFormat="1" ht="18" customHeight="1">
      <c r="A8" s="583"/>
      <c r="B8" s="711"/>
      <c r="C8" s="711"/>
      <c r="D8" s="711"/>
      <c r="E8" s="711"/>
      <c r="F8" s="711"/>
      <c r="G8" s="711"/>
      <c r="H8" s="711"/>
      <c r="I8" s="711"/>
      <c r="J8" s="711"/>
      <c r="K8" s="564"/>
      <c r="L8" s="564"/>
      <c r="M8" s="564"/>
    </row>
    <row r="9" spans="1:13" s="417" customFormat="1" ht="15.75" customHeight="1">
      <c r="A9" s="527" t="s">
        <v>594</v>
      </c>
      <c r="B9" s="414"/>
      <c r="C9" s="564"/>
      <c r="D9" s="414"/>
      <c r="E9" s="1012" t="s">
        <v>485</v>
      </c>
      <c r="F9" s="1013"/>
      <c r="G9" s="1007" t="s">
        <v>552</v>
      </c>
      <c r="H9" s="450" t="s">
        <v>484</v>
      </c>
      <c r="I9" s="419"/>
      <c r="J9" s="422"/>
      <c r="K9" s="422"/>
      <c r="L9" s="420"/>
    </row>
    <row r="10" spans="1:13" s="417" customFormat="1" ht="15.75" customHeight="1">
      <c r="A10" s="438">
        <v>1</v>
      </c>
      <c r="B10" s="414" t="s">
        <v>712</v>
      </c>
      <c r="C10" s="564"/>
      <c r="D10" s="414"/>
      <c r="E10" s="1009" t="s">
        <v>304</v>
      </c>
      <c r="F10" s="1011"/>
      <c r="G10" s="1008"/>
      <c r="H10" s="423" t="s">
        <v>555</v>
      </c>
      <c r="I10" s="1009" t="s">
        <v>306</v>
      </c>
      <c r="J10" s="1010"/>
      <c r="K10" s="1010"/>
      <c r="L10" s="1011"/>
    </row>
    <row r="11" spans="1:13" s="417" customFormat="1">
      <c r="A11" s="438">
        <v>2</v>
      </c>
      <c r="B11" s="849">
        <v>2020</v>
      </c>
      <c r="C11" s="571"/>
      <c r="D11" s="414"/>
      <c r="E11" s="424"/>
      <c r="F11" s="424"/>
      <c r="G11" s="425">
        <v>6147836.3145352229</v>
      </c>
      <c r="H11" s="426"/>
      <c r="I11" s="424"/>
      <c r="J11" s="424"/>
      <c r="K11" s="424"/>
      <c r="L11" s="424"/>
    </row>
    <row r="12" spans="1:13" s="417" customFormat="1">
      <c r="B12" s="427" t="s">
        <v>62</v>
      </c>
      <c r="C12" s="574"/>
      <c r="D12" s="427" t="s">
        <v>63</v>
      </c>
      <c r="E12" s="423" t="s">
        <v>64</v>
      </c>
      <c r="F12" s="423" t="s">
        <v>65</v>
      </c>
      <c r="G12" s="421" t="s">
        <v>66</v>
      </c>
      <c r="H12" s="428" t="s">
        <v>67</v>
      </c>
      <c r="I12" s="428" t="s">
        <v>68</v>
      </c>
      <c r="J12" s="428" t="s">
        <v>69</v>
      </c>
      <c r="K12" s="449" t="s">
        <v>70</v>
      </c>
      <c r="L12" s="428" t="s">
        <v>71</v>
      </c>
    </row>
    <row r="13" spans="1:13" s="417" customFormat="1">
      <c r="A13" s="438"/>
      <c r="B13" s="424"/>
      <c r="C13" s="572"/>
      <c r="D13" s="421"/>
      <c r="E13" s="421"/>
      <c r="F13" s="441" t="s">
        <v>307</v>
      </c>
      <c r="G13" s="421" t="s">
        <v>559</v>
      </c>
      <c r="H13" s="421"/>
      <c r="I13" s="424"/>
      <c r="J13" s="421" t="s">
        <v>479</v>
      </c>
      <c r="K13" s="424"/>
      <c r="L13" s="424"/>
    </row>
    <row r="14" spans="1:13" s="417" customFormat="1">
      <c r="A14" s="438"/>
      <c r="B14" s="426"/>
      <c r="C14" s="573"/>
      <c r="D14" s="575" t="s">
        <v>313</v>
      </c>
      <c r="E14" s="428"/>
      <c r="F14" s="439" t="s">
        <v>13</v>
      </c>
      <c r="G14" s="428" t="s">
        <v>379</v>
      </c>
      <c r="H14" s="428" t="s">
        <v>479</v>
      </c>
      <c r="I14" s="428" t="s">
        <v>380</v>
      </c>
      <c r="J14" s="428" t="s">
        <v>273</v>
      </c>
      <c r="K14" s="428" t="s">
        <v>325</v>
      </c>
      <c r="L14" s="428"/>
    </row>
    <row r="15" spans="1:13" s="417"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7" customFormat="1" ht="15.75">
      <c r="A16" s="438"/>
      <c r="B16" s="570" t="s">
        <v>310</v>
      </c>
      <c r="C16" s="570" t="s">
        <v>580</v>
      </c>
      <c r="D16" s="570" t="s">
        <v>586</v>
      </c>
      <c r="E16" s="423" t="s">
        <v>312</v>
      </c>
      <c r="F16" s="439" t="s">
        <v>305</v>
      </c>
      <c r="G16" s="442" t="s">
        <v>556</v>
      </c>
      <c r="H16" s="423" t="s">
        <v>483</v>
      </c>
      <c r="I16" s="423" t="s">
        <v>557</v>
      </c>
      <c r="J16" s="423" t="s">
        <v>480</v>
      </c>
      <c r="K16" s="447" t="s">
        <v>481</v>
      </c>
      <c r="L16" s="423" t="s">
        <v>558</v>
      </c>
    </row>
    <row r="17" spans="1:13" s="417" customFormat="1">
      <c r="A17" s="438">
        <v>3</v>
      </c>
      <c r="B17" s="468" t="s">
        <v>762</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7" customFormat="1">
      <c r="A19" s="438" t="s">
        <v>590</v>
      </c>
      <c r="B19" s="964" t="s">
        <v>904</v>
      </c>
      <c r="C19" s="964" t="s">
        <v>581</v>
      </c>
      <c r="D19" s="959" t="s">
        <v>905</v>
      </c>
      <c r="E19" s="452">
        <v>6147836.3304333836</v>
      </c>
      <c r="F19" s="465">
        <f>IF(E$29=0,0,E19/E$29)</f>
        <v>1</v>
      </c>
      <c r="G19" s="455">
        <f>IF(G$11=0,0,F19*G$11)</f>
        <v>6147836.3145352229</v>
      </c>
      <c r="H19" s="457">
        <f>'1-Project Rev Req'!S59</f>
        <v>4335371.3983763251</v>
      </c>
      <c r="I19" s="461">
        <f>+H19-G19</f>
        <v>-1812464.9161588978</v>
      </c>
      <c r="J19" s="459">
        <f>+$J$31*F19</f>
        <v>-145696.89967716089</v>
      </c>
      <c r="K19" s="462">
        <v>0</v>
      </c>
      <c r="L19" s="594">
        <f>+I19+J19+K19</f>
        <v>-1958161.8158360587</v>
      </c>
    </row>
    <row r="20" spans="1:13" s="417" customFormat="1">
      <c r="A20" s="438" t="s">
        <v>591</v>
      </c>
      <c r="B20" s="964"/>
      <c r="C20" s="964"/>
      <c r="D20" s="961"/>
      <c r="E20" s="452">
        <v>0</v>
      </c>
      <c r="F20" s="465">
        <f>IF(E$29=0,0,E20/E$29)</f>
        <v>0</v>
      </c>
      <c r="G20" s="455">
        <f>IF(G$11=0,0,F20*G$11)</f>
        <v>0</v>
      </c>
      <c r="H20" s="457">
        <f>+'1-Project Rev Req'!S60</f>
        <v>0</v>
      </c>
      <c r="I20" s="461">
        <f>+H20-G20</f>
        <v>0</v>
      </c>
      <c r="J20" s="459">
        <f>+$J$31*F20</f>
        <v>0</v>
      </c>
      <c r="K20" s="462">
        <v>0</v>
      </c>
      <c r="L20" s="594">
        <f>+I20+J20+K20</f>
        <v>0</v>
      </c>
    </row>
    <row r="21" spans="1:13" s="568" customFormat="1">
      <c r="A21" s="582">
        <v>5</v>
      </c>
      <c r="B21" s="963" t="s">
        <v>583</v>
      </c>
      <c r="C21" s="963"/>
      <c r="D21" s="966"/>
      <c r="E21" s="525">
        <f>+E19+E20</f>
        <v>6147836.3304333836</v>
      </c>
      <c r="F21" s="526"/>
      <c r="G21" s="525">
        <f t="shared" ref="G21:L21" si="0">+G19+G20</f>
        <v>6147836.3145352229</v>
      </c>
      <c r="H21" s="525">
        <f t="shared" si="0"/>
        <v>4335371.3983763251</v>
      </c>
      <c r="I21" s="525">
        <f t="shared" si="0"/>
        <v>-1812464.9161588978</v>
      </c>
      <c r="J21" s="525">
        <f t="shared" si="0"/>
        <v>-145696.89967716089</v>
      </c>
      <c r="K21" s="525">
        <f t="shared" si="0"/>
        <v>0</v>
      </c>
      <c r="L21" s="528">
        <f t="shared" si="0"/>
        <v>-1958161.8158360587</v>
      </c>
    </row>
    <row r="22" spans="1:13" s="568" customFormat="1">
      <c r="A22" s="582"/>
      <c r="B22" s="962"/>
      <c r="C22" s="962"/>
      <c r="D22" s="965"/>
      <c r="E22" s="519"/>
      <c r="F22" s="520"/>
      <c r="G22" s="521"/>
      <c r="H22" s="521"/>
      <c r="I22" s="523"/>
      <c r="J22" s="522"/>
      <c r="K22" s="523"/>
      <c r="L22" s="522"/>
    </row>
    <row r="23" spans="1:13" s="417" customFormat="1">
      <c r="A23" s="438" t="s">
        <v>592</v>
      </c>
      <c r="B23" s="964"/>
      <c r="C23" s="964" t="s">
        <v>582</v>
      </c>
      <c r="D23" s="961"/>
      <c r="E23" s="452">
        <v>0</v>
      </c>
      <c r="F23" s="465">
        <f>IF(E$29=0,0,E23/E$29)</f>
        <v>0</v>
      </c>
      <c r="G23" s="455">
        <f>IF(G$11=0,0,F23*G$11)</f>
        <v>0</v>
      </c>
      <c r="H23" s="457">
        <f>+'1-Project Rev Req'!S63</f>
        <v>0</v>
      </c>
      <c r="I23" s="461">
        <f>+H23-G23</f>
        <v>0</v>
      </c>
      <c r="J23" s="594">
        <f>+$J$31*F23</f>
        <v>0</v>
      </c>
      <c r="K23" s="462">
        <v>0</v>
      </c>
      <c r="L23" s="594">
        <f>+I23+J23+K23</f>
        <v>0</v>
      </c>
    </row>
    <row r="24" spans="1:13" s="417" customFormat="1">
      <c r="A24" s="438" t="s">
        <v>593</v>
      </c>
      <c r="B24" s="964"/>
      <c r="C24" s="964"/>
      <c r="D24" s="961"/>
      <c r="E24" s="452">
        <v>0</v>
      </c>
      <c r="F24" s="465">
        <f>IF(E$29=0,0,E24/E$29)</f>
        <v>0</v>
      </c>
      <c r="G24" s="455">
        <f>IF(G$11=0,0,F24*G$11)</f>
        <v>0</v>
      </c>
      <c r="H24" s="457">
        <f>+'1-Project Rev Req'!S64</f>
        <v>0</v>
      </c>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4" t="s">
        <v>475</v>
      </c>
      <c r="C29" s="564"/>
      <c r="D29" s="414"/>
      <c r="E29" s="454">
        <f>+E17+E21+E25+E27</f>
        <v>6147836.3304333836</v>
      </c>
      <c r="F29" s="467">
        <f>SUM(F17:F28)</f>
        <v>1</v>
      </c>
      <c r="G29" s="592">
        <f t="shared" ref="G29:L29" si="2">+G17+G21+G25+G27</f>
        <v>6147836.3145352229</v>
      </c>
      <c r="H29" s="592">
        <f t="shared" si="2"/>
        <v>4335371.3983763251</v>
      </c>
      <c r="I29" s="592">
        <f t="shared" si="2"/>
        <v>-1812464.9161588978</v>
      </c>
      <c r="J29" s="592">
        <f t="shared" si="2"/>
        <v>-145696.89967716089</v>
      </c>
      <c r="K29" s="592">
        <f t="shared" si="2"/>
        <v>0</v>
      </c>
      <c r="L29" s="592">
        <f t="shared" si="2"/>
        <v>-1958161.8158360587</v>
      </c>
    </row>
    <row r="30" spans="1:13">
      <c r="A30" s="438"/>
      <c r="B30" s="414"/>
      <c r="C30" s="564"/>
      <c r="D30" s="414"/>
      <c r="E30" s="430"/>
      <c r="F30" s="430"/>
      <c r="G30" s="430"/>
      <c r="H30" s="454"/>
      <c r="I30" s="430"/>
      <c r="J30" s="430"/>
      <c r="K30" s="430"/>
      <c r="L30" s="430"/>
    </row>
    <row r="31" spans="1:13">
      <c r="A31" s="438">
        <f>+A29+1</f>
        <v>10</v>
      </c>
      <c r="B31" s="414"/>
      <c r="C31" s="564"/>
      <c r="D31" s="414"/>
      <c r="E31" s="430"/>
      <c r="F31" s="430"/>
      <c r="G31" s="818"/>
      <c r="H31" s="818" t="s">
        <v>624</v>
      </c>
      <c r="I31" s="818"/>
      <c r="J31" s="843">
        <f>+'6 - True-Up Interest'!I57</f>
        <v>-145696.89967716089</v>
      </c>
      <c r="K31" s="430"/>
      <c r="L31" s="430"/>
    </row>
    <row r="32" spans="1:13">
      <c r="A32" s="438"/>
      <c r="B32" s="414"/>
      <c r="C32" s="564"/>
      <c r="D32" s="414"/>
      <c r="E32" s="430"/>
      <c r="F32" s="430"/>
      <c r="G32" s="430"/>
      <c r="H32" s="430"/>
      <c r="I32" s="430"/>
      <c r="J32" s="430"/>
      <c r="K32" s="430"/>
      <c r="L32" s="430"/>
      <c r="M32" s="430"/>
    </row>
    <row r="33" spans="1:13">
      <c r="A33" s="438"/>
      <c r="B33" s="431"/>
      <c r="C33" s="577"/>
      <c r="D33" s="431"/>
      <c r="E33" s="411"/>
      <c r="F33" s="411"/>
      <c r="G33" s="411"/>
      <c r="H33" s="411"/>
      <c r="I33" s="411"/>
      <c r="J33" s="431"/>
      <c r="K33" s="431"/>
      <c r="L33" s="431"/>
    </row>
    <row r="34" spans="1:13">
      <c r="A34" s="440" t="s">
        <v>327</v>
      </c>
      <c r="D34" s="431"/>
      <c r="E34" s="411"/>
      <c r="F34" s="411"/>
      <c r="G34" s="411"/>
      <c r="H34" s="411"/>
      <c r="I34" s="411"/>
      <c r="J34" s="431"/>
      <c r="K34" s="431"/>
      <c r="L34" s="431"/>
    </row>
    <row r="35" spans="1:13" ht="15">
      <c r="A35" s="436"/>
      <c r="B35" s="403" t="s">
        <v>62</v>
      </c>
      <c r="C35" s="587"/>
      <c r="D35" s="403"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4" t="s">
        <v>554</v>
      </c>
      <c r="C38" s="819" t="s">
        <v>491</v>
      </c>
      <c r="D38" s="567">
        <f>+'11-Corrections'!F30</f>
        <v>0</v>
      </c>
      <c r="E38"/>
      <c r="F38"/>
      <c r="G38"/>
      <c r="H38"/>
      <c r="L38" s="431"/>
    </row>
    <row r="39" spans="1:13" ht="15">
      <c r="A39" s="436"/>
      <c r="B39" s="434"/>
      <c r="C39" s="579"/>
      <c r="D39" s="412"/>
      <c r="E39"/>
      <c r="F39"/>
      <c r="G39"/>
      <c r="H39"/>
      <c r="L39" s="431"/>
    </row>
    <row r="40" spans="1:13" ht="15">
      <c r="A40" s="436"/>
      <c r="D40" s="431"/>
      <c r="E40"/>
      <c r="F40"/>
      <c r="G40"/>
      <c r="H40"/>
      <c r="I40" s="405"/>
      <c r="L40" s="431"/>
    </row>
    <row r="41" spans="1:13" ht="14.25" customHeight="1">
      <c r="A41" s="527" t="s">
        <v>176</v>
      </c>
      <c r="B41" s="662"/>
      <c r="C41" s="564"/>
      <c r="D41" s="414"/>
      <c r="E41" s="414"/>
      <c r="F41" s="414"/>
      <c r="G41" s="414"/>
      <c r="H41" s="414"/>
      <c r="I41" s="414"/>
      <c r="J41" s="414"/>
      <c r="K41" s="414"/>
      <c r="L41" s="414"/>
      <c r="M41" s="414"/>
    </row>
    <row r="42" spans="1:13">
      <c r="A42" s="817" t="s">
        <v>655</v>
      </c>
      <c r="B42" s="799" t="s">
        <v>706</v>
      </c>
      <c r="C42" s="799"/>
      <c r="D42" s="799"/>
      <c r="E42" s="799"/>
      <c r="F42" s="799"/>
      <c r="G42" s="799"/>
      <c r="H42" s="799"/>
      <c r="I42" s="799"/>
      <c r="J42" s="799"/>
      <c r="K42" s="799"/>
      <c r="L42" s="799"/>
      <c r="M42" s="414"/>
    </row>
    <row r="43" spans="1:13">
      <c r="A43" s="817" t="s">
        <v>656</v>
      </c>
      <c r="B43" s="799" t="s">
        <v>737</v>
      </c>
      <c r="C43" s="799"/>
      <c r="D43" s="799"/>
      <c r="E43" s="799"/>
      <c r="F43" s="799"/>
      <c r="G43" s="799"/>
      <c r="H43" s="799"/>
      <c r="I43" s="799"/>
      <c r="J43" s="799"/>
      <c r="K43" s="799"/>
      <c r="L43" s="799"/>
      <c r="M43" s="414"/>
    </row>
    <row r="44" spans="1:13">
      <c r="A44" s="817" t="s">
        <v>657</v>
      </c>
      <c r="B44" s="799" t="s">
        <v>738</v>
      </c>
      <c r="C44" s="799"/>
      <c r="D44" s="799"/>
      <c r="E44" s="799"/>
      <c r="F44" s="799"/>
      <c r="G44" s="799"/>
      <c r="H44" s="799"/>
      <c r="I44" s="799"/>
      <c r="J44" s="799"/>
      <c r="K44" s="799"/>
      <c r="L44" s="799"/>
      <c r="M44" s="414"/>
    </row>
    <row r="45" spans="1:13" ht="28.5" customHeight="1">
      <c r="A45" s="817" t="s">
        <v>658</v>
      </c>
      <c r="B45" s="994" t="s">
        <v>739</v>
      </c>
      <c r="C45" s="994"/>
      <c r="D45" s="994"/>
      <c r="E45" s="994"/>
      <c r="F45" s="994"/>
      <c r="G45" s="994"/>
      <c r="H45" s="994"/>
      <c r="I45" s="994"/>
      <c r="J45" s="994"/>
      <c r="K45" s="994"/>
      <c r="L45" s="994"/>
      <c r="M45" s="401"/>
    </row>
    <row r="46" spans="1:13" ht="20.25" customHeight="1">
      <c r="A46" s="817" t="s">
        <v>659</v>
      </c>
      <c r="B46" s="1006" t="s">
        <v>660</v>
      </c>
      <c r="C46" s="1006"/>
      <c r="D46" s="1006"/>
      <c r="E46" s="1006"/>
      <c r="F46" s="1006"/>
      <c r="G46" s="1006"/>
      <c r="H46" s="1006"/>
      <c r="I46" s="1006"/>
      <c r="J46" s="1006"/>
      <c r="K46" s="1006"/>
      <c r="L46" s="1006"/>
      <c r="M46" s="414"/>
    </row>
    <row r="47" spans="1:13">
      <c r="A47" s="438"/>
      <c r="B47" s="415"/>
      <c r="C47" s="566"/>
      <c r="D47" s="414"/>
      <c r="E47" s="414"/>
      <c r="F47" s="414"/>
      <c r="G47" s="414"/>
      <c r="H47" s="414"/>
      <c r="I47" s="415"/>
      <c r="J47" s="414"/>
      <c r="K47" s="414"/>
      <c r="L47" s="414"/>
      <c r="M47" s="414"/>
    </row>
    <row r="48" spans="1:13">
      <c r="A48" s="438"/>
      <c r="B48" s="415"/>
      <c r="C48" s="566"/>
      <c r="D48" s="414"/>
      <c r="E48" s="414"/>
      <c r="F48" s="414"/>
      <c r="G48" s="414"/>
      <c r="H48" s="414"/>
      <c r="I48" s="415"/>
      <c r="J48" s="414"/>
      <c r="K48" s="414"/>
      <c r="L48" s="414"/>
      <c r="M48" s="414"/>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5" zoomScaleSheetLayoutView="70" workbookViewId="0"/>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14" t="s">
        <v>183</v>
      </c>
      <c r="C1" s="1014"/>
      <c r="D1" s="1014"/>
      <c r="E1" s="1014"/>
      <c r="F1" s="1014"/>
      <c r="G1" s="1014"/>
      <c r="H1" s="1014"/>
      <c r="I1" s="1014"/>
      <c r="J1" s="1" t="s">
        <v>602</v>
      </c>
    </row>
    <row r="2" spans="1:12">
      <c r="A2" s="218"/>
      <c r="B2" s="1015" t="s">
        <v>241</v>
      </c>
      <c r="C2" s="1015"/>
      <c r="D2" s="1015"/>
      <c r="E2" s="1015"/>
      <c r="F2" s="1015"/>
      <c r="G2" s="1015"/>
      <c r="H2" s="1015"/>
      <c r="I2" s="1015"/>
      <c r="J2" s="1"/>
      <c r="L2" s="217"/>
    </row>
    <row r="3" spans="1:12">
      <c r="A3" s="218"/>
      <c r="B3" s="1016" t="str">
        <f>+'Attachment H-29A'!D5</f>
        <v>Transource Pennsylvania, LLC</v>
      </c>
      <c r="C3" s="1016"/>
      <c r="D3" s="1016"/>
      <c r="E3" s="1016"/>
      <c r="F3" s="1016"/>
      <c r="G3" s="1016"/>
      <c r="H3" s="1016"/>
      <c r="I3" s="1016"/>
      <c r="J3" s="1"/>
    </row>
    <row r="4" spans="1:12">
      <c r="A4" s="218"/>
      <c r="C4" s="1"/>
      <c r="D4" s="1"/>
      <c r="E4" s="1"/>
      <c r="F4" s="1"/>
      <c r="G4" s="1"/>
      <c r="H4" s="1"/>
      <c r="I4" s="1"/>
      <c r="J4" s="1"/>
    </row>
    <row r="5" spans="1:12">
      <c r="A5" s="218"/>
      <c r="B5" s="2"/>
      <c r="C5" s="2"/>
      <c r="D5" s="2"/>
      <c r="E5" s="2"/>
      <c r="F5" s="836"/>
      <c r="G5" s="2"/>
      <c r="H5" s="2"/>
      <c r="I5" s="2"/>
      <c r="J5" s="2"/>
    </row>
    <row r="6" spans="1:12">
      <c r="A6" s="218"/>
      <c r="B6" s="2"/>
      <c r="C6" s="1019" t="s">
        <v>201</v>
      </c>
      <c r="D6" s="1019"/>
      <c r="E6" s="10" t="s">
        <v>203</v>
      </c>
      <c r="F6" s="10" t="s">
        <v>204</v>
      </c>
      <c r="G6" s="1019" t="s">
        <v>202</v>
      </c>
      <c r="H6" s="1019"/>
      <c r="I6" s="1018" t="s">
        <v>200</v>
      </c>
      <c r="J6" s="1018"/>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883</v>
      </c>
      <c r="I9" s="274" t="s">
        <v>279</v>
      </c>
      <c r="J9" s="274" t="s">
        <v>280</v>
      </c>
    </row>
    <row r="10" spans="1:12">
      <c r="A10" s="218">
        <v>1</v>
      </c>
      <c r="B10" s="5" t="s">
        <v>187</v>
      </c>
      <c r="C10" s="6">
        <v>0</v>
      </c>
      <c r="D10" s="6">
        <v>171110.33000000002</v>
      </c>
      <c r="E10" s="6">
        <v>26757313.960000001</v>
      </c>
      <c r="F10" s="987">
        <v>0</v>
      </c>
      <c r="G10" s="987">
        <v>0</v>
      </c>
      <c r="H10" s="6">
        <v>5624.8</v>
      </c>
      <c r="I10" s="987">
        <v>0</v>
      </c>
      <c r="J10" s="987">
        <v>28495.91</v>
      </c>
    </row>
    <row r="11" spans="1:12">
      <c r="A11" s="218">
        <v>2</v>
      </c>
      <c r="B11" s="5" t="s">
        <v>85</v>
      </c>
      <c r="C11" s="6">
        <v>0</v>
      </c>
      <c r="D11" s="6">
        <v>172743.27000000002</v>
      </c>
      <c r="E11" s="6">
        <v>27272367.68</v>
      </c>
      <c r="F11" s="987">
        <v>0</v>
      </c>
      <c r="G11" s="987">
        <v>0</v>
      </c>
      <c r="H11" s="6">
        <v>2812.37</v>
      </c>
      <c r="I11" s="987">
        <v>0</v>
      </c>
      <c r="J11" s="987">
        <v>31158.12</v>
      </c>
    </row>
    <row r="12" spans="1:12">
      <c r="A12" s="218">
        <v>3</v>
      </c>
      <c r="B12" s="1" t="s">
        <v>84</v>
      </c>
      <c r="C12" s="6">
        <v>0</v>
      </c>
      <c r="D12" s="6">
        <v>177564.56000000003</v>
      </c>
      <c r="E12" s="6">
        <v>24490013.949999999</v>
      </c>
      <c r="F12" s="987">
        <v>0</v>
      </c>
      <c r="G12" s="987">
        <v>0</v>
      </c>
      <c r="H12" s="6">
        <v>0</v>
      </c>
      <c r="I12" s="987">
        <v>0</v>
      </c>
      <c r="J12" s="987">
        <v>33847.399999999994</v>
      </c>
    </row>
    <row r="13" spans="1:12">
      <c r="A13" s="218">
        <v>4</v>
      </c>
      <c r="B13" s="1" t="s">
        <v>164</v>
      </c>
      <c r="C13" s="6">
        <v>0</v>
      </c>
      <c r="D13" s="6">
        <v>183811.55</v>
      </c>
      <c r="E13" s="6">
        <v>30150945.169999998</v>
      </c>
      <c r="F13" s="987">
        <v>0</v>
      </c>
      <c r="G13" s="987">
        <v>0</v>
      </c>
      <c r="H13" s="6">
        <v>43982.200000000004</v>
      </c>
      <c r="I13" s="987">
        <v>0</v>
      </c>
      <c r="J13" s="987">
        <v>36617.320000000007</v>
      </c>
    </row>
    <row r="14" spans="1:12">
      <c r="A14" s="218">
        <v>5</v>
      </c>
      <c r="B14" s="1" t="s">
        <v>76</v>
      </c>
      <c r="C14" s="6">
        <v>0</v>
      </c>
      <c r="D14" s="6">
        <v>189348.68000000002</v>
      </c>
      <c r="E14" s="6">
        <v>31416435.989999998</v>
      </c>
      <c r="F14" s="987">
        <v>0</v>
      </c>
      <c r="G14" s="987">
        <v>0</v>
      </c>
      <c r="H14" s="6">
        <v>39983.81</v>
      </c>
      <c r="I14" s="987">
        <v>0</v>
      </c>
      <c r="J14" s="987">
        <v>39491.86</v>
      </c>
    </row>
    <row r="15" spans="1:12">
      <c r="A15" s="218">
        <v>6</v>
      </c>
      <c r="B15" s="1" t="s">
        <v>75</v>
      </c>
      <c r="C15" s="6">
        <v>0</v>
      </c>
      <c r="D15" s="6">
        <v>194580.72</v>
      </c>
      <c r="E15" s="6">
        <v>31630161.629999999</v>
      </c>
      <c r="F15" s="987">
        <v>0</v>
      </c>
      <c r="G15" s="987">
        <v>0</v>
      </c>
      <c r="H15" s="6">
        <v>35985.42</v>
      </c>
      <c r="I15" s="987">
        <v>0</v>
      </c>
      <c r="J15" s="987">
        <v>42458.700000000004</v>
      </c>
    </row>
    <row r="16" spans="1:12">
      <c r="A16" s="218">
        <v>7</v>
      </c>
      <c r="B16" s="1" t="s">
        <v>92</v>
      </c>
      <c r="C16" s="6">
        <v>0</v>
      </c>
      <c r="D16" s="6">
        <v>240690.76</v>
      </c>
      <c r="E16" s="6">
        <v>36627083.469999999</v>
      </c>
      <c r="F16" s="987">
        <v>0</v>
      </c>
      <c r="G16" s="987">
        <v>0</v>
      </c>
      <c r="H16" s="6">
        <v>31987.030000000002</v>
      </c>
      <c r="I16" s="987">
        <v>0</v>
      </c>
      <c r="J16" s="987">
        <v>45512.560000000005</v>
      </c>
    </row>
    <row r="17" spans="1:10">
      <c r="A17" s="218">
        <v>8</v>
      </c>
      <c r="B17" s="1" t="s">
        <v>82</v>
      </c>
      <c r="C17" s="6">
        <v>0</v>
      </c>
      <c r="D17" s="6">
        <v>251108.92000000004</v>
      </c>
      <c r="E17" s="6">
        <v>38040582.5</v>
      </c>
      <c r="F17" s="987">
        <v>0</v>
      </c>
      <c r="G17" s="987">
        <v>0</v>
      </c>
      <c r="H17" s="6">
        <v>27988.639999999999</v>
      </c>
      <c r="I17" s="987">
        <v>0</v>
      </c>
      <c r="J17" s="987">
        <v>49332.759999999995</v>
      </c>
    </row>
    <row r="18" spans="1:10">
      <c r="A18" s="218">
        <v>9</v>
      </c>
      <c r="B18" s="1" t="s">
        <v>165</v>
      </c>
      <c r="C18" s="6">
        <v>0</v>
      </c>
      <c r="D18" s="6">
        <v>262725.75</v>
      </c>
      <c r="E18" s="6">
        <v>40002193.75</v>
      </c>
      <c r="F18" s="987">
        <v>0</v>
      </c>
      <c r="G18" s="987">
        <v>0</v>
      </c>
      <c r="H18" s="6">
        <v>23990.25</v>
      </c>
      <c r="I18" s="987">
        <v>0</v>
      </c>
      <c r="J18" s="987">
        <v>53324.54</v>
      </c>
    </row>
    <row r="19" spans="1:10">
      <c r="A19" s="218">
        <v>10</v>
      </c>
      <c r="B19" s="1" t="s">
        <v>80</v>
      </c>
      <c r="C19" s="6">
        <v>0</v>
      </c>
      <c r="D19" s="6">
        <v>273990.21000000002</v>
      </c>
      <c r="E19" s="6">
        <v>41286184.100000001</v>
      </c>
      <c r="F19" s="987">
        <v>0</v>
      </c>
      <c r="G19" s="987">
        <v>0</v>
      </c>
      <c r="H19" s="6">
        <v>19991.86</v>
      </c>
      <c r="I19" s="987">
        <v>0</v>
      </c>
      <c r="J19" s="987">
        <v>57510.94</v>
      </c>
    </row>
    <row r="20" spans="1:10">
      <c r="A20" s="218">
        <v>11</v>
      </c>
      <c r="B20" s="1" t="s">
        <v>86</v>
      </c>
      <c r="C20" s="6">
        <v>0</v>
      </c>
      <c r="D20" s="6">
        <v>281109.28000000003</v>
      </c>
      <c r="E20" s="6">
        <v>44802027.160000004</v>
      </c>
      <c r="F20" s="987">
        <v>0</v>
      </c>
      <c r="G20" s="987">
        <v>0</v>
      </c>
      <c r="H20" s="6">
        <v>15993.470000000001</v>
      </c>
      <c r="I20" s="987">
        <v>0</v>
      </c>
      <c r="J20" s="987">
        <v>61887.360000000001</v>
      </c>
    </row>
    <row r="21" spans="1:10">
      <c r="A21" s="218">
        <v>12</v>
      </c>
      <c r="B21" s="1" t="s">
        <v>79</v>
      </c>
      <c r="C21" s="6">
        <v>0</v>
      </c>
      <c r="D21" s="6">
        <v>292669.82</v>
      </c>
      <c r="E21" s="6">
        <v>47980263.160000004</v>
      </c>
      <c r="F21" s="987">
        <v>0</v>
      </c>
      <c r="G21" s="987">
        <v>0</v>
      </c>
      <c r="H21" s="6">
        <v>11995.08</v>
      </c>
      <c r="I21" s="987">
        <v>0</v>
      </c>
      <c r="J21" s="987">
        <v>66382.239999999991</v>
      </c>
    </row>
    <row r="22" spans="1:10">
      <c r="A22" s="218">
        <v>13</v>
      </c>
      <c r="B22" s="1" t="s">
        <v>188</v>
      </c>
      <c r="C22" s="6">
        <v>0</v>
      </c>
      <c r="D22" s="6">
        <v>319659.89</v>
      </c>
      <c r="E22" s="6">
        <v>62761249.07</v>
      </c>
      <c r="F22" s="987">
        <v>0</v>
      </c>
      <c r="G22" s="987">
        <v>0</v>
      </c>
      <c r="H22" s="6">
        <v>7996.6900000000005</v>
      </c>
      <c r="I22" s="987">
        <v>0</v>
      </c>
      <c r="J22" s="987">
        <v>71069.429999999993</v>
      </c>
    </row>
    <row r="23" spans="1:10" ht="13.5" thickBot="1">
      <c r="A23" s="218">
        <v>14</v>
      </c>
      <c r="B23" s="7" t="s">
        <v>242</v>
      </c>
      <c r="C23" s="605">
        <f t="shared" ref="C23:H23" si="0">SUM(C10:C22)/13</f>
        <v>0</v>
      </c>
      <c r="D23" s="605">
        <f>SUM(D10:D22)/13</f>
        <v>231624.13384615385</v>
      </c>
      <c r="E23" s="605">
        <f t="shared" si="0"/>
        <v>37170524.737692311</v>
      </c>
      <c r="F23" s="605">
        <f t="shared" si="0"/>
        <v>0</v>
      </c>
      <c r="G23" s="605">
        <f t="shared" si="0"/>
        <v>0</v>
      </c>
      <c r="H23" s="605">
        <f t="shared" si="0"/>
        <v>20640.893846153846</v>
      </c>
      <c r="I23" s="605">
        <f>SUM(I10:I22)/13</f>
        <v>0</v>
      </c>
      <c r="J23" s="605">
        <f>SUM(J10:J22)/13</f>
        <v>47468.395384615374</v>
      </c>
    </row>
    <row r="24" spans="1:10" ht="13.5" thickTop="1">
      <c r="A24" s="218"/>
      <c r="B24" s="1"/>
      <c r="C24" s="8"/>
      <c r="D24" s="15"/>
      <c r="E24" s="15"/>
      <c r="F24" s="15"/>
      <c r="G24" s="8"/>
      <c r="H24" s="8"/>
      <c r="I24" s="8"/>
    </row>
    <row r="25" spans="1:10">
      <c r="A25" s="218"/>
      <c r="B25" s="9"/>
      <c r="C25" s="1018" t="s">
        <v>205</v>
      </c>
      <c r="D25" s="1018"/>
      <c r="E25" s="1018"/>
      <c r="F25" s="1018"/>
      <c r="G25" s="1018"/>
      <c r="H25" s="1018"/>
      <c r="I25" s="1018"/>
    </row>
    <row r="26" spans="1:10" ht="72" customHeight="1">
      <c r="A26" s="798" t="s">
        <v>713</v>
      </c>
      <c r="B26" s="10" t="s">
        <v>160</v>
      </c>
      <c r="C26" s="4" t="s">
        <v>166</v>
      </c>
      <c r="D26" s="797" t="s">
        <v>708</v>
      </c>
      <c r="E26" s="797" t="s">
        <v>878</v>
      </c>
      <c r="F26" s="797" t="s">
        <v>879</v>
      </c>
      <c r="G26" s="797" t="s">
        <v>880</v>
      </c>
      <c r="H26" s="797" t="s">
        <v>881</v>
      </c>
      <c r="I26" s="4" t="s">
        <v>244</v>
      </c>
    </row>
    <row r="27" spans="1:10" s="13" customFormat="1">
      <c r="A27" s="218"/>
      <c r="B27" s="10" t="s">
        <v>190</v>
      </c>
      <c r="C27" s="4" t="s">
        <v>191</v>
      </c>
      <c r="D27" s="4" t="s">
        <v>192</v>
      </c>
      <c r="E27" s="797" t="s">
        <v>193</v>
      </c>
      <c r="F27" s="797" t="s">
        <v>195</v>
      </c>
      <c r="G27" s="797" t="s">
        <v>194</v>
      </c>
      <c r="H27" s="797" t="s">
        <v>196</v>
      </c>
      <c r="I27" s="4" t="s">
        <v>197</v>
      </c>
    </row>
    <row r="28" spans="1:10" s="13" customFormat="1" ht="25.5">
      <c r="A28" s="218"/>
      <c r="B28" s="250" t="s">
        <v>504</v>
      </c>
      <c r="C28" s="298" t="s">
        <v>374</v>
      </c>
      <c r="D28" s="4" t="s">
        <v>506</v>
      </c>
      <c r="E28" s="797" t="s">
        <v>882</v>
      </c>
      <c r="F28" s="797" t="s">
        <v>882</v>
      </c>
      <c r="G28" s="797" t="s">
        <v>882</v>
      </c>
      <c r="H28" s="797" t="s">
        <v>882</v>
      </c>
      <c r="I28" s="930" t="s">
        <v>898</v>
      </c>
    </row>
    <row r="29" spans="1:10">
      <c r="A29" s="218">
        <v>15</v>
      </c>
      <c r="B29" s="5" t="s">
        <v>187</v>
      </c>
      <c r="C29" s="6">
        <v>474707.40000000037</v>
      </c>
      <c r="D29" s="6">
        <v>0</v>
      </c>
      <c r="E29" s="987">
        <v>0</v>
      </c>
      <c r="F29" s="987">
        <v>64892.189999999995</v>
      </c>
      <c r="G29" s="987">
        <v>162482.89000000001</v>
      </c>
      <c r="H29" s="987">
        <v>14875.57</v>
      </c>
      <c r="I29" s="987">
        <v>0</v>
      </c>
    </row>
    <row r="30" spans="1:10">
      <c r="A30" s="218">
        <v>16</v>
      </c>
      <c r="B30" s="5" t="s">
        <v>85</v>
      </c>
      <c r="C30" s="6">
        <v>461521.08333333372</v>
      </c>
      <c r="D30" s="6">
        <v>0</v>
      </c>
      <c r="E30" s="952"/>
      <c r="F30" s="952"/>
      <c r="G30" s="952"/>
      <c r="H30" s="952"/>
      <c r="I30" s="6">
        <v>0</v>
      </c>
    </row>
    <row r="31" spans="1:10">
      <c r="A31" s="218">
        <v>17</v>
      </c>
      <c r="B31" s="1" t="s">
        <v>84</v>
      </c>
      <c r="C31" s="6">
        <v>448334.76666666707</v>
      </c>
      <c r="D31" s="6">
        <v>0</v>
      </c>
      <c r="E31" s="952"/>
      <c r="F31" s="952"/>
      <c r="G31" s="952"/>
      <c r="H31" s="952"/>
      <c r="I31" s="6">
        <v>0</v>
      </c>
    </row>
    <row r="32" spans="1:10">
      <c r="A32" s="218">
        <v>18</v>
      </c>
      <c r="B32" s="1" t="s">
        <v>164</v>
      </c>
      <c r="C32" s="6">
        <v>435148.45000000042</v>
      </c>
      <c r="D32" s="6">
        <v>0</v>
      </c>
      <c r="E32" s="952"/>
      <c r="F32" s="952"/>
      <c r="G32" s="952"/>
      <c r="H32" s="952"/>
      <c r="I32" s="6">
        <v>0</v>
      </c>
    </row>
    <row r="33" spans="1:15">
      <c r="A33" s="218">
        <v>19</v>
      </c>
      <c r="B33" s="1" t="s">
        <v>76</v>
      </c>
      <c r="C33" s="6">
        <v>421962.13333333377</v>
      </c>
      <c r="D33" s="6">
        <v>0</v>
      </c>
      <c r="E33" s="952"/>
      <c r="F33" s="952"/>
      <c r="G33" s="952"/>
      <c r="H33" s="952"/>
      <c r="I33" s="6">
        <v>0</v>
      </c>
    </row>
    <row r="34" spans="1:15">
      <c r="A34" s="218">
        <v>20</v>
      </c>
      <c r="B34" s="1" t="s">
        <v>75</v>
      </c>
      <c r="C34" s="6">
        <v>408775.81666666712</v>
      </c>
      <c r="D34" s="6">
        <v>0</v>
      </c>
      <c r="E34" s="952"/>
      <c r="F34" s="952"/>
      <c r="G34" s="952"/>
      <c r="H34" s="952"/>
      <c r="I34" s="6">
        <v>0</v>
      </c>
    </row>
    <row r="35" spans="1:15">
      <c r="A35" s="218">
        <v>21</v>
      </c>
      <c r="B35" s="1" t="s">
        <v>92</v>
      </c>
      <c r="C35" s="6">
        <v>395589.50000000047</v>
      </c>
      <c r="D35" s="6">
        <v>0</v>
      </c>
      <c r="E35" s="952"/>
      <c r="F35" s="952"/>
      <c r="G35" s="952"/>
      <c r="H35" s="952"/>
      <c r="I35" s="6">
        <v>0</v>
      </c>
    </row>
    <row r="36" spans="1:15">
      <c r="A36" s="218">
        <v>22</v>
      </c>
      <c r="B36" s="1" t="s">
        <v>82</v>
      </c>
      <c r="C36" s="6">
        <v>382403.18333333381</v>
      </c>
      <c r="D36" s="6">
        <v>0</v>
      </c>
      <c r="E36" s="952"/>
      <c r="F36" s="952"/>
      <c r="G36" s="952"/>
      <c r="H36" s="952"/>
      <c r="I36" s="6">
        <v>0</v>
      </c>
    </row>
    <row r="37" spans="1:15">
      <c r="A37" s="218">
        <v>23</v>
      </c>
      <c r="B37" s="1" t="s">
        <v>165</v>
      </c>
      <c r="C37" s="6">
        <v>369216.86666666716</v>
      </c>
      <c r="D37" s="6">
        <v>0</v>
      </c>
      <c r="E37" s="952"/>
      <c r="F37" s="952"/>
      <c r="G37" s="952"/>
      <c r="H37" s="952"/>
      <c r="I37" s="6">
        <v>0</v>
      </c>
    </row>
    <row r="38" spans="1:15">
      <c r="A38" s="218">
        <v>24</v>
      </c>
      <c r="B38" s="1" t="s">
        <v>80</v>
      </c>
      <c r="C38" s="6">
        <v>356030.55000000051</v>
      </c>
      <c r="D38" s="6">
        <v>0</v>
      </c>
      <c r="E38" s="952"/>
      <c r="F38" s="952"/>
      <c r="G38" s="952"/>
      <c r="H38" s="952"/>
      <c r="I38" s="6">
        <v>0</v>
      </c>
    </row>
    <row r="39" spans="1:15">
      <c r="A39" s="218">
        <v>25</v>
      </c>
      <c r="B39" s="1" t="s">
        <v>86</v>
      </c>
      <c r="C39" s="6">
        <v>342844.23333333386</v>
      </c>
      <c r="D39" s="6">
        <v>0</v>
      </c>
      <c r="E39" s="952"/>
      <c r="F39" s="952"/>
      <c r="G39" s="952"/>
      <c r="H39" s="952"/>
      <c r="I39" s="6">
        <v>0</v>
      </c>
    </row>
    <row r="40" spans="1:15">
      <c r="A40" s="218">
        <v>26</v>
      </c>
      <c r="B40" s="1" t="s">
        <v>79</v>
      </c>
      <c r="C40" s="6">
        <v>329657.91666666721</v>
      </c>
      <c r="D40" s="6">
        <v>0</v>
      </c>
      <c r="E40" s="952"/>
      <c r="F40" s="952"/>
      <c r="G40" s="952"/>
      <c r="H40" s="952"/>
      <c r="I40" s="6">
        <v>0</v>
      </c>
    </row>
    <row r="41" spans="1:15">
      <c r="A41" s="218">
        <v>27</v>
      </c>
      <c r="B41" s="1" t="s">
        <v>188</v>
      </c>
      <c r="C41" s="6">
        <v>316471.60000000056</v>
      </c>
      <c r="D41" s="6">
        <v>0</v>
      </c>
      <c r="E41" s="987">
        <v>0</v>
      </c>
      <c r="F41" s="987">
        <v>70891.399999999994</v>
      </c>
      <c r="G41" s="987">
        <v>-263290.16000000003</v>
      </c>
      <c r="H41" s="987">
        <v>683457.21000000008</v>
      </c>
      <c r="I41" s="987">
        <v>0</v>
      </c>
    </row>
    <row r="42" spans="1:15" ht="13.5" thickBot="1">
      <c r="A42" s="218">
        <v>28</v>
      </c>
      <c r="B42" s="7" t="s">
        <v>243</v>
      </c>
      <c r="C42" s="605">
        <f t="shared" ref="C42:D42" si="1">SUM(C29:C41)/13</f>
        <v>395589.50000000041</v>
      </c>
      <c r="D42" s="605">
        <f t="shared" si="1"/>
        <v>0</v>
      </c>
      <c r="E42" s="605">
        <f>(E29+E41)/2</f>
        <v>0</v>
      </c>
      <c r="F42" s="605">
        <f>(F29+F41)/2</f>
        <v>67891.794999999998</v>
      </c>
      <c r="G42" s="605">
        <f>(G29+G41)/2</f>
        <v>-50403.635000000009</v>
      </c>
      <c r="H42" s="605">
        <f>(H29+H41)/2</f>
        <v>349166.39</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2" t="str">
        <f>+B2</f>
        <v xml:space="preserve">Rate Base Worksheet </v>
      </c>
      <c r="F46" s="286"/>
      <c r="L46" s="13"/>
      <c r="M46" s="13"/>
      <c r="N46" s="13"/>
      <c r="O46" s="13"/>
    </row>
    <row r="47" spans="1:15" s="321" customFormat="1">
      <c r="A47" s="602"/>
      <c r="B47" s="216"/>
      <c r="C47" s="286"/>
      <c r="D47" s="286"/>
      <c r="E47" s="812" t="str">
        <f>+B3</f>
        <v>Transource Pennsylvania,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20" t="s">
        <v>599</v>
      </c>
      <c r="D49" s="1020" t="s">
        <v>869</v>
      </c>
      <c r="E49" s="1020" t="s">
        <v>870</v>
      </c>
      <c r="F49" s="1020" t="s">
        <v>601</v>
      </c>
      <c r="L49" s="13"/>
      <c r="M49" s="13"/>
      <c r="N49" s="13"/>
      <c r="O49" s="13"/>
    </row>
    <row r="50" spans="1:15" s="321" customFormat="1" ht="12.75" customHeight="1">
      <c r="A50" s="602"/>
      <c r="B50" s="216"/>
      <c r="C50" s="1020"/>
      <c r="D50" s="1020"/>
      <c r="E50" s="1020"/>
      <c r="F50" s="1020"/>
      <c r="L50" s="13"/>
      <c r="M50" s="13"/>
      <c r="N50" s="13"/>
      <c r="O50" s="13"/>
    </row>
    <row r="51" spans="1:15" s="321" customFormat="1">
      <c r="A51" s="602"/>
      <c r="B51" s="216"/>
      <c r="C51" s="3" t="s">
        <v>190</v>
      </c>
      <c r="D51" s="3" t="s">
        <v>191</v>
      </c>
      <c r="E51" s="852" t="s">
        <v>192</v>
      </c>
      <c r="F51" s="604" t="s">
        <v>871</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26797616.07</v>
      </c>
      <c r="D53" s="6">
        <v>40302.110000000066</v>
      </c>
      <c r="E53" s="6">
        <v>0</v>
      </c>
      <c r="F53" s="363">
        <f>+C53-D53-E53</f>
        <v>26757313.960000001</v>
      </c>
      <c r="L53" s="13"/>
      <c r="M53" s="13"/>
      <c r="N53" s="13"/>
      <c r="O53" s="13"/>
    </row>
    <row r="54" spans="1:15" s="321" customFormat="1">
      <c r="A54" s="602">
        <f>+A53+1</f>
        <v>30</v>
      </c>
      <c r="B54" s="5" t="s">
        <v>85</v>
      </c>
      <c r="C54" s="6">
        <v>27313226.77</v>
      </c>
      <c r="D54" s="6">
        <v>40859.090000000069</v>
      </c>
      <c r="E54" s="6">
        <v>0</v>
      </c>
      <c r="F54" s="363">
        <f t="shared" ref="F54:F65" si="2">+C54-D54-E54</f>
        <v>27272367.68</v>
      </c>
      <c r="L54" s="13"/>
      <c r="M54" s="13"/>
      <c r="N54" s="13"/>
      <c r="O54" s="13"/>
    </row>
    <row r="55" spans="1:15" s="321" customFormat="1">
      <c r="A55" s="602">
        <f t="shared" ref="A55:A65" si="3">+A54+1</f>
        <v>31</v>
      </c>
      <c r="B55" s="1" t="s">
        <v>84</v>
      </c>
      <c r="C55" s="6">
        <v>24531404.140000001</v>
      </c>
      <c r="D55" s="6">
        <v>41390.190000000068</v>
      </c>
      <c r="E55" s="6">
        <v>0</v>
      </c>
      <c r="F55" s="363">
        <f t="shared" si="2"/>
        <v>24490013.949999999</v>
      </c>
      <c r="L55" s="13"/>
      <c r="M55" s="13"/>
      <c r="N55" s="13"/>
      <c r="O55" s="13"/>
    </row>
    <row r="56" spans="1:15" s="321" customFormat="1">
      <c r="A56" s="602">
        <f t="shared" si="3"/>
        <v>32</v>
      </c>
      <c r="B56" s="1" t="s">
        <v>164</v>
      </c>
      <c r="C56" s="6">
        <v>30193043.289999999</v>
      </c>
      <c r="D56" s="6">
        <v>42098.120000000068</v>
      </c>
      <c r="E56" s="6">
        <v>0</v>
      </c>
      <c r="F56" s="363">
        <f t="shared" si="2"/>
        <v>30150945.169999998</v>
      </c>
      <c r="L56" s="13"/>
      <c r="M56" s="13"/>
      <c r="N56" s="13"/>
      <c r="O56" s="13"/>
    </row>
    <row r="57" spans="1:15" s="321" customFormat="1">
      <c r="A57" s="602">
        <f t="shared" si="3"/>
        <v>33</v>
      </c>
      <c r="B57" s="1" t="s">
        <v>76</v>
      </c>
      <c r="C57" s="6">
        <v>31460021.989999998</v>
      </c>
      <c r="D57" s="6">
        <v>43586.000000000073</v>
      </c>
      <c r="E57" s="6">
        <v>0</v>
      </c>
      <c r="F57" s="363">
        <f t="shared" si="2"/>
        <v>31416435.989999998</v>
      </c>
      <c r="L57" s="13"/>
      <c r="M57" s="13"/>
      <c r="N57" s="13"/>
      <c r="O57" s="13"/>
    </row>
    <row r="58" spans="1:15" s="321" customFormat="1">
      <c r="A58" s="602">
        <f t="shared" si="3"/>
        <v>34</v>
      </c>
      <c r="B58" s="1" t="s">
        <v>75</v>
      </c>
      <c r="C58" s="6">
        <v>31674139.859999999</v>
      </c>
      <c r="D58" s="6">
        <v>43978.230000000069</v>
      </c>
      <c r="E58" s="6">
        <v>0</v>
      </c>
      <c r="F58" s="363">
        <f t="shared" si="2"/>
        <v>31630161.629999999</v>
      </c>
      <c r="L58" s="13"/>
      <c r="M58" s="13"/>
      <c r="N58" s="13"/>
      <c r="O58" s="13"/>
    </row>
    <row r="59" spans="1:15" s="321" customFormat="1">
      <c r="A59" s="602">
        <f t="shared" si="3"/>
        <v>35</v>
      </c>
      <c r="B59" s="1" t="s">
        <v>92</v>
      </c>
      <c r="C59" s="6">
        <v>36634158.170000002</v>
      </c>
      <c r="D59" s="6">
        <v>7074.7000000000698</v>
      </c>
      <c r="E59" s="6">
        <v>0</v>
      </c>
      <c r="F59" s="363">
        <f t="shared" si="2"/>
        <v>36627083.469999999</v>
      </c>
      <c r="L59" s="13"/>
      <c r="M59" s="13"/>
      <c r="N59" s="13"/>
      <c r="O59" s="13"/>
    </row>
    <row r="60" spans="1:15" s="321" customFormat="1">
      <c r="A60" s="602">
        <f t="shared" si="3"/>
        <v>36</v>
      </c>
      <c r="B60" s="1" t="s">
        <v>82</v>
      </c>
      <c r="C60" s="6">
        <v>38048131.549999997</v>
      </c>
      <c r="D60" s="6">
        <v>7549.0500000000748</v>
      </c>
      <c r="E60" s="6">
        <v>0</v>
      </c>
      <c r="F60" s="363">
        <f t="shared" si="2"/>
        <v>38040582.5</v>
      </c>
      <c r="L60" s="13"/>
      <c r="M60" s="13"/>
      <c r="N60" s="13"/>
      <c r="O60" s="13"/>
    </row>
    <row r="61" spans="1:15" s="321" customFormat="1">
      <c r="A61" s="602">
        <f t="shared" si="3"/>
        <v>37</v>
      </c>
      <c r="B61" s="1" t="s">
        <v>165</v>
      </c>
      <c r="C61" s="6">
        <v>40010421.170000002</v>
      </c>
      <c r="D61" s="6">
        <v>8227.4200000000546</v>
      </c>
      <c r="E61" s="6">
        <v>0</v>
      </c>
      <c r="F61" s="363">
        <f t="shared" si="2"/>
        <v>40002193.75</v>
      </c>
      <c r="L61" s="13"/>
      <c r="M61" s="13"/>
      <c r="N61" s="13"/>
      <c r="O61" s="13"/>
    </row>
    <row r="62" spans="1:15" s="321" customFormat="1">
      <c r="A62" s="602">
        <f t="shared" si="3"/>
        <v>38</v>
      </c>
      <c r="B62" s="1" t="s">
        <v>80</v>
      </c>
      <c r="C62" s="6">
        <v>41294851.950000003</v>
      </c>
      <c r="D62" s="6">
        <v>8667.8500000000513</v>
      </c>
      <c r="E62" s="6">
        <v>0</v>
      </c>
      <c r="F62" s="363">
        <f t="shared" si="2"/>
        <v>41286184.100000001</v>
      </c>
      <c r="L62" s="13"/>
      <c r="M62" s="13"/>
      <c r="N62" s="13"/>
      <c r="O62" s="13"/>
    </row>
    <row r="63" spans="1:15" s="321" customFormat="1">
      <c r="A63" s="602">
        <f t="shared" si="3"/>
        <v>39</v>
      </c>
      <c r="B63" s="1" t="s">
        <v>86</v>
      </c>
      <c r="C63" s="6">
        <v>44811063.890000001</v>
      </c>
      <c r="D63" s="6">
        <v>9036.7300000000541</v>
      </c>
      <c r="E63" s="6">
        <v>0</v>
      </c>
      <c r="F63" s="363">
        <f t="shared" si="2"/>
        <v>44802027.160000004</v>
      </c>
      <c r="L63" s="13"/>
      <c r="M63" s="13"/>
      <c r="N63" s="13"/>
      <c r="O63" s="13"/>
    </row>
    <row r="64" spans="1:15" s="321" customFormat="1">
      <c r="A64" s="602">
        <f t="shared" si="3"/>
        <v>40</v>
      </c>
      <c r="B64" s="1" t="s">
        <v>79</v>
      </c>
      <c r="C64" s="6">
        <v>47991082.82</v>
      </c>
      <c r="D64" s="6">
        <v>10819.660000000047</v>
      </c>
      <c r="E64" s="6">
        <v>0</v>
      </c>
      <c r="F64" s="363">
        <f t="shared" si="2"/>
        <v>47980263.160000004</v>
      </c>
      <c r="L64" s="13"/>
      <c r="M64" s="13"/>
      <c r="N64" s="13"/>
      <c r="O64" s="13"/>
    </row>
    <row r="65" spans="1:16" s="321" customFormat="1">
      <c r="A65" s="602">
        <f t="shared" si="3"/>
        <v>41</v>
      </c>
      <c r="B65" s="1" t="s">
        <v>188</v>
      </c>
      <c r="C65" s="6">
        <v>62781093.200000003</v>
      </c>
      <c r="D65" s="6">
        <v>19844.130000000034</v>
      </c>
      <c r="E65" s="6">
        <v>0</v>
      </c>
      <c r="F65" s="363">
        <f t="shared" si="2"/>
        <v>62761249.07</v>
      </c>
      <c r="L65" s="13"/>
      <c r="M65" s="13"/>
      <c r="N65" s="13"/>
      <c r="O65" s="13"/>
    </row>
    <row r="66" spans="1:16" s="321" customFormat="1" ht="13.5" thickBot="1">
      <c r="A66" s="602"/>
      <c r="B66" s="216"/>
      <c r="C66" s="605">
        <f>+F66+D66</f>
        <v>37195404.220769234</v>
      </c>
      <c r="D66" s="605">
        <f>SUM(D53:D65)/13</f>
        <v>24879.483076923134</v>
      </c>
      <c r="E66" s="605">
        <f>SUM(E53:E65)/13</f>
        <v>0</v>
      </c>
      <c r="F66" s="605">
        <f>SUM(F53:F65)/13</f>
        <v>37170524.737692311</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855</v>
      </c>
      <c r="C68" s="286"/>
      <c r="D68" s="286"/>
      <c r="E68" s="286"/>
      <c r="F68" s="287"/>
      <c r="G68" s="287"/>
      <c r="H68" s="215"/>
      <c r="I68" s="215"/>
      <c r="J68" s="217"/>
      <c r="K68" s="13"/>
      <c r="L68" s="13"/>
      <c r="M68" s="13"/>
      <c r="N68" s="13"/>
      <c r="O68" s="13"/>
    </row>
    <row r="69" spans="1:16">
      <c r="A69" s="285"/>
      <c r="B69" s="216" t="s">
        <v>190</v>
      </c>
      <c r="C69" s="216" t="s">
        <v>191</v>
      </c>
      <c r="D69" s="845" t="s">
        <v>785</v>
      </c>
      <c r="E69" s="845" t="s">
        <v>786</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787</v>
      </c>
      <c r="E70" s="670" t="s">
        <v>788</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899</v>
      </c>
      <c r="C77" s="257"/>
      <c r="D77" s="257"/>
      <c r="E77" s="257"/>
      <c r="F77" s="257"/>
      <c r="G77" s="257"/>
      <c r="H77" s="257"/>
      <c r="I77" s="257"/>
      <c r="J77" s="257"/>
      <c r="K77" s="257"/>
    </row>
    <row r="78" spans="1:16" s="215" customFormat="1" ht="48.75" customHeight="1">
      <c r="A78" s="322" t="s">
        <v>63</v>
      </c>
      <c r="B78" s="994" t="s">
        <v>707</v>
      </c>
      <c r="C78" s="994"/>
      <c r="D78" s="994"/>
      <c r="E78" s="994"/>
      <c r="F78" s="994"/>
      <c r="G78" s="994"/>
      <c r="H78" s="994"/>
      <c r="I78" s="994"/>
      <c r="J78" s="802"/>
      <c r="K78" s="443"/>
    </row>
    <row r="79" spans="1:16" ht="27.75" customHeight="1">
      <c r="A79" s="322" t="s">
        <v>64</v>
      </c>
      <c r="B79" s="994" t="s">
        <v>505</v>
      </c>
      <c r="C79" s="994"/>
      <c r="D79" s="994"/>
      <c r="E79" s="994"/>
      <c r="F79" s="994"/>
      <c r="G79" s="994"/>
      <c r="H79" s="994"/>
      <c r="I79" s="994"/>
      <c r="J79" s="802"/>
      <c r="K79" s="802"/>
    </row>
    <row r="80" spans="1:16" ht="12.75" customHeight="1">
      <c r="A80" s="322" t="s">
        <v>65</v>
      </c>
      <c r="B80" s="994" t="s">
        <v>334</v>
      </c>
      <c r="C80" s="994"/>
      <c r="D80" s="994"/>
      <c r="E80" s="994"/>
      <c r="F80" s="994"/>
      <c r="G80" s="994"/>
      <c r="H80" s="994"/>
      <c r="I80" s="994"/>
      <c r="J80" s="802"/>
      <c r="K80" s="802"/>
      <c r="L80" s="217"/>
    </row>
    <row r="81" spans="1:12" ht="33.75" customHeight="1">
      <c r="A81" s="322" t="s">
        <v>66</v>
      </c>
      <c r="B81" s="994" t="s">
        <v>901</v>
      </c>
      <c r="C81" s="994"/>
      <c r="D81" s="994"/>
      <c r="E81" s="994"/>
      <c r="F81" s="994"/>
      <c r="G81" s="994"/>
      <c r="H81" s="994"/>
      <c r="I81" s="994"/>
    </row>
    <row r="82" spans="1:12" s="215" customFormat="1" ht="60.75" customHeight="1">
      <c r="A82" s="322" t="s">
        <v>67</v>
      </c>
      <c r="B82" s="994" t="s">
        <v>636</v>
      </c>
      <c r="C82" s="994"/>
      <c r="D82" s="994"/>
      <c r="E82" s="994"/>
      <c r="F82" s="994"/>
      <c r="G82" s="994"/>
      <c r="H82" s="994"/>
      <c r="I82" s="994"/>
      <c r="J82" s="803"/>
      <c r="K82" s="803"/>
    </row>
    <row r="83" spans="1:12" ht="29.25" customHeight="1">
      <c r="A83" s="322" t="s">
        <v>68</v>
      </c>
      <c r="B83" s="1017" t="s">
        <v>705</v>
      </c>
      <c r="C83" s="1017"/>
      <c r="D83" s="1017"/>
      <c r="E83" s="1017"/>
      <c r="F83" s="1017"/>
      <c r="G83" s="1017"/>
      <c r="H83" s="1017"/>
      <c r="I83" s="1017"/>
      <c r="J83" s="803"/>
      <c r="K83" s="799"/>
    </row>
    <row r="84" spans="1:12" ht="18" customHeight="1">
      <c r="A84" s="322" t="s">
        <v>69</v>
      </c>
      <c r="B84" s="993" t="s">
        <v>638</v>
      </c>
      <c r="C84" s="993"/>
      <c r="D84" s="993"/>
      <c r="E84" s="993"/>
      <c r="F84" s="993"/>
      <c r="G84" s="993"/>
      <c r="H84" s="993"/>
      <c r="I84" s="993"/>
      <c r="J84" s="799"/>
      <c r="K84" s="799"/>
    </row>
    <row r="85" spans="1:12" ht="21.75" customHeight="1">
      <c r="A85" s="322" t="s">
        <v>70</v>
      </c>
      <c r="B85" s="993" t="s">
        <v>789</v>
      </c>
      <c r="C85" s="993"/>
      <c r="D85" s="993"/>
      <c r="E85" s="993"/>
      <c r="F85" s="993"/>
      <c r="G85" s="993"/>
      <c r="H85" s="993"/>
      <c r="I85" s="993"/>
    </row>
    <row r="86" spans="1:12" s="321" customFormat="1" ht="12.75" customHeight="1">
      <c r="A86" s="322" t="s">
        <v>71</v>
      </c>
      <c r="B86" s="994" t="s">
        <v>854</v>
      </c>
      <c r="C86" s="994"/>
      <c r="D86" s="994"/>
      <c r="E86" s="994"/>
      <c r="F86" s="994"/>
      <c r="G86" s="994"/>
      <c r="H86" s="994"/>
      <c r="I86" s="994"/>
      <c r="J86" s="851"/>
      <c r="K86" s="851"/>
      <c r="L86" s="217"/>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6"/>
  <sheetViews>
    <sheetView view="pageBreakPreview" zoomScale="80" zoomScaleNormal="90" zoomScaleSheetLayoutView="80" workbookViewId="0"/>
  </sheetViews>
  <sheetFormatPr defaultColWidth="8.88671875" defaultRowHeight="15" customHeight="1"/>
  <cols>
    <col min="1" max="1" width="6.6640625" style="856" customWidth="1"/>
    <col min="2" max="2" width="35" style="889" customWidth="1"/>
    <col min="3" max="3" width="14.77734375" style="856" customWidth="1"/>
    <col min="4" max="4" width="14.109375" style="856" customWidth="1"/>
    <col min="5" max="5" width="13" style="856" customWidth="1"/>
    <col min="6" max="6" width="13.109375" style="856" customWidth="1"/>
    <col min="7" max="7" width="15.88671875" style="856" customWidth="1"/>
    <col min="8" max="8" width="39.33203125" style="856" customWidth="1"/>
    <col min="9" max="9" width="8.88671875" style="856"/>
    <col min="10" max="10" width="27.88671875" style="856" customWidth="1"/>
    <col min="11" max="16384" width="8.88671875" style="856"/>
  </cols>
  <sheetData>
    <row r="1" spans="2:10" ht="15" customHeight="1">
      <c r="B1" s="1025" t="str">
        <f>+'Attachment H-29A'!D5</f>
        <v>Transource Pennsylvania, LLC</v>
      </c>
      <c r="C1" s="1025"/>
      <c r="D1" s="1025"/>
      <c r="E1" s="1025"/>
      <c r="F1" s="1025"/>
      <c r="G1" s="1025"/>
      <c r="H1" s="933" t="str">
        <f>+'Attachment H-29A'!J3</f>
        <v>For  the 12 months ended 12/31/2020</v>
      </c>
      <c r="I1" s="855"/>
      <c r="J1" s="855"/>
    </row>
    <row r="2" spans="2:10" ht="15" customHeight="1">
      <c r="B2" s="1026" t="s">
        <v>845</v>
      </c>
      <c r="C2" s="1026"/>
      <c r="D2" s="1026"/>
      <c r="E2" s="1026"/>
      <c r="F2" s="1026"/>
      <c r="G2" s="1026"/>
      <c r="H2" s="933" t="s">
        <v>602</v>
      </c>
      <c r="I2" s="855"/>
      <c r="J2" s="855"/>
    </row>
    <row r="3" spans="2:10" ht="15" customHeight="1">
      <c r="B3" s="1025" t="s">
        <v>846</v>
      </c>
      <c r="C3" s="1025"/>
      <c r="D3" s="1025"/>
      <c r="E3" s="1025"/>
      <c r="F3" s="1025"/>
      <c r="G3" s="1025"/>
      <c r="H3" s="854"/>
      <c r="I3" s="855"/>
      <c r="J3" s="855"/>
    </row>
    <row r="4" spans="2:10" s="858" customFormat="1" ht="15" customHeight="1">
      <c r="B4" s="913"/>
      <c r="C4" s="913"/>
      <c r="D4" s="913"/>
      <c r="E4" s="913"/>
      <c r="F4" s="913"/>
      <c r="G4" s="913"/>
      <c r="H4" s="93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69"/>
      <c r="F9" s="870"/>
      <c r="G9" s="871"/>
      <c r="H9" s="870"/>
    </row>
    <row r="10" spans="2:10" s="919" customFormat="1" ht="15" customHeight="1">
      <c r="B10" s="1023" t="s">
        <v>833</v>
      </c>
      <c r="C10" s="1024"/>
      <c r="D10" s="1024"/>
      <c r="E10" s="1024"/>
      <c r="F10" s="1024"/>
      <c r="G10" s="1024"/>
      <c r="H10" s="870"/>
    </row>
    <row r="11" spans="2:10" s="919" customFormat="1" ht="15" customHeight="1">
      <c r="B11" s="872" t="s">
        <v>857</v>
      </c>
      <c r="C11" s="870"/>
      <c r="D11" s="864"/>
      <c r="E11" s="864"/>
      <c r="F11" s="869"/>
      <c r="G11" s="869"/>
      <c r="H11" s="870"/>
    </row>
    <row r="12" spans="2:10" s="919" customFormat="1" ht="15" customHeight="1">
      <c r="B12" s="872" t="s">
        <v>815</v>
      </c>
      <c r="C12" s="870"/>
      <c r="D12" s="864"/>
      <c r="E12" s="864"/>
      <c r="F12" s="869"/>
      <c r="G12" s="869"/>
      <c r="H12" s="870"/>
    </row>
    <row r="13" spans="2:10" s="919" customFormat="1" ht="15" customHeight="1">
      <c r="B13" s="872" t="s">
        <v>844</v>
      </c>
      <c r="C13" s="870"/>
      <c r="D13" s="864"/>
      <c r="E13" s="864"/>
      <c r="F13" s="869"/>
      <c r="G13" s="869"/>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0</v>
      </c>
      <c r="D19" s="922">
        <v>0</v>
      </c>
      <c r="E19" s="921">
        <v>0</v>
      </c>
      <c r="F19" s="922">
        <v>0</v>
      </c>
      <c r="G19" s="922">
        <v>0</v>
      </c>
      <c r="H19" s="878" t="s">
        <v>912</v>
      </c>
      <c r="I19" s="870"/>
    </row>
    <row r="20" spans="1:10" s="919" customFormat="1" ht="27" customHeight="1">
      <c r="A20" s="861">
        <f>+A19+1</f>
        <v>2</v>
      </c>
      <c r="B20" s="920" t="s">
        <v>913</v>
      </c>
      <c r="C20" s="921">
        <v>0</v>
      </c>
      <c r="D20" s="921">
        <v>0</v>
      </c>
      <c r="E20" s="921">
        <v>0</v>
      </c>
      <c r="F20" s="922">
        <v>0</v>
      </c>
      <c r="G20" s="922">
        <v>0</v>
      </c>
      <c r="H20" s="922" t="s">
        <v>914</v>
      </c>
      <c r="I20" s="870"/>
    </row>
    <row r="21" spans="1:10" s="919" customFormat="1" ht="30.75" customHeight="1">
      <c r="A21" s="861">
        <f t="shared" ref="A21:A32" si="0">+A20+1</f>
        <v>3</v>
      </c>
      <c r="B21" s="920" t="s">
        <v>915</v>
      </c>
      <c r="C21" s="921">
        <v>0</v>
      </c>
      <c r="D21" s="922">
        <v>0</v>
      </c>
      <c r="E21" s="921">
        <v>0</v>
      </c>
      <c r="F21" s="922">
        <v>0</v>
      </c>
      <c r="G21" s="922">
        <v>0</v>
      </c>
      <c r="H21" s="878" t="s">
        <v>914</v>
      </c>
      <c r="I21" s="870"/>
    </row>
    <row r="22" spans="1:10" s="919" customFormat="1" ht="30.75" customHeight="1">
      <c r="A22" s="861">
        <f t="shared" si="0"/>
        <v>4</v>
      </c>
      <c r="B22" s="920" t="s">
        <v>916</v>
      </c>
      <c r="C22" s="921">
        <v>13281.64</v>
      </c>
      <c r="D22" s="922">
        <v>0</v>
      </c>
      <c r="E22" s="921">
        <v>13281.64</v>
      </c>
      <c r="F22" s="922">
        <v>0</v>
      </c>
      <c r="G22" s="922">
        <v>0</v>
      </c>
      <c r="H22" s="878" t="s">
        <v>917</v>
      </c>
      <c r="I22" s="870"/>
    </row>
    <row r="23" spans="1:10" s="919" customFormat="1" ht="15" customHeight="1">
      <c r="A23" s="861">
        <f t="shared" si="0"/>
        <v>5</v>
      </c>
      <c r="B23" s="920" t="s">
        <v>918</v>
      </c>
      <c r="C23" s="921">
        <v>1593.93</v>
      </c>
      <c r="D23" s="921">
        <v>0</v>
      </c>
      <c r="E23" s="921">
        <v>1593.93</v>
      </c>
      <c r="F23" s="921">
        <v>0</v>
      </c>
      <c r="G23" s="921">
        <v>0</v>
      </c>
      <c r="H23" s="878" t="s">
        <v>919</v>
      </c>
      <c r="I23" s="870"/>
    </row>
    <row r="24" spans="1:10" s="919" customFormat="1" ht="15" customHeight="1">
      <c r="A24" s="861">
        <f t="shared" si="0"/>
        <v>6</v>
      </c>
      <c r="B24" s="920"/>
      <c r="C24" s="921"/>
      <c r="D24" s="922"/>
      <c r="E24" s="921"/>
      <c r="F24" s="921"/>
      <c r="G24" s="922"/>
      <c r="H24" s="878"/>
      <c r="I24" s="870"/>
    </row>
    <row r="25" spans="1:10" s="919" customFormat="1" ht="15" customHeight="1">
      <c r="A25" s="861">
        <f t="shared" si="0"/>
        <v>7</v>
      </c>
      <c r="B25" s="920"/>
      <c r="C25" s="921"/>
      <c r="D25" s="921"/>
      <c r="E25" s="921"/>
      <c r="F25" s="922"/>
      <c r="G25" s="922"/>
      <c r="H25" s="878"/>
      <c r="I25" s="870"/>
    </row>
    <row r="26" spans="1:10" s="919" customFormat="1" ht="15" customHeight="1">
      <c r="A26" s="861">
        <f t="shared" si="0"/>
        <v>8</v>
      </c>
      <c r="B26" s="920"/>
      <c r="C26" s="921"/>
      <c r="D26" s="921"/>
      <c r="E26" s="921"/>
      <c r="F26" s="922"/>
      <c r="G26" s="922"/>
      <c r="H26" s="878"/>
      <c r="I26" s="870"/>
    </row>
    <row r="27" spans="1:10" s="919" customFormat="1" ht="15" customHeight="1">
      <c r="A27" s="861">
        <f t="shared" si="0"/>
        <v>9</v>
      </c>
      <c r="B27" s="920"/>
      <c r="C27" s="921"/>
      <c r="D27" s="921"/>
      <c r="E27" s="921"/>
      <c r="F27" s="922"/>
      <c r="G27" s="922"/>
      <c r="H27" s="878"/>
      <c r="I27" s="870"/>
    </row>
    <row r="28" spans="1:10" s="919" customFormat="1" ht="15" customHeight="1">
      <c r="A28" s="861">
        <f t="shared" si="0"/>
        <v>10</v>
      </c>
      <c r="B28" s="920"/>
      <c r="C28" s="921"/>
      <c r="D28" s="921"/>
      <c r="E28" s="921"/>
      <c r="F28" s="921"/>
      <c r="G28" s="921"/>
      <c r="H28" s="878"/>
      <c r="I28" s="870"/>
    </row>
    <row r="29" spans="1:10" s="919" customFormat="1" ht="15" customHeight="1">
      <c r="A29" s="861">
        <f t="shared" si="0"/>
        <v>11</v>
      </c>
      <c r="B29" s="880" t="s">
        <v>853</v>
      </c>
      <c r="C29" s="881">
        <f>SUBTOTAL(9,C19:C28)</f>
        <v>14875.57</v>
      </c>
      <c r="D29" s="881">
        <f>SUM(D19:D28)</f>
        <v>0</v>
      </c>
      <c r="E29" s="881">
        <f>SUM(E19:E28)</f>
        <v>14875.57</v>
      </c>
      <c r="F29" s="881">
        <f>SUM(F19:F28)</f>
        <v>0</v>
      </c>
      <c r="G29" s="881">
        <f>SUM(G19:G28)</f>
        <v>0</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14875.57</v>
      </c>
      <c r="D32" s="951"/>
      <c r="E32" s="936">
        <f>+E29</f>
        <v>14875.57</v>
      </c>
      <c r="F32" s="942">
        <f>+F29*F31</f>
        <v>0</v>
      </c>
      <c r="G32" s="942">
        <f>+G29*G30</f>
        <v>0</v>
      </c>
      <c r="H32" s="871"/>
      <c r="I32" s="870"/>
    </row>
    <row r="33" spans="1:10" s="919" customFormat="1" ht="15" customHeight="1" thickTop="1">
      <c r="A33" s="861"/>
      <c r="B33" s="870"/>
      <c r="C33" s="935"/>
      <c r="D33" s="865"/>
      <c r="E33" s="865"/>
      <c r="F33" s="865"/>
      <c r="G33" s="865"/>
      <c r="H33" s="871"/>
      <c r="I33" s="870"/>
    </row>
    <row r="34" spans="1:10" s="860" customFormat="1" ht="15" customHeight="1">
      <c r="B34" s="1021" t="str">
        <f>+B1</f>
        <v>Transource Pennsylvania, LLC</v>
      </c>
      <c r="C34" s="1022"/>
      <c r="D34" s="1022"/>
      <c r="E34" s="1022"/>
      <c r="F34" s="1022"/>
      <c r="G34" s="1022"/>
      <c r="H34" s="1022"/>
      <c r="I34" s="864"/>
      <c r="J34" s="919"/>
    </row>
    <row r="35" spans="1:10" s="860" customFormat="1" ht="15" customHeight="1">
      <c r="B35" s="1021" t="str">
        <f>+B2</f>
        <v>Attachment 4a - Accumulated Deferred Income Taxes (ADIT) Worksheet</v>
      </c>
      <c r="C35" s="1022"/>
      <c r="D35" s="1022"/>
      <c r="E35" s="1022"/>
      <c r="F35" s="1022"/>
      <c r="G35" s="1022"/>
      <c r="H35" s="1022"/>
      <c r="I35" s="864"/>
      <c r="J35" s="919"/>
    </row>
    <row r="36" spans="1:10" s="860" customFormat="1" ht="15" customHeight="1">
      <c r="B36" s="1021" t="str">
        <f>+B3</f>
        <v>Beginning of Rate Year and Rate Year Average</v>
      </c>
      <c r="C36" s="1022"/>
      <c r="D36" s="1022"/>
      <c r="E36" s="1022"/>
      <c r="F36" s="1022"/>
      <c r="G36" s="1022"/>
      <c r="H36" s="1022"/>
      <c r="I36" s="864"/>
      <c r="J36" s="919"/>
    </row>
    <row r="37" spans="1:10" s="860" customFormat="1" ht="9.75" customHeight="1">
      <c r="B37" s="875"/>
      <c r="C37" s="875"/>
      <c r="D37" s="875"/>
      <c r="E37" s="875"/>
      <c r="F37" s="875"/>
      <c r="G37" s="875"/>
      <c r="H37" s="875"/>
      <c r="I37" s="864"/>
      <c r="J37" s="919"/>
    </row>
    <row r="38" spans="1:10" s="919" customFormat="1" ht="15" customHeight="1">
      <c r="B38" s="866" t="s">
        <v>874</v>
      </c>
      <c r="C38" s="864"/>
      <c r="D38" s="869"/>
      <c r="E38" s="868"/>
      <c r="F38" s="870"/>
      <c r="G38" s="885"/>
      <c r="H38" s="933" t="s">
        <v>147</v>
      </c>
    </row>
    <row r="39" spans="1:10" s="919" customFormat="1" ht="15" customHeight="1">
      <c r="B39" s="1023" t="s">
        <v>833</v>
      </c>
      <c r="C39" s="1024"/>
      <c r="D39" s="1024"/>
      <c r="E39" s="1024"/>
      <c r="F39" s="1024"/>
      <c r="G39" s="1024"/>
      <c r="H39" s="870"/>
    </row>
    <row r="40" spans="1:10" s="919" customFormat="1" ht="15" customHeight="1">
      <c r="B40" s="872" t="s">
        <v>857</v>
      </c>
      <c r="C40" s="870"/>
      <c r="D40" s="864"/>
      <c r="E40" s="864"/>
      <c r="F40" s="869"/>
      <c r="G40" s="869"/>
      <c r="H40" s="870"/>
    </row>
    <row r="41" spans="1:10" s="919" customFormat="1" ht="15" customHeight="1">
      <c r="B41" s="872" t="s">
        <v>815</v>
      </c>
      <c r="C41" s="870"/>
      <c r="D41" s="864"/>
      <c r="E41" s="864"/>
      <c r="F41" s="869"/>
      <c r="G41" s="869"/>
      <c r="H41" s="870"/>
    </row>
    <row r="42" spans="1:10" s="919" customFormat="1" ht="15" customHeight="1">
      <c r="B42" s="872" t="s">
        <v>844</v>
      </c>
      <c r="C42" s="870"/>
      <c r="D42" s="864"/>
      <c r="E42" s="864"/>
      <c r="F42" s="869"/>
      <c r="G42" s="869"/>
      <c r="H42" s="870"/>
    </row>
    <row r="43" spans="1:10" s="919" customFormat="1" ht="15" customHeight="1">
      <c r="B43" s="873"/>
      <c r="C43" s="873"/>
      <c r="D43" s="873"/>
      <c r="E43" s="873"/>
      <c r="F43" s="873"/>
      <c r="G43" s="873"/>
      <c r="H43" s="885"/>
    </row>
    <row r="44" spans="1:10" s="860" customFormat="1" ht="15" customHeight="1">
      <c r="B44" s="861" t="s">
        <v>62</v>
      </c>
      <c r="C44" s="861" t="s">
        <v>63</v>
      </c>
      <c r="D44" s="861" t="s">
        <v>64</v>
      </c>
      <c r="E44" s="861" t="s">
        <v>65</v>
      </c>
      <c r="F44" s="861" t="s">
        <v>67</v>
      </c>
      <c r="G44" s="861" t="s">
        <v>68</v>
      </c>
      <c r="H44" s="861" t="s">
        <v>69</v>
      </c>
      <c r="I44" s="864"/>
      <c r="J44" s="919"/>
    </row>
    <row r="45" spans="1:10" s="860" customFormat="1" ht="15" customHeight="1">
      <c r="B45" s="864" t="s">
        <v>875</v>
      </c>
      <c r="C45" s="861" t="s">
        <v>13</v>
      </c>
      <c r="D45" s="861" t="s">
        <v>832</v>
      </c>
      <c r="E45" s="861" t="s">
        <v>16</v>
      </c>
      <c r="F45" s="861" t="s">
        <v>806</v>
      </c>
      <c r="G45" s="861" t="s">
        <v>807</v>
      </c>
      <c r="I45" s="864"/>
      <c r="J45" s="919"/>
    </row>
    <row r="46" spans="1:10" s="860" customFormat="1" ht="15" customHeight="1">
      <c r="A46" s="893" t="s">
        <v>594</v>
      </c>
      <c r="B46" s="872"/>
      <c r="C46" s="861"/>
      <c r="D46" s="861" t="s">
        <v>831</v>
      </c>
      <c r="E46" s="861" t="s">
        <v>808</v>
      </c>
      <c r="F46" s="861" t="s">
        <v>808</v>
      </c>
      <c r="G46" s="861" t="s">
        <v>808</v>
      </c>
      <c r="H46" s="861" t="s">
        <v>813</v>
      </c>
      <c r="I46" s="864"/>
      <c r="J46" s="919"/>
    </row>
    <row r="47" spans="1:10" s="919" customFormat="1" ht="15" customHeight="1">
      <c r="A47" s="861">
        <f>+A32+1</f>
        <v>15</v>
      </c>
      <c r="B47" s="920"/>
      <c r="C47" s="921">
        <v>0</v>
      </c>
      <c r="D47" s="922"/>
      <c r="E47" s="921"/>
      <c r="F47" s="921"/>
      <c r="G47" s="922"/>
      <c r="H47" s="878"/>
      <c r="I47" s="870"/>
    </row>
    <row r="48" spans="1:10" s="919" customFormat="1" ht="15" customHeight="1">
      <c r="A48" s="861">
        <f>+A47+1</f>
        <v>16</v>
      </c>
      <c r="B48" s="879"/>
      <c r="C48" s="921">
        <v>0</v>
      </c>
      <c r="D48" s="877"/>
      <c r="E48" s="877"/>
      <c r="F48" s="877"/>
      <c r="G48" s="877"/>
      <c r="H48" s="878"/>
      <c r="I48" s="870"/>
    </row>
    <row r="49" spans="1:10" s="919" customFormat="1" ht="15" customHeight="1">
      <c r="A49" s="861">
        <f t="shared" ref="A49:A52" si="1">+A48+1</f>
        <v>17</v>
      </c>
      <c r="B49" s="880" t="s">
        <v>877</v>
      </c>
      <c r="C49" s="881">
        <f>SUBTOTAL(9,C47:C48)</f>
        <v>0</v>
      </c>
      <c r="D49" s="881">
        <f>SUM(D47:D48)</f>
        <v>0</v>
      </c>
      <c r="E49" s="881">
        <f>SUM(E47:E48)</f>
        <v>0</v>
      </c>
      <c r="F49" s="881">
        <f>SUM(F47:F48)</f>
        <v>0</v>
      </c>
      <c r="G49" s="881">
        <f>SUM(G47:G48)</f>
        <v>0</v>
      </c>
      <c r="H49" s="882"/>
      <c r="I49" s="870"/>
    </row>
    <row r="50" spans="1:10" s="919" customFormat="1" ht="15" customHeight="1">
      <c r="A50" s="861">
        <f t="shared" si="1"/>
        <v>18</v>
      </c>
      <c r="B50" s="880" t="s">
        <v>811</v>
      </c>
      <c r="C50" s="944"/>
      <c r="D50" s="945"/>
      <c r="E50" s="949"/>
      <c r="F50" s="945"/>
      <c r="G50" s="947">
        <f>+'Attachment H-29A'!$I$197</f>
        <v>1</v>
      </c>
      <c r="H50" s="871"/>
      <c r="I50" s="870"/>
    </row>
    <row r="51" spans="1:10" s="919" customFormat="1" ht="15" customHeight="1">
      <c r="A51" s="861">
        <f t="shared" si="1"/>
        <v>19</v>
      </c>
      <c r="B51" s="943" t="s">
        <v>812</v>
      </c>
      <c r="C51" s="940"/>
      <c r="D51" s="928"/>
      <c r="E51" s="950"/>
      <c r="F51" s="937">
        <f>+'Attachment H-29A'!$G$83</f>
        <v>1</v>
      </c>
      <c r="G51" s="949"/>
      <c r="H51" s="871"/>
      <c r="I51" s="870"/>
    </row>
    <row r="52" spans="1:10" s="919" customFormat="1" ht="15" customHeight="1" thickBot="1">
      <c r="A52" s="861">
        <f t="shared" si="1"/>
        <v>20</v>
      </c>
      <c r="B52" s="948" t="s">
        <v>873</v>
      </c>
      <c r="C52" s="941">
        <f>+SUM(E52:G52)</f>
        <v>0</v>
      </c>
      <c r="D52" s="951"/>
      <c r="E52" s="936">
        <f>+E49</f>
        <v>0</v>
      </c>
      <c r="F52" s="942">
        <f>+F49*F51</f>
        <v>0</v>
      </c>
      <c r="G52" s="942">
        <f>+G49*G50</f>
        <v>0</v>
      </c>
      <c r="H52" s="871"/>
      <c r="I52" s="870"/>
    </row>
    <row r="53" spans="1:10" s="919" customFormat="1" ht="15" customHeight="1" thickTop="1">
      <c r="A53" s="861"/>
      <c r="B53" s="870"/>
      <c r="C53" s="935"/>
      <c r="D53" s="865"/>
      <c r="E53" s="865"/>
      <c r="F53" s="865"/>
      <c r="G53" s="865"/>
      <c r="H53" s="871"/>
      <c r="I53" s="870"/>
    </row>
    <row r="54" spans="1:10" s="860" customFormat="1" ht="15" customHeight="1">
      <c r="B54" s="861" t="s">
        <v>62</v>
      </c>
      <c r="C54" s="861" t="s">
        <v>63</v>
      </c>
      <c r="D54" s="861" t="s">
        <v>64</v>
      </c>
      <c r="E54" s="861" t="s">
        <v>65</v>
      </c>
      <c r="F54" s="861" t="s">
        <v>67</v>
      </c>
      <c r="G54" s="861" t="s">
        <v>68</v>
      </c>
      <c r="H54" s="861" t="s">
        <v>69</v>
      </c>
      <c r="I54" s="864"/>
      <c r="J54" s="919"/>
    </row>
    <row r="55" spans="1:10" s="860" customFormat="1" ht="15" customHeight="1">
      <c r="B55" s="864" t="s">
        <v>809</v>
      </c>
      <c r="C55" s="861" t="s">
        <v>13</v>
      </c>
      <c r="D55" s="861" t="s">
        <v>832</v>
      </c>
      <c r="E55" s="861" t="s">
        <v>16</v>
      </c>
      <c r="F55" s="861" t="s">
        <v>806</v>
      </c>
      <c r="G55" s="861" t="s">
        <v>807</v>
      </c>
      <c r="I55" s="864"/>
      <c r="J55" s="919"/>
    </row>
    <row r="56" spans="1:10" s="860" customFormat="1" ht="15" customHeight="1">
      <c r="A56" s="893" t="s">
        <v>594</v>
      </c>
      <c r="B56" s="872"/>
      <c r="C56" s="861"/>
      <c r="D56" s="861" t="s">
        <v>831</v>
      </c>
      <c r="E56" s="861" t="s">
        <v>808</v>
      </c>
      <c r="F56" s="861" t="s">
        <v>808</v>
      </c>
      <c r="G56" s="861" t="s">
        <v>808</v>
      </c>
      <c r="H56" s="861" t="s">
        <v>813</v>
      </c>
      <c r="I56" s="864"/>
      <c r="J56" s="919"/>
    </row>
    <row r="57" spans="1:10" s="919" customFormat="1" ht="15" customHeight="1">
      <c r="A57" s="861">
        <f>+A52+1</f>
        <v>21</v>
      </c>
      <c r="B57" s="920" t="s">
        <v>920</v>
      </c>
      <c r="C57" s="921">
        <v>38205.279999999999</v>
      </c>
      <c r="D57" s="922">
        <v>0</v>
      </c>
      <c r="E57" s="921">
        <v>0</v>
      </c>
      <c r="F57" s="921">
        <v>38205.279999999999</v>
      </c>
      <c r="G57" s="922">
        <v>0</v>
      </c>
      <c r="H57" s="878" t="s">
        <v>921</v>
      </c>
      <c r="I57" s="870"/>
    </row>
    <row r="58" spans="1:10" s="919" customFormat="1" ht="15" customHeight="1">
      <c r="A58" s="861">
        <f>+A57+1</f>
        <v>22</v>
      </c>
      <c r="B58" s="920" t="s">
        <v>922</v>
      </c>
      <c r="C58" s="921">
        <v>24304.53</v>
      </c>
      <c r="D58" s="922">
        <v>0</v>
      </c>
      <c r="E58" s="921">
        <v>0</v>
      </c>
      <c r="F58" s="922">
        <v>24304.53</v>
      </c>
      <c r="G58" s="922">
        <v>0</v>
      </c>
      <c r="H58" s="878" t="s">
        <v>923</v>
      </c>
      <c r="I58" s="870"/>
    </row>
    <row r="59" spans="1:10" s="919" customFormat="1" ht="15" customHeight="1">
      <c r="A59" s="861">
        <f t="shared" ref="A59:A65" si="2">+A58+1</f>
        <v>23</v>
      </c>
      <c r="B59" s="920" t="s">
        <v>924</v>
      </c>
      <c r="C59" s="921">
        <v>2382.38</v>
      </c>
      <c r="D59" s="921">
        <v>0</v>
      </c>
      <c r="E59" s="921">
        <v>0</v>
      </c>
      <c r="F59" s="921">
        <v>2382.38</v>
      </c>
      <c r="G59" s="921">
        <v>0</v>
      </c>
      <c r="H59" s="921" t="s">
        <v>925</v>
      </c>
      <c r="I59" s="870"/>
    </row>
    <row r="60" spans="1:10" s="919" customFormat="1" ht="15" customHeight="1">
      <c r="A60" s="861">
        <f t="shared" si="2"/>
        <v>24</v>
      </c>
      <c r="B60" s="920">
        <v>0</v>
      </c>
      <c r="C60" s="921">
        <v>0</v>
      </c>
      <c r="D60" s="921">
        <v>0</v>
      </c>
      <c r="E60" s="921">
        <v>0</v>
      </c>
      <c r="F60" s="921">
        <v>0</v>
      </c>
      <c r="G60" s="921">
        <v>0</v>
      </c>
      <c r="H60" s="921">
        <v>0</v>
      </c>
      <c r="I60" s="870"/>
    </row>
    <row r="61" spans="1:10" s="919" customFormat="1" ht="15" customHeight="1">
      <c r="A61" s="861">
        <f t="shared" si="2"/>
        <v>25</v>
      </c>
      <c r="B61" s="920"/>
      <c r="C61" s="921"/>
      <c r="D61" s="922"/>
      <c r="E61" s="922"/>
      <c r="F61" s="922"/>
      <c r="G61" s="922"/>
      <c r="H61" s="878"/>
      <c r="I61" s="870"/>
    </row>
    <row r="62" spans="1:10" s="919" customFormat="1" ht="15" customHeight="1">
      <c r="A62" s="861">
        <f t="shared" si="2"/>
        <v>26</v>
      </c>
      <c r="B62" s="880" t="s">
        <v>852</v>
      </c>
      <c r="C62" s="881">
        <f>SUBTOTAL(9,C57:C61)</f>
        <v>64892.189999999995</v>
      </c>
      <c r="D62" s="881">
        <f>SUM(D57:D61)</f>
        <v>0</v>
      </c>
      <c r="E62" s="881">
        <f>SUM(E57:E61)</f>
        <v>0</v>
      </c>
      <c r="F62" s="881">
        <f>SUM(F57:F61)</f>
        <v>64892.189999999995</v>
      </c>
      <c r="G62" s="881">
        <f>SUM(G57:G61)</f>
        <v>0</v>
      </c>
      <c r="H62" s="882"/>
      <c r="I62" s="870"/>
    </row>
    <row r="63" spans="1:10" s="919" customFormat="1" ht="15" customHeight="1">
      <c r="A63" s="861">
        <f t="shared" si="2"/>
        <v>27</v>
      </c>
      <c r="B63" s="880" t="s">
        <v>811</v>
      </c>
      <c r="C63" s="944"/>
      <c r="D63" s="945"/>
      <c r="E63" s="949"/>
      <c r="F63" s="945"/>
      <c r="G63" s="947">
        <f>+'Attachment H-29A'!$I$197</f>
        <v>1</v>
      </c>
      <c r="H63" s="871"/>
      <c r="I63" s="870"/>
    </row>
    <row r="64" spans="1:10" s="919" customFormat="1" ht="15" customHeight="1">
      <c r="A64" s="861">
        <f t="shared" si="2"/>
        <v>28</v>
      </c>
      <c r="B64" s="943" t="s">
        <v>812</v>
      </c>
      <c r="C64" s="940"/>
      <c r="D64" s="928"/>
      <c r="E64" s="950"/>
      <c r="F64" s="937">
        <f>+'Attachment H-29A'!$G$83</f>
        <v>1</v>
      </c>
      <c r="G64" s="949"/>
      <c r="H64" s="871"/>
      <c r="I64" s="870"/>
    </row>
    <row r="65" spans="1:10" s="919" customFormat="1" ht="15" customHeight="1" thickBot="1">
      <c r="A65" s="861">
        <f t="shared" si="2"/>
        <v>29</v>
      </c>
      <c r="B65" s="948" t="s">
        <v>873</v>
      </c>
      <c r="C65" s="941">
        <f>+SUM(E65:G65)</f>
        <v>64892.189999999995</v>
      </c>
      <c r="D65" s="951"/>
      <c r="E65" s="936">
        <f>+E62</f>
        <v>0</v>
      </c>
      <c r="F65" s="942">
        <f>+F62*F64</f>
        <v>64892.189999999995</v>
      </c>
      <c r="G65" s="942">
        <f>+G62*G63</f>
        <v>0</v>
      </c>
      <c r="H65" s="871"/>
      <c r="I65" s="870"/>
    </row>
    <row r="66" spans="1:10" s="919" customFormat="1" ht="15" customHeight="1" thickTop="1">
      <c r="A66" s="861"/>
      <c r="B66" s="884"/>
      <c r="C66" s="870"/>
      <c r="D66" s="864"/>
      <c r="E66" s="867"/>
      <c r="F66" s="892"/>
      <c r="G66" s="868"/>
      <c r="H66" s="934"/>
      <c r="I66" s="870"/>
    </row>
    <row r="67" spans="1:10" s="860" customFormat="1" ht="15" customHeight="1">
      <c r="B67" s="861" t="s">
        <v>62</v>
      </c>
      <c r="C67" s="861" t="s">
        <v>63</v>
      </c>
      <c r="D67" s="861" t="s">
        <v>64</v>
      </c>
      <c r="E67" s="861" t="s">
        <v>65</v>
      </c>
      <c r="F67" s="861" t="s">
        <v>67</v>
      </c>
      <c r="G67" s="861" t="s">
        <v>68</v>
      </c>
      <c r="H67" s="861" t="s">
        <v>69</v>
      </c>
      <c r="I67" s="864"/>
      <c r="J67" s="919"/>
    </row>
    <row r="68" spans="1:10" s="860" customFormat="1" ht="15" customHeight="1">
      <c r="B68" s="864" t="s">
        <v>816</v>
      </c>
      <c r="C68" s="861" t="s">
        <v>13</v>
      </c>
      <c r="D68" s="861" t="s">
        <v>832</v>
      </c>
      <c r="E68" s="861" t="s">
        <v>16</v>
      </c>
      <c r="F68" s="861" t="s">
        <v>806</v>
      </c>
      <c r="G68" s="861" t="s">
        <v>807</v>
      </c>
      <c r="H68" s="861"/>
      <c r="I68" s="864"/>
      <c r="J68" s="919"/>
    </row>
    <row r="69" spans="1:10" s="860" customFormat="1" ht="15" customHeight="1">
      <c r="A69" s="893" t="s">
        <v>594</v>
      </c>
      <c r="B69" s="864"/>
      <c r="C69" s="861"/>
      <c r="D69" s="861" t="s">
        <v>831</v>
      </c>
      <c r="E69" s="861" t="s">
        <v>808</v>
      </c>
      <c r="F69" s="861" t="s">
        <v>808</v>
      </c>
      <c r="G69" s="861" t="s">
        <v>808</v>
      </c>
      <c r="H69" s="861" t="s">
        <v>813</v>
      </c>
      <c r="I69" s="864"/>
      <c r="J69" s="919"/>
    </row>
    <row r="70" spans="1:10" s="919" customFormat="1" ht="15" customHeight="1">
      <c r="A70" s="861">
        <f>+A65+1</f>
        <v>30</v>
      </c>
      <c r="B70" s="920" t="s">
        <v>918</v>
      </c>
      <c r="C70" s="921">
        <v>334.72</v>
      </c>
      <c r="D70" s="921">
        <v>0</v>
      </c>
      <c r="E70" s="921">
        <v>334.72</v>
      </c>
      <c r="F70" s="922">
        <v>0</v>
      </c>
      <c r="G70" s="922">
        <v>0</v>
      </c>
      <c r="H70" s="923" t="s">
        <v>926</v>
      </c>
      <c r="I70" s="870"/>
    </row>
    <row r="71" spans="1:10" s="919" customFormat="1" ht="15" customHeight="1">
      <c r="A71" s="861">
        <f>+A70+1</f>
        <v>31</v>
      </c>
      <c r="B71" s="920" t="s">
        <v>916</v>
      </c>
      <c r="C71" s="921">
        <v>63245.91</v>
      </c>
      <c r="D71" s="921">
        <v>0</v>
      </c>
      <c r="E71" s="921">
        <v>63245.91</v>
      </c>
      <c r="F71" s="922">
        <v>0</v>
      </c>
      <c r="G71" s="922">
        <v>0</v>
      </c>
      <c r="H71" s="878" t="s">
        <v>927</v>
      </c>
      <c r="I71" s="870"/>
    </row>
    <row r="72" spans="1:10" s="919" customFormat="1" ht="15" customHeight="1">
      <c r="A72" s="861">
        <f t="shared" ref="A72:A78" si="3">+A71+1</f>
        <v>32</v>
      </c>
      <c r="B72" s="920" t="s">
        <v>928</v>
      </c>
      <c r="C72" s="921">
        <v>99688.59</v>
      </c>
      <c r="D72" s="922">
        <v>0</v>
      </c>
      <c r="E72" s="921">
        <v>99688.59</v>
      </c>
      <c r="F72" s="922">
        <v>0</v>
      </c>
      <c r="G72" s="922">
        <v>0</v>
      </c>
      <c r="H72" s="878" t="s">
        <v>929</v>
      </c>
      <c r="I72" s="870"/>
    </row>
    <row r="73" spans="1:10" s="919" customFormat="1" ht="15" customHeight="1">
      <c r="A73" s="861">
        <f t="shared" si="3"/>
        <v>33</v>
      </c>
      <c r="B73" s="920" t="s">
        <v>930</v>
      </c>
      <c r="C73" s="921">
        <v>-786.33</v>
      </c>
      <c r="D73" s="921">
        <v>0</v>
      </c>
      <c r="E73" s="921">
        <v>-786.33</v>
      </c>
      <c r="F73" s="921">
        <v>0</v>
      </c>
      <c r="G73" s="921">
        <v>0</v>
      </c>
      <c r="H73" s="921" t="s">
        <v>931</v>
      </c>
      <c r="I73" s="870"/>
    </row>
    <row r="74" spans="1:10" s="919" customFormat="1" ht="15" customHeight="1">
      <c r="A74" s="861">
        <f t="shared" si="3"/>
        <v>34</v>
      </c>
      <c r="B74" s="920"/>
      <c r="C74" s="921"/>
      <c r="D74" s="922"/>
      <c r="E74" s="922"/>
      <c r="F74" s="922"/>
      <c r="G74" s="922"/>
      <c r="H74" s="878"/>
      <c r="I74" s="870"/>
    </row>
    <row r="75" spans="1:10" s="919" customFormat="1" ht="15" customHeight="1">
      <c r="A75" s="861">
        <f t="shared" si="3"/>
        <v>35</v>
      </c>
      <c r="B75" s="880" t="s">
        <v>851</v>
      </c>
      <c r="C75" s="881">
        <f>SUBTOTAL(9,C70:C74)</f>
        <v>162482.89000000001</v>
      </c>
      <c r="D75" s="881">
        <f>SUM(D70:D74)</f>
        <v>0</v>
      </c>
      <c r="E75" s="881">
        <f>SUM(E70:E74)</f>
        <v>162482.89000000001</v>
      </c>
      <c r="F75" s="881">
        <f>SUM(F70:F74)</f>
        <v>0</v>
      </c>
      <c r="G75" s="881">
        <f>SUM(G70:G74)</f>
        <v>0</v>
      </c>
      <c r="H75" s="926"/>
      <c r="I75" s="870"/>
    </row>
    <row r="76" spans="1:10" s="919" customFormat="1" ht="15" customHeight="1">
      <c r="A76" s="861">
        <f t="shared" si="3"/>
        <v>36</v>
      </c>
      <c r="B76" s="880" t="s">
        <v>811</v>
      </c>
      <c r="C76" s="944"/>
      <c r="D76" s="945"/>
      <c r="E76" s="949"/>
      <c r="F76" s="945"/>
      <c r="G76" s="947">
        <f>+'Attachment H-29A'!$I$197</f>
        <v>1</v>
      </c>
      <c r="H76" s="871"/>
      <c r="I76" s="870"/>
    </row>
    <row r="77" spans="1:10" s="919" customFormat="1" ht="15" customHeight="1">
      <c r="A77" s="861">
        <f t="shared" si="3"/>
        <v>37</v>
      </c>
      <c r="B77" s="943" t="s">
        <v>812</v>
      </c>
      <c r="C77" s="940"/>
      <c r="D77" s="928"/>
      <c r="E77" s="950"/>
      <c r="F77" s="937">
        <f>+'Attachment H-29A'!$G$83</f>
        <v>1</v>
      </c>
      <c r="G77" s="949"/>
      <c r="H77" s="871"/>
      <c r="I77" s="870"/>
    </row>
    <row r="78" spans="1:10" s="919" customFormat="1" ht="15" customHeight="1" thickBot="1">
      <c r="A78" s="861">
        <f t="shared" si="3"/>
        <v>38</v>
      </c>
      <c r="B78" s="948" t="s">
        <v>873</v>
      </c>
      <c r="C78" s="941">
        <f>+SUM(E78:G78)</f>
        <v>162482.89000000001</v>
      </c>
      <c r="D78" s="951"/>
      <c r="E78" s="936">
        <f>+E75</f>
        <v>162482.89000000001</v>
      </c>
      <c r="F78" s="942">
        <f>+F75*F77</f>
        <v>0</v>
      </c>
      <c r="G78" s="942">
        <f>+G75*G76</f>
        <v>0</v>
      </c>
      <c r="H78" s="871"/>
      <c r="I78" s="870"/>
    </row>
    <row r="79" spans="1:10" ht="15" customHeight="1" thickTop="1">
      <c r="B79" s="914"/>
      <c r="C79" s="914"/>
      <c r="D79" s="914"/>
      <c r="E79" s="914"/>
      <c r="F79" s="914"/>
      <c r="G79" s="914"/>
      <c r="H79" s="914"/>
      <c r="I79" s="863"/>
    </row>
    <row r="80" spans="1:10" ht="15" customHeight="1">
      <c r="B80" s="977"/>
      <c r="C80" s="977"/>
      <c r="D80" s="977"/>
      <c r="E80" s="977"/>
      <c r="F80" s="977"/>
      <c r="G80" s="977"/>
      <c r="H80" s="977"/>
      <c r="I80" s="886"/>
    </row>
    <row r="81" spans="2:9" ht="15" customHeight="1">
      <c r="B81" s="874"/>
      <c r="C81" s="874"/>
      <c r="D81" s="874"/>
      <c r="E81" s="874"/>
      <c r="F81" s="874"/>
      <c r="G81" s="874"/>
      <c r="H81" s="874"/>
      <c r="I81" s="863"/>
    </row>
    <row r="82" spans="2:9" ht="15" customHeight="1">
      <c r="B82" s="874"/>
      <c r="C82" s="874"/>
      <c r="D82" s="874"/>
      <c r="E82" s="874"/>
      <c r="F82" s="874"/>
      <c r="G82" s="874"/>
      <c r="H82" s="874"/>
      <c r="I82" s="863"/>
    </row>
    <row r="83" spans="2:9" ht="15" customHeight="1">
      <c r="B83" s="874"/>
      <c r="C83" s="874"/>
      <c r="D83" s="874"/>
      <c r="E83" s="874"/>
      <c r="F83" s="874"/>
      <c r="G83" s="874"/>
      <c r="H83" s="874"/>
      <c r="I83" s="863"/>
    </row>
    <row r="84" spans="2:9" ht="15" customHeight="1">
      <c r="B84" s="874"/>
      <c r="C84" s="874"/>
      <c r="D84" s="915"/>
      <c r="E84" s="915"/>
      <c r="F84" s="915"/>
      <c r="G84" s="915"/>
      <c r="H84" s="915"/>
      <c r="I84" s="887"/>
    </row>
    <row r="85" spans="2:9" ht="15" customHeight="1">
      <c r="B85" s="874"/>
      <c r="C85" s="874"/>
      <c r="D85" s="915"/>
      <c r="E85" s="915"/>
      <c r="F85" s="915"/>
      <c r="G85" s="915"/>
      <c r="H85" s="915"/>
      <c r="I85" s="887"/>
    </row>
    <row r="86" spans="2:9" ht="15" customHeight="1">
      <c r="B86" s="916"/>
      <c r="C86" s="874"/>
      <c r="D86" s="917"/>
      <c r="E86" s="917"/>
      <c r="F86" s="874"/>
      <c r="G86" s="874"/>
      <c r="H86" s="874"/>
      <c r="I86" s="863"/>
    </row>
    <row r="87" spans="2:9" ht="15" customHeight="1">
      <c r="B87" s="916"/>
      <c r="C87" s="874"/>
      <c r="D87" s="918"/>
      <c r="E87" s="918"/>
      <c r="F87" s="874"/>
      <c r="G87" s="874"/>
      <c r="H87" s="874"/>
      <c r="I87" s="863"/>
    </row>
    <row r="88" spans="2:9" ht="15" customHeight="1">
      <c r="B88" s="916"/>
      <c r="C88" s="874"/>
      <c r="D88" s="918"/>
      <c r="E88" s="918"/>
      <c r="F88" s="874"/>
      <c r="G88" s="874"/>
      <c r="H88" s="874"/>
      <c r="I88" s="863"/>
    </row>
    <row r="89" spans="2:9" ht="15" customHeight="1">
      <c r="B89" s="916"/>
      <c r="C89" s="874"/>
      <c r="D89" s="918"/>
      <c r="E89" s="918"/>
      <c r="F89" s="874"/>
      <c r="G89" s="874"/>
      <c r="H89" s="874"/>
      <c r="I89" s="863"/>
    </row>
    <row r="90" spans="2:9" ht="15" customHeight="1">
      <c r="B90" s="916"/>
      <c r="C90" s="874"/>
      <c r="D90" s="918"/>
      <c r="E90" s="918"/>
      <c r="F90" s="874"/>
      <c r="G90" s="874"/>
      <c r="H90" s="874"/>
      <c r="I90" s="863"/>
    </row>
    <row r="91" spans="2:9" ht="15" customHeight="1">
      <c r="B91" s="916"/>
      <c r="C91" s="874"/>
      <c r="D91" s="918"/>
      <c r="E91" s="918"/>
      <c r="F91" s="874"/>
      <c r="G91" s="874"/>
      <c r="H91" s="874"/>
      <c r="I91" s="863"/>
    </row>
    <row r="92" spans="2:9" ht="15" customHeight="1">
      <c r="B92" s="916"/>
      <c r="C92" s="874"/>
      <c r="D92" s="918"/>
      <c r="E92" s="918"/>
      <c r="F92" s="874"/>
      <c r="G92" s="874"/>
      <c r="H92" s="874"/>
      <c r="I92" s="863"/>
    </row>
    <row r="93" spans="2:9" ht="15" customHeight="1">
      <c r="B93" s="916"/>
      <c r="C93" s="874"/>
      <c r="D93" s="918"/>
      <c r="E93" s="918"/>
      <c r="F93" s="874"/>
      <c r="G93" s="874"/>
      <c r="H93" s="874"/>
      <c r="I93" s="863"/>
    </row>
    <row r="94" spans="2:9" ht="15" customHeight="1">
      <c r="B94" s="916"/>
      <c r="C94" s="874"/>
      <c r="D94" s="918"/>
      <c r="E94" s="918"/>
      <c r="F94" s="874"/>
      <c r="G94" s="874"/>
      <c r="H94" s="874"/>
      <c r="I94" s="863"/>
    </row>
    <row r="95" spans="2:9" ht="15" customHeight="1">
      <c r="B95" s="916"/>
      <c r="C95" s="874"/>
      <c r="D95" s="918"/>
      <c r="E95" s="918"/>
      <c r="F95" s="874"/>
      <c r="G95" s="874"/>
      <c r="H95" s="874"/>
      <c r="I95" s="863"/>
    </row>
    <row r="96" spans="2:9" ht="15" customHeight="1">
      <c r="B96" s="916"/>
      <c r="C96" s="874"/>
      <c r="D96" s="918"/>
      <c r="E96" s="918"/>
      <c r="F96" s="874"/>
      <c r="G96" s="874"/>
      <c r="H96" s="874"/>
      <c r="I96" s="863"/>
    </row>
    <row r="97" spans="2:9" ht="15" customHeight="1">
      <c r="B97" s="874"/>
      <c r="C97" s="874"/>
      <c r="D97" s="918"/>
      <c r="E97" s="918"/>
      <c r="F97" s="874"/>
      <c r="G97" s="874"/>
      <c r="H97" s="874"/>
      <c r="I97" s="863"/>
    </row>
    <row r="98" spans="2:9" ht="15" customHeight="1">
      <c r="B98" s="916"/>
      <c r="C98" s="874"/>
      <c r="D98" s="918"/>
      <c r="E98" s="918"/>
      <c r="F98" s="874"/>
      <c r="G98" s="874"/>
      <c r="H98" s="874"/>
      <c r="I98" s="863"/>
    </row>
    <row r="99" spans="2:9" ht="15" customHeight="1">
      <c r="B99" s="874"/>
      <c r="C99" s="874"/>
      <c r="D99" s="918"/>
      <c r="E99" s="918"/>
      <c r="F99" s="874"/>
      <c r="G99" s="874"/>
      <c r="H99" s="874"/>
      <c r="I99" s="863"/>
    </row>
    <row r="100" spans="2:9" ht="15" customHeight="1">
      <c r="B100" s="916"/>
      <c r="C100" s="874"/>
      <c r="D100" s="874"/>
      <c r="E100" s="874"/>
      <c r="F100" s="874"/>
      <c r="G100" s="874"/>
      <c r="H100" s="874"/>
      <c r="I100" s="863"/>
    </row>
    <row r="101" spans="2:9" ht="15" customHeight="1">
      <c r="B101" s="916"/>
      <c r="C101" s="874"/>
      <c r="D101" s="874"/>
      <c r="E101" s="874"/>
      <c r="F101" s="874"/>
      <c r="G101" s="874"/>
      <c r="H101" s="874"/>
    </row>
    <row r="102" spans="2:9" ht="15" customHeight="1">
      <c r="B102" s="916"/>
      <c r="C102" s="874"/>
      <c r="D102" s="874"/>
      <c r="E102" s="874"/>
      <c r="F102" s="874"/>
      <c r="G102" s="874"/>
      <c r="H102" s="874"/>
    </row>
    <row r="103" spans="2:9" ht="15" customHeight="1">
      <c r="B103" s="916"/>
      <c r="C103" s="874"/>
      <c r="D103" s="874"/>
      <c r="E103" s="874"/>
      <c r="F103" s="874"/>
      <c r="G103" s="874"/>
      <c r="H103" s="874"/>
    </row>
    <row r="104" spans="2:9" ht="15" customHeight="1">
      <c r="B104" s="916"/>
      <c r="C104" s="874"/>
      <c r="D104" s="874"/>
      <c r="E104" s="874"/>
      <c r="F104" s="874"/>
      <c r="G104" s="874"/>
      <c r="H104" s="874"/>
    </row>
    <row r="105" spans="2:9" ht="15" customHeight="1">
      <c r="B105" s="916"/>
      <c r="C105" s="874"/>
      <c r="D105" s="874"/>
      <c r="E105" s="874"/>
      <c r="F105" s="874"/>
      <c r="G105" s="874"/>
      <c r="H105" s="874"/>
    </row>
    <row r="106" spans="2:9" ht="15" customHeight="1">
      <c r="B106" s="916"/>
      <c r="C106" s="874"/>
      <c r="D106" s="874"/>
      <c r="E106" s="874"/>
      <c r="F106" s="874"/>
      <c r="G106" s="874"/>
      <c r="H106" s="874"/>
    </row>
    <row r="107" spans="2:9" ht="15" customHeight="1">
      <c r="B107" s="916"/>
      <c r="C107" s="874"/>
      <c r="D107" s="874"/>
      <c r="E107" s="874"/>
      <c r="F107" s="874"/>
      <c r="G107" s="874"/>
      <c r="H107" s="874"/>
    </row>
    <row r="108" spans="2:9" ht="15" customHeight="1">
      <c r="B108" s="916"/>
      <c r="C108" s="874"/>
      <c r="D108" s="874"/>
      <c r="E108" s="874"/>
      <c r="F108" s="874"/>
      <c r="G108" s="874"/>
      <c r="H108" s="874"/>
    </row>
    <row r="109" spans="2:9" ht="15" customHeight="1">
      <c r="B109" s="916"/>
      <c r="C109" s="874"/>
      <c r="D109" s="874"/>
      <c r="E109" s="874"/>
      <c r="F109" s="874"/>
      <c r="G109" s="874"/>
      <c r="H109" s="874"/>
    </row>
    <row r="110" spans="2:9" ht="15" customHeight="1">
      <c r="B110" s="916"/>
      <c r="C110" s="874"/>
      <c r="D110" s="874"/>
      <c r="E110" s="874"/>
      <c r="F110" s="874"/>
      <c r="G110" s="874"/>
      <c r="H110" s="874"/>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888"/>
      <c r="C206" s="876"/>
      <c r="D206" s="876"/>
      <c r="E206" s="876"/>
      <c r="F206" s="876"/>
      <c r="G206" s="876"/>
      <c r="H206" s="876"/>
    </row>
    <row r="207" spans="2:8" ht="15" customHeight="1">
      <c r="B207" s="888"/>
      <c r="C207" s="876"/>
      <c r="D207" s="876"/>
      <c r="E207" s="876"/>
      <c r="F207" s="876"/>
      <c r="G207" s="876"/>
      <c r="H207" s="876"/>
    </row>
    <row r="208" spans="2:8" ht="15" customHeight="1">
      <c r="B208" s="888"/>
      <c r="C208" s="876"/>
      <c r="D208" s="876"/>
      <c r="E208" s="876"/>
      <c r="F208" s="876"/>
      <c r="G208" s="876"/>
      <c r="H208" s="876"/>
    </row>
    <row r="209" spans="2:8" ht="15" customHeight="1">
      <c r="B209" s="888"/>
      <c r="C209" s="876"/>
      <c r="D209" s="876"/>
      <c r="E209" s="876"/>
      <c r="F209" s="876"/>
      <c r="G209" s="876"/>
      <c r="H209" s="876"/>
    </row>
    <row r="210" spans="2:8" ht="15" customHeight="1">
      <c r="B210" s="888"/>
      <c r="C210" s="876"/>
      <c r="D210" s="876"/>
      <c r="E210" s="876"/>
      <c r="F210" s="876"/>
      <c r="G210" s="876"/>
      <c r="H210" s="876"/>
    </row>
    <row r="211" spans="2:8" ht="15" customHeight="1">
      <c r="B211" s="888"/>
      <c r="C211" s="876"/>
      <c r="D211" s="876"/>
      <c r="E211" s="876"/>
      <c r="F211" s="876"/>
      <c r="G211" s="876"/>
      <c r="H211" s="876"/>
    </row>
    <row r="212" spans="2:8" ht="15" customHeight="1">
      <c r="B212" s="888"/>
      <c r="C212" s="876"/>
      <c r="D212" s="876"/>
      <c r="E212" s="876"/>
      <c r="F212" s="876"/>
      <c r="G212" s="876"/>
      <c r="H212" s="876"/>
    </row>
    <row r="213" spans="2:8" ht="15" customHeight="1">
      <c r="B213" s="888"/>
      <c r="C213" s="876"/>
      <c r="D213" s="876"/>
      <c r="E213" s="876"/>
      <c r="F213" s="876"/>
      <c r="G213" s="876"/>
      <c r="H213" s="876"/>
    </row>
    <row r="214" spans="2:8" ht="15" customHeight="1">
      <c r="B214" s="888"/>
      <c r="C214" s="876"/>
      <c r="D214" s="876"/>
      <c r="E214" s="876"/>
      <c r="F214" s="876"/>
      <c r="G214" s="876"/>
      <c r="H214" s="876"/>
    </row>
    <row r="215" spans="2:8" ht="15" customHeight="1">
      <c r="B215" s="888"/>
      <c r="C215" s="876"/>
      <c r="D215" s="876"/>
      <c r="E215" s="876"/>
      <c r="F215" s="876"/>
      <c r="G215" s="876"/>
      <c r="H215" s="876"/>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sheetData>
  <mergeCells count="8">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4"/>
  <sheetViews>
    <sheetView view="pageBreakPreview" zoomScale="80" zoomScaleNormal="90" zoomScaleSheetLayoutView="80" workbookViewId="0"/>
  </sheetViews>
  <sheetFormatPr defaultColWidth="8.88671875" defaultRowHeight="15" customHeight="1"/>
  <cols>
    <col min="1" max="1" width="6.6640625" style="856" customWidth="1"/>
    <col min="2" max="2" width="35" style="889" customWidth="1"/>
    <col min="3" max="3" width="14.77734375" style="856" customWidth="1"/>
    <col min="4" max="4" width="14.109375" style="856" customWidth="1"/>
    <col min="5" max="5" width="13" style="856" customWidth="1"/>
    <col min="6" max="6" width="13.109375" style="856" customWidth="1"/>
    <col min="7" max="7" width="15.88671875" style="856" customWidth="1"/>
    <col min="8" max="8" width="39.33203125" style="856" customWidth="1"/>
    <col min="9" max="9" width="8.88671875" style="856"/>
    <col min="10" max="10" width="27.88671875" style="856" customWidth="1"/>
    <col min="11" max="16384" width="8.88671875" style="856"/>
  </cols>
  <sheetData>
    <row r="1" spans="2:10" ht="15" customHeight="1">
      <c r="B1" s="1025" t="str">
        <f>+'Attachment H-29A'!D5</f>
        <v>Transource Pennsylvania, LLC</v>
      </c>
      <c r="C1" s="1025"/>
      <c r="D1" s="1025"/>
      <c r="E1" s="1025"/>
      <c r="F1" s="1025"/>
      <c r="G1" s="1025"/>
      <c r="H1" s="933" t="str">
        <f>+'Attachment H-29A'!J3</f>
        <v>For  the 12 months ended 12/31/2020</v>
      </c>
      <c r="I1" s="855"/>
      <c r="J1" s="855"/>
    </row>
    <row r="2" spans="2:10" ht="15" customHeight="1">
      <c r="B2" s="1025" t="s">
        <v>817</v>
      </c>
      <c r="C2" s="1025"/>
      <c r="D2" s="1025"/>
      <c r="E2" s="1025"/>
      <c r="F2" s="1025"/>
      <c r="G2" s="1025"/>
      <c r="H2" s="933" t="s">
        <v>602</v>
      </c>
      <c r="I2" s="855"/>
      <c r="J2" s="855"/>
    </row>
    <row r="3" spans="2:10" ht="15" customHeight="1">
      <c r="B3" s="1025"/>
      <c r="C3" s="1025"/>
      <c r="D3" s="1025"/>
      <c r="E3" s="1025"/>
      <c r="F3" s="1025"/>
      <c r="G3" s="1025"/>
      <c r="H3" s="1025"/>
      <c r="I3" s="855"/>
      <c r="J3" s="855"/>
    </row>
    <row r="4" spans="2:10" s="858" customFormat="1" ht="15" customHeight="1">
      <c r="B4" s="913"/>
      <c r="C4" s="913"/>
      <c r="D4" s="913"/>
      <c r="E4" s="913"/>
      <c r="F4" s="913"/>
      <c r="G4" s="913"/>
      <c r="H4" s="91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92"/>
      <c r="F9" s="870"/>
      <c r="G9" s="871"/>
      <c r="H9" s="870"/>
    </row>
    <row r="10" spans="2:10" s="919" customFormat="1" ht="15" customHeight="1">
      <c r="B10" s="1023" t="s">
        <v>833</v>
      </c>
      <c r="C10" s="1024"/>
      <c r="D10" s="1024"/>
      <c r="E10" s="1024"/>
      <c r="F10" s="1024"/>
      <c r="G10" s="1024"/>
      <c r="H10" s="870"/>
    </row>
    <row r="11" spans="2:10" s="919" customFormat="1" ht="15" customHeight="1">
      <c r="B11" s="872" t="s">
        <v>857</v>
      </c>
      <c r="C11" s="870"/>
      <c r="D11" s="864"/>
      <c r="E11" s="864"/>
      <c r="F11" s="892"/>
      <c r="G11" s="892"/>
      <c r="H11" s="870"/>
    </row>
    <row r="12" spans="2:10" s="919" customFormat="1" ht="15" customHeight="1">
      <c r="B12" s="872" t="s">
        <v>815</v>
      </c>
      <c r="C12" s="870"/>
      <c r="D12" s="864"/>
      <c r="E12" s="864"/>
      <c r="F12" s="892"/>
      <c r="G12" s="892"/>
      <c r="H12" s="870"/>
    </row>
    <row r="13" spans="2:10" s="919" customFormat="1" ht="15" customHeight="1">
      <c r="B13" s="872" t="s">
        <v>844</v>
      </c>
      <c r="C13" s="870"/>
      <c r="D13" s="864"/>
      <c r="E13" s="864"/>
      <c r="F13" s="892"/>
      <c r="G13" s="892"/>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750505.5</v>
      </c>
      <c r="D19" s="922">
        <v>0</v>
      </c>
      <c r="E19" s="921">
        <v>750505.5</v>
      </c>
      <c r="F19" s="922">
        <v>0</v>
      </c>
      <c r="G19" s="922">
        <v>0</v>
      </c>
      <c r="H19" s="878" t="s">
        <v>912</v>
      </c>
      <c r="I19" s="870"/>
    </row>
    <row r="20" spans="1:10" s="919" customFormat="1" ht="27" customHeight="1">
      <c r="A20" s="861">
        <f>+A19+1</f>
        <v>2</v>
      </c>
      <c r="B20" s="920" t="s">
        <v>913</v>
      </c>
      <c r="C20" s="921">
        <v>-1679.35</v>
      </c>
      <c r="D20" s="921">
        <v>0</v>
      </c>
      <c r="E20" s="921">
        <v>-1679.35</v>
      </c>
      <c r="F20" s="922">
        <v>0</v>
      </c>
      <c r="G20" s="922">
        <v>0</v>
      </c>
      <c r="H20" s="922" t="s">
        <v>914</v>
      </c>
      <c r="I20" s="870"/>
    </row>
    <row r="21" spans="1:10" s="919" customFormat="1" ht="30.75" customHeight="1">
      <c r="A21" s="861">
        <f t="shared" ref="A21:A32" si="0">+A20+1</f>
        <v>3</v>
      </c>
      <c r="B21" s="920" t="s">
        <v>915</v>
      </c>
      <c r="C21" s="921">
        <v>3713.31</v>
      </c>
      <c r="D21" s="922">
        <v>0</v>
      </c>
      <c r="E21" s="921">
        <v>0</v>
      </c>
      <c r="F21" s="922">
        <v>0</v>
      </c>
      <c r="G21" s="922">
        <v>3713.31</v>
      </c>
      <c r="H21" s="878" t="s">
        <v>914</v>
      </c>
      <c r="I21" s="870"/>
    </row>
    <row r="22" spans="1:10" s="919" customFormat="1" ht="30.75" customHeight="1">
      <c r="A22" s="861">
        <f t="shared" si="0"/>
        <v>4</v>
      </c>
      <c r="B22" s="920" t="s">
        <v>916</v>
      </c>
      <c r="C22" s="921">
        <v>-69082.25</v>
      </c>
      <c r="D22" s="922">
        <v>0</v>
      </c>
      <c r="E22" s="921">
        <v>-69082.25</v>
      </c>
      <c r="F22" s="922">
        <v>0</v>
      </c>
      <c r="G22" s="922">
        <v>0</v>
      </c>
      <c r="H22" s="878" t="s">
        <v>917</v>
      </c>
      <c r="I22" s="870"/>
    </row>
    <row r="23" spans="1:10" s="919" customFormat="1" ht="15" customHeight="1">
      <c r="A23" s="861">
        <f t="shared" si="0"/>
        <v>5</v>
      </c>
      <c r="B23" s="920" t="s">
        <v>918</v>
      </c>
      <c r="C23" s="921">
        <v>0</v>
      </c>
      <c r="D23" s="921">
        <v>0</v>
      </c>
      <c r="E23" s="921">
        <v>0</v>
      </c>
      <c r="F23" s="921">
        <v>0</v>
      </c>
      <c r="G23" s="921">
        <v>0</v>
      </c>
      <c r="H23" s="878" t="s">
        <v>919</v>
      </c>
      <c r="I23" s="870"/>
    </row>
    <row r="24" spans="1:10" s="919" customFormat="1" ht="15" customHeight="1">
      <c r="A24" s="861">
        <f t="shared" si="0"/>
        <v>6</v>
      </c>
      <c r="B24" s="920"/>
      <c r="C24" s="921"/>
      <c r="D24" s="922"/>
      <c r="E24" s="921"/>
      <c r="F24" s="921"/>
      <c r="G24" s="922"/>
      <c r="H24" s="878"/>
      <c r="I24" s="870"/>
    </row>
    <row r="25" spans="1:10" s="919" customFormat="1" ht="15" customHeight="1">
      <c r="A25" s="861">
        <f t="shared" si="0"/>
        <v>7</v>
      </c>
      <c r="B25" s="920"/>
      <c r="C25" s="921"/>
      <c r="D25" s="921"/>
      <c r="E25" s="921"/>
      <c r="F25" s="922"/>
      <c r="G25" s="922"/>
      <c r="H25" s="878"/>
      <c r="I25" s="870"/>
    </row>
    <row r="26" spans="1:10" s="919" customFormat="1" ht="15" customHeight="1">
      <c r="A26" s="861">
        <f t="shared" si="0"/>
        <v>8</v>
      </c>
      <c r="B26" s="920"/>
      <c r="C26" s="921"/>
      <c r="D26" s="921"/>
      <c r="E26" s="921"/>
      <c r="F26" s="922"/>
      <c r="G26" s="922"/>
      <c r="H26" s="878"/>
      <c r="I26" s="870"/>
    </row>
    <row r="27" spans="1:10" s="919" customFormat="1" ht="15" customHeight="1">
      <c r="A27" s="861">
        <f t="shared" si="0"/>
        <v>9</v>
      </c>
      <c r="B27" s="920"/>
      <c r="C27" s="921"/>
      <c r="D27" s="921"/>
      <c r="E27" s="921"/>
      <c r="F27" s="922"/>
      <c r="G27" s="922"/>
      <c r="H27" s="878"/>
      <c r="I27" s="870"/>
    </row>
    <row r="28" spans="1:10" s="919" customFormat="1" ht="15" customHeight="1">
      <c r="A28" s="861">
        <f t="shared" si="0"/>
        <v>10</v>
      </c>
      <c r="B28" s="920"/>
      <c r="C28" s="921">
        <v>0</v>
      </c>
      <c r="D28" s="921"/>
      <c r="E28" s="921"/>
      <c r="F28" s="921"/>
      <c r="G28" s="921"/>
      <c r="H28" s="878"/>
      <c r="I28" s="870"/>
    </row>
    <row r="29" spans="1:10" s="919" customFormat="1" ht="15" customHeight="1">
      <c r="A29" s="861">
        <f t="shared" si="0"/>
        <v>11</v>
      </c>
      <c r="B29" s="890" t="s">
        <v>848</v>
      </c>
      <c r="C29" s="891">
        <f>SUBTOTAL(9,C19:C28)</f>
        <v>683457.21000000008</v>
      </c>
      <c r="D29" s="881">
        <f>SUM(D19:D28)</f>
        <v>0</v>
      </c>
      <c r="E29" s="881">
        <f>SUM(E19:E28)</f>
        <v>679743.9</v>
      </c>
      <c r="F29" s="881">
        <f>SUM(F19:F28)</f>
        <v>0</v>
      </c>
      <c r="G29" s="881">
        <f>SUM(G19:G28)</f>
        <v>3713.31</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683457.21000000008</v>
      </c>
      <c r="D32" s="951"/>
      <c r="E32" s="936">
        <f>+E29</f>
        <v>679743.9</v>
      </c>
      <c r="F32" s="942">
        <f>+F29*F31</f>
        <v>0</v>
      </c>
      <c r="G32" s="942">
        <f>+G29*G30</f>
        <v>3713.31</v>
      </c>
      <c r="H32" s="871"/>
      <c r="I32" s="870"/>
    </row>
    <row r="33" spans="1:10" s="919" customFormat="1" ht="15" customHeight="1" thickTop="1">
      <c r="B33" s="864"/>
      <c r="C33" s="865"/>
      <c r="D33" s="865"/>
      <c r="E33" s="865"/>
      <c r="F33" s="865"/>
      <c r="G33" s="865"/>
      <c r="H33" s="885"/>
      <c r="I33" s="870"/>
    </row>
    <row r="34" spans="1:10" s="919" customFormat="1" ht="15" customHeight="1">
      <c r="B34" s="873"/>
      <c r="C34" s="873"/>
      <c r="D34" s="873"/>
      <c r="E34" s="873"/>
      <c r="F34" s="873"/>
      <c r="G34" s="873"/>
      <c r="H34" s="885"/>
    </row>
    <row r="35" spans="1:10" s="860" customFormat="1" ht="15" customHeight="1">
      <c r="B35" s="1021" t="str">
        <f>+B1</f>
        <v>Transource Pennsylvania, LLC</v>
      </c>
      <c r="C35" s="1022"/>
      <c r="D35" s="1022"/>
      <c r="E35" s="1022"/>
      <c r="F35" s="1022"/>
      <c r="G35" s="1022"/>
      <c r="H35" s="1022"/>
      <c r="I35" s="864"/>
      <c r="J35" s="919"/>
    </row>
    <row r="36" spans="1:10" s="860" customFormat="1" ht="15" customHeight="1">
      <c r="B36" s="1021" t="str">
        <f>+B2</f>
        <v>Attachment 4b - Accumulated Deferred Income Taxes (ADIT) Worksheet (End of Year)</v>
      </c>
      <c r="C36" s="1022"/>
      <c r="D36" s="1022"/>
      <c r="E36" s="1022"/>
      <c r="F36" s="1022"/>
      <c r="G36" s="1022"/>
      <c r="H36" s="1022"/>
      <c r="I36" s="864"/>
      <c r="J36" s="919"/>
    </row>
    <row r="37" spans="1:10" s="860" customFormat="1" ht="15" customHeight="1">
      <c r="B37" s="1021"/>
      <c r="C37" s="1022"/>
      <c r="D37" s="1022"/>
      <c r="E37" s="1022"/>
      <c r="F37" s="1022"/>
      <c r="G37" s="1022"/>
      <c r="H37" s="1022"/>
      <c r="I37" s="864"/>
      <c r="J37" s="919"/>
    </row>
    <row r="38" spans="1:10" s="860" customFormat="1" ht="15" customHeight="1">
      <c r="B38" s="875"/>
      <c r="C38" s="875"/>
      <c r="D38" s="875"/>
      <c r="E38" s="875"/>
      <c r="F38" s="875"/>
      <c r="G38" s="875"/>
      <c r="H38" s="933" t="s">
        <v>147</v>
      </c>
      <c r="I38" s="864"/>
      <c r="J38" s="919"/>
    </row>
    <row r="39" spans="1:10" s="919" customFormat="1" ht="15" customHeight="1">
      <c r="B39" s="866" t="s">
        <v>874</v>
      </c>
      <c r="C39" s="864"/>
      <c r="D39" s="892"/>
      <c r="E39" s="868"/>
      <c r="F39" s="870"/>
      <c r="G39" s="885"/>
      <c r="H39" s="870"/>
    </row>
    <row r="40" spans="1:10" s="919" customFormat="1" ht="15" customHeight="1">
      <c r="B40" s="1023" t="s">
        <v>833</v>
      </c>
      <c r="C40" s="1024"/>
      <c r="D40" s="1024"/>
      <c r="E40" s="1024"/>
      <c r="F40" s="1024"/>
      <c r="G40" s="1024"/>
      <c r="H40" s="870"/>
    </row>
    <row r="41" spans="1:10" s="919" customFormat="1" ht="15" customHeight="1">
      <c r="B41" s="872" t="s">
        <v>857</v>
      </c>
      <c r="C41" s="870"/>
      <c r="D41" s="864"/>
      <c r="E41" s="864"/>
      <c r="F41" s="892"/>
      <c r="G41" s="892"/>
      <c r="H41" s="870"/>
    </row>
    <row r="42" spans="1:10" s="919" customFormat="1" ht="15" customHeight="1">
      <c r="B42" s="872" t="s">
        <v>815</v>
      </c>
      <c r="C42" s="870"/>
      <c r="D42" s="864"/>
      <c r="E42" s="864"/>
      <c r="F42" s="892"/>
      <c r="G42" s="892"/>
      <c r="H42" s="870"/>
    </row>
    <row r="43" spans="1:10" s="919" customFormat="1" ht="15" customHeight="1">
      <c r="B43" s="872" t="s">
        <v>844</v>
      </c>
      <c r="C43" s="870"/>
      <c r="D43" s="864"/>
      <c r="E43" s="864"/>
      <c r="F43" s="892"/>
      <c r="G43" s="892"/>
      <c r="H43" s="870"/>
    </row>
    <row r="44" spans="1:10" s="919" customFormat="1" ht="15" customHeight="1">
      <c r="B44" s="873"/>
      <c r="C44" s="873"/>
      <c r="D44" s="873"/>
      <c r="E44" s="873"/>
      <c r="F44" s="873"/>
      <c r="G44" s="873"/>
      <c r="H44" s="885"/>
    </row>
    <row r="45" spans="1:10" s="860" customFormat="1" ht="15" customHeight="1">
      <c r="B45" s="861" t="s">
        <v>62</v>
      </c>
      <c r="C45" s="861" t="s">
        <v>63</v>
      </c>
      <c r="D45" s="861" t="s">
        <v>64</v>
      </c>
      <c r="E45" s="861" t="s">
        <v>65</v>
      </c>
      <c r="F45" s="861" t="s">
        <v>67</v>
      </c>
      <c r="G45" s="861" t="s">
        <v>68</v>
      </c>
      <c r="H45" s="861" t="s">
        <v>69</v>
      </c>
      <c r="I45" s="864"/>
      <c r="J45" s="919"/>
    </row>
    <row r="46" spans="1:10" s="860" customFormat="1" ht="15" customHeight="1">
      <c r="B46" s="864" t="s">
        <v>875</v>
      </c>
      <c r="C46" s="861" t="s">
        <v>13</v>
      </c>
      <c r="D46" s="861" t="s">
        <v>832</v>
      </c>
      <c r="E46" s="861" t="s">
        <v>16</v>
      </c>
      <c r="F46" s="861" t="s">
        <v>806</v>
      </c>
      <c r="G46" s="861" t="s">
        <v>807</v>
      </c>
      <c r="I46" s="864"/>
      <c r="J46" s="919"/>
    </row>
    <row r="47" spans="1:10" s="860" customFormat="1" ht="15" customHeight="1">
      <c r="A47" s="893" t="s">
        <v>594</v>
      </c>
      <c r="B47" s="872"/>
      <c r="C47" s="861"/>
      <c r="D47" s="861" t="s">
        <v>831</v>
      </c>
      <c r="E47" s="861" t="s">
        <v>808</v>
      </c>
      <c r="F47" s="861" t="s">
        <v>808</v>
      </c>
      <c r="G47" s="861" t="s">
        <v>808</v>
      </c>
      <c r="H47" s="861" t="s">
        <v>813</v>
      </c>
      <c r="I47" s="864"/>
      <c r="J47" s="919"/>
    </row>
    <row r="48" spans="1:10" s="919" customFormat="1" ht="15" customHeight="1">
      <c r="A48" s="861">
        <f>+A32+1</f>
        <v>15</v>
      </c>
      <c r="B48" s="920"/>
      <c r="C48" s="921">
        <v>0</v>
      </c>
      <c r="D48" s="922"/>
      <c r="E48" s="921"/>
      <c r="F48" s="921"/>
      <c r="G48" s="922"/>
      <c r="H48" s="878"/>
      <c r="I48" s="870"/>
    </row>
    <row r="49" spans="1:10" s="919" customFormat="1" ht="15" customHeight="1">
      <c r="A49" s="861">
        <f>+A48+1</f>
        <v>16</v>
      </c>
      <c r="B49" s="879"/>
      <c r="C49" s="921">
        <v>0</v>
      </c>
      <c r="D49" s="877"/>
      <c r="E49" s="877"/>
      <c r="F49" s="877"/>
      <c r="G49" s="877"/>
      <c r="H49" s="878"/>
      <c r="I49" s="870"/>
    </row>
    <row r="50" spans="1:10" s="919" customFormat="1" ht="15" customHeight="1">
      <c r="A50" s="861">
        <f t="shared" ref="A50:A56" si="1">+A49+1</f>
        <v>17</v>
      </c>
      <c r="B50" s="880" t="s">
        <v>876</v>
      </c>
      <c r="C50" s="881">
        <f>SUBTOTAL(9,C48:C49)</f>
        <v>0</v>
      </c>
      <c r="D50" s="881">
        <f>SUM(D48:D49)</f>
        <v>0</v>
      </c>
      <c r="E50" s="881">
        <f>SUM(E48:E49)</f>
        <v>0</v>
      </c>
      <c r="F50" s="881">
        <f>SUM(F48:F49)</f>
        <v>0</v>
      </c>
      <c r="G50" s="881">
        <f>SUM(G48:G49)</f>
        <v>0</v>
      </c>
      <c r="H50" s="882"/>
      <c r="I50" s="870"/>
    </row>
    <row r="51" spans="1:10" s="919" customFormat="1" ht="15" customHeight="1">
      <c r="A51" s="861">
        <f t="shared" si="1"/>
        <v>18</v>
      </c>
      <c r="B51" s="880" t="s">
        <v>811</v>
      </c>
      <c r="C51" s="944"/>
      <c r="D51" s="945"/>
      <c r="E51" s="944"/>
      <c r="F51" s="946"/>
      <c r="G51" s="947">
        <f>+'Attachment H-29A'!$I$197</f>
        <v>1</v>
      </c>
      <c r="H51" s="871"/>
      <c r="I51" s="870"/>
    </row>
    <row r="52" spans="1:10" s="919" customFormat="1" ht="15" customHeight="1">
      <c r="A52" s="861">
        <f t="shared" si="1"/>
        <v>19</v>
      </c>
      <c r="B52" s="943" t="s">
        <v>812</v>
      </c>
      <c r="C52" s="940"/>
      <c r="D52" s="928"/>
      <c r="E52" s="939"/>
      <c r="F52" s="938">
        <f>+'Attachment H-29A'!$G$83</f>
        <v>1</v>
      </c>
      <c r="G52" s="939"/>
      <c r="H52" s="871"/>
      <c r="I52" s="870"/>
    </row>
    <row r="53" spans="1:10" s="919" customFormat="1" ht="15" customHeight="1" thickBot="1">
      <c r="A53" s="861">
        <f t="shared" si="1"/>
        <v>20</v>
      </c>
      <c r="B53" s="948" t="s">
        <v>873</v>
      </c>
      <c r="C53" s="941">
        <f>+SUM(E53:G53)</f>
        <v>0</v>
      </c>
      <c r="D53" s="942"/>
      <c r="E53" s="936">
        <f>+E50</f>
        <v>0</v>
      </c>
      <c r="F53" s="942">
        <f>+F50*F52</f>
        <v>0</v>
      </c>
      <c r="G53" s="942">
        <f>+G50*G51</f>
        <v>0</v>
      </c>
      <c r="H53" s="871"/>
      <c r="I53" s="870"/>
    </row>
    <row r="54" spans="1:10" s="919" customFormat="1" ht="15" customHeight="1" thickTop="1">
      <c r="A54" s="861">
        <f t="shared" si="1"/>
        <v>21</v>
      </c>
      <c r="B54" s="880" t="s">
        <v>811</v>
      </c>
      <c r="C54" s="944"/>
      <c r="D54" s="945"/>
      <c r="E54" s="949"/>
      <c r="F54" s="945"/>
      <c r="G54" s="947">
        <f>+'Attachment H-29A'!$I$197</f>
        <v>1</v>
      </c>
      <c r="H54" s="871"/>
      <c r="I54" s="870"/>
    </row>
    <row r="55" spans="1:10" s="919" customFormat="1" ht="15" customHeight="1">
      <c r="A55" s="861">
        <f t="shared" si="1"/>
        <v>22</v>
      </c>
      <c r="B55" s="943" t="s">
        <v>812</v>
      </c>
      <c r="C55" s="940"/>
      <c r="D55" s="928"/>
      <c r="E55" s="950"/>
      <c r="F55" s="937">
        <f>+'Attachment H-29A'!$G$83</f>
        <v>1</v>
      </c>
      <c r="G55" s="949"/>
      <c r="H55" s="871"/>
      <c r="I55" s="870"/>
    </row>
    <row r="56" spans="1:10" s="919" customFormat="1" ht="15" customHeight="1" thickBot="1">
      <c r="A56" s="861">
        <f t="shared" si="1"/>
        <v>23</v>
      </c>
      <c r="B56" s="948" t="s">
        <v>873</v>
      </c>
      <c r="C56" s="941">
        <f>+SUM(E56:G56)</f>
        <v>0</v>
      </c>
      <c r="D56" s="951"/>
      <c r="E56" s="936">
        <f>+E53</f>
        <v>0</v>
      </c>
      <c r="F56" s="942">
        <f>+F53*F55</f>
        <v>0</v>
      </c>
      <c r="G56" s="942">
        <f>+G53*G54</f>
        <v>0</v>
      </c>
      <c r="H56" s="871"/>
      <c r="I56" s="870"/>
    </row>
    <row r="57" spans="1:10" s="919" customFormat="1" ht="15" customHeight="1" thickTop="1">
      <c r="A57" s="861"/>
      <c r="B57" s="870"/>
      <c r="C57" s="935"/>
      <c r="D57" s="865"/>
      <c r="E57" s="865"/>
      <c r="F57" s="865"/>
      <c r="G57" s="865"/>
      <c r="H57" s="871"/>
      <c r="I57" s="870"/>
    </row>
    <row r="58" spans="1:10" s="860" customFormat="1" ht="15" customHeight="1">
      <c r="B58" s="861" t="s">
        <v>62</v>
      </c>
      <c r="C58" s="861" t="s">
        <v>63</v>
      </c>
      <c r="D58" s="861" t="s">
        <v>64</v>
      </c>
      <c r="E58" s="861" t="s">
        <v>65</v>
      </c>
      <c r="F58" s="861" t="s">
        <v>67</v>
      </c>
      <c r="G58" s="861" t="s">
        <v>68</v>
      </c>
      <c r="H58" s="861" t="s">
        <v>69</v>
      </c>
      <c r="I58" s="864"/>
      <c r="J58" s="919"/>
    </row>
    <row r="59" spans="1:10" s="860" customFormat="1" ht="15" customHeight="1">
      <c r="B59" s="864" t="s">
        <v>809</v>
      </c>
      <c r="C59" s="861" t="s">
        <v>13</v>
      </c>
      <c r="D59" s="861" t="s">
        <v>832</v>
      </c>
      <c r="E59" s="861" t="s">
        <v>16</v>
      </c>
      <c r="F59" s="861" t="s">
        <v>806</v>
      </c>
      <c r="G59" s="861" t="s">
        <v>807</v>
      </c>
      <c r="I59" s="864"/>
      <c r="J59" s="919"/>
    </row>
    <row r="60" spans="1:10" s="860" customFormat="1" ht="15" customHeight="1">
      <c r="A60" s="893" t="s">
        <v>594</v>
      </c>
      <c r="B60" s="872"/>
      <c r="C60" s="861"/>
      <c r="D60" s="861" t="s">
        <v>831</v>
      </c>
      <c r="E60" s="861" t="s">
        <v>808</v>
      </c>
      <c r="F60" s="861" t="s">
        <v>808</v>
      </c>
      <c r="G60" s="861" t="s">
        <v>808</v>
      </c>
      <c r="H60" s="861" t="s">
        <v>813</v>
      </c>
      <c r="I60" s="864"/>
      <c r="J60" s="919"/>
    </row>
    <row r="61" spans="1:10" s="919" customFormat="1" ht="15" customHeight="1">
      <c r="A61" s="861">
        <f>+A56+1</f>
        <v>24</v>
      </c>
      <c r="B61" s="920" t="s">
        <v>920</v>
      </c>
      <c r="C61" s="921">
        <v>44204.49</v>
      </c>
      <c r="D61" s="922">
        <v>0</v>
      </c>
      <c r="E61" s="921">
        <v>0</v>
      </c>
      <c r="F61" s="921">
        <v>44204.49</v>
      </c>
      <c r="G61" s="922">
        <v>0</v>
      </c>
      <c r="H61" s="878" t="s">
        <v>921</v>
      </c>
      <c r="I61" s="870"/>
    </row>
    <row r="62" spans="1:10" s="919" customFormat="1" ht="15" customHeight="1">
      <c r="A62" s="861">
        <f>+A61+1</f>
        <v>25</v>
      </c>
      <c r="B62" s="920" t="s">
        <v>922</v>
      </c>
      <c r="C62" s="921">
        <v>24304.53</v>
      </c>
      <c r="D62" s="922">
        <v>0</v>
      </c>
      <c r="E62" s="921">
        <v>0</v>
      </c>
      <c r="F62" s="922">
        <v>24304.53</v>
      </c>
      <c r="G62" s="922">
        <v>0</v>
      </c>
      <c r="H62" s="878" t="s">
        <v>923</v>
      </c>
      <c r="I62" s="870"/>
    </row>
    <row r="63" spans="1:10" s="919" customFormat="1" ht="15" customHeight="1">
      <c r="A63" s="861">
        <f t="shared" ref="A63:A72" si="2">+A62+1</f>
        <v>26</v>
      </c>
      <c r="B63" s="920" t="s">
        <v>924</v>
      </c>
      <c r="C63" s="921">
        <v>2382.38</v>
      </c>
      <c r="D63" s="922">
        <v>0</v>
      </c>
      <c r="E63" s="922">
        <v>0</v>
      </c>
      <c r="F63" s="922">
        <v>2382.38</v>
      </c>
      <c r="G63" s="922">
        <v>0</v>
      </c>
      <c r="H63" s="878" t="s">
        <v>925</v>
      </c>
      <c r="I63" s="870"/>
    </row>
    <row r="64" spans="1:10" s="919" customFormat="1" ht="15" customHeight="1">
      <c r="A64" s="861">
        <f t="shared" si="2"/>
        <v>27</v>
      </c>
      <c r="B64" s="920">
        <v>0</v>
      </c>
      <c r="C64" s="921">
        <v>0</v>
      </c>
      <c r="D64" s="921">
        <v>0</v>
      </c>
      <c r="E64" s="921">
        <v>0</v>
      </c>
      <c r="F64" s="921">
        <v>0</v>
      </c>
      <c r="G64" s="921">
        <v>0</v>
      </c>
      <c r="H64" s="921">
        <v>0</v>
      </c>
      <c r="I64" s="870"/>
    </row>
    <row r="65" spans="1:10" s="919" customFormat="1" ht="15" customHeight="1">
      <c r="A65" s="861">
        <f t="shared" si="2"/>
        <v>28</v>
      </c>
      <c r="B65" s="920"/>
      <c r="C65" s="921"/>
      <c r="D65" s="922"/>
      <c r="E65" s="922"/>
      <c r="F65" s="922"/>
      <c r="G65" s="922"/>
      <c r="H65" s="878"/>
      <c r="I65" s="870"/>
    </row>
    <row r="66" spans="1:10" s="919" customFormat="1" ht="15" customHeight="1">
      <c r="A66" s="861">
        <f t="shared" si="2"/>
        <v>29</v>
      </c>
      <c r="B66" s="920"/>
      <c r="C66" s="921"/>
      <c r="D66" s="922"/>
      <c r="E66" s="922"/>
      <c r="F66" s="922"/>
      <c r="G66" s="922"/>
      <c r="H66" s="878"/>
      <c r="I66" s="870"/>
    </row>
    <row r="67" spans="1:10" s="919" customFormat="1" ht="15" customHeight="1">
      <c r="A67" s="861">
        <f t="shared" si="2"/>
        <v>30</v>
      </c>
      <c r="B67" s="880" t="s">
        <v>849</v>
      </c>
      <c r="C67" s="881">
        <f>SUBTOTAL(9,C61:C66)</f>
        <v>70891.399999999994</v>
      </c>
      <c r="D67" s="881">
        <f>SUM(D61:D66)</f>
        <v>0</v>
      </c>
      <c r="E67" s="881">
        <f>SUM(E61:E66)</f>
        <v>0</v>
      </c>
      <c r="F67" s="881">
        <f>SUM(F61:F66)</f>
        <v>70891.399999999994</v>
      </c>
      <c r="G67" s="881">
        <f>SUM(G61:G66)</f>
        <v>0</v>
      </c>
      <c r="H67" s="882"/>
      <c r="I67" s="870"/>
    </row>
    <row r="68" spans="1:10" s="919" customFormat="1" ht="15" customHeight="1">
      <c r="A68" s="861">
        <f t="shared" si="2"/>
        <v>31</v>
      </c>
      <c r="B68" s="880" t="s">
        <v>811</v>
      </c>
      <c r="C68" s="944"/>
      <c r="D68" s="945"/>
      <c r="E68" s="949"/>
      <c r="F68" s="945"/>
      <c r="G68" s="947">
        <f>+'Attachment H-29A'!$I$197</f>
        <v>1</v>
      </c>
      <c r="H68" s="871"/>
      <c r="I68" s="870"/>
    </row>
    <row r="69" spans="1:10" s="919" customFormat="1" ht="15" customHeight="1">
      <c r="A69" s="861">
        <f t="shared" si="2"/>
        <v>32</v>
      </c>
      <c r="B69" s="943" t="s">
        <v>812</v>
      </c>
      <c r="C69" s="940"/>
      <c r="D69" s="928"/>
      <c r="E69" s="950"/>
      <c r="F69" s="937">
        <f>+'Attachment H-29A'!$G$83</f>
        <v>1</v>
      </c>
      <c r="G69" s="949"/>
      <c r="H69" s="871"/>
      <c r="I69" s="870"/>
    </row>
    <row r="70" spans="1:10" s="919" customFormat="1" ht="15" customHeight="1">
      <c r="A70" s="861">
        <f t="shared" si="2"/>
        <v>33</v>
      </c>
      <c r="B70" s="880" t="s">
        <v>892</v>
      </c>
      <c r="C70" s="891">
        <f>+SUM(E70:G70)</f>
        <v>70891.399999999994</v>
      </c>
      <c r="D70" s="954"/>
      <c r="E70" s="953">
        <f>+E67</f>
        <v>0</v>
      </c>
      <c r="F70" s="881">
        <f>+F67*F69</f>
        <v>70891.399999999994</v>
      </c>
      <c r="G70" s="881">
        <f>+G67*G68</f>
        <v>0</v>
      </c>
      <c r="H70" s="871"/>
      <c r="I70" s="870"/>
    </row>
    <row r="71" spans="1:10" s="919" customFormat="1" ht="15" customHeight="1">
      <c r="A71" s="861">
        <f t="shared" si="2"/>
        <v>34</v>
      </c>
      <c r="B71" s="880" t="s">
        <v>896</v>
      </c>
      <c r="C71" s="881">
        <f t="shared" ref="C71" si="3">+SUM(E71:G71)</f>
        <v>0</v>
      </c>
      <c r="D71" s="881"/>
      <c r="E71" s="881"/>
      <c r="F71" s="881">
        <f>-'4c-ADIT Proration'!I35</f>
        <v>0</v>
      </c>
      <c r="G71" s="881"/>
      <c r="H71" s="871"/>
      <c r="I71" s="870"/>
    </row>
    <row r="72" spans="1:10" s="919" customFormat="1" ht="15" customHeight="1" thickBot="1">
      <c r="A72" s="861">
        <f t="shared" si="2"/>
        <v>35</v>
      </c>
      <c r="B72" s="948" t="s">
        <v>873</v>
      </c>
      <c r="C72" s="942">
        <f>+SUM(E72:G72)</f>
        <v>70891.399999999994</v>
      </c>
      <c r="D72" s="942">
        <f t="shared" ref="D72:G72" si="4">+D70-D71</f>
        <v>0</v>
      </c>
      <c r="E72" s="942">
        <f t="shared" si="4"/>
        <v>0</v>
      </c>
      <c r="F72" s="942">
        <f t="shared" si="4"/>
        <v>70891.399999999994</v>
      </c>
      <c r="G72" s="942">
        <f t="shared" si="4"/>
        <v>0</v>
      </c>
      <c r="H72" s="871"/>
      <c r="I72" s="870"/>
    </row>
    <row r="73" spans="1:10" s="919" customFormat="1" ht="15" customHeight="1" thickTop="1">
      <c r="A73" s="861"/>
      <c r="B73" s="884"/>
      <c r="C73" s="870"/>
      <c r="D73" s="864"/>
      <c r="E73" s="867"/>
      <c r="F73" s="892"/>
      <c r="G73" s="868"/>
      <c r="H73" s="885"/>
      <c r="I73" s="870"/>
    </row>
    <row r="74" spans="1:10" s="860" customFormat="1" ht="15" customHeight="1">
      <c r="B74" s="861" t="s">
        <v>62</v>
      </c>
      <c r="C74" s="861" t="s">
        <v>63</v>
      </c>
      <c r="D74" s="861" t="s">
        <v>64</v>
      </c>
      <c r="E74" s="861" t="s">
        <v>65</v>
      </c>
      <c r="F74" s="861" t="s">
        <v>67</v>
      </c>
      <c r="G74" s="861" t="s">
        <v>68</v>
      </c>
      <c r="H74" s="861" t="s">
        <v>69</v>
      </c>
      <c r="I74" s="864"/>
      <c r="J74" s="919"/>
    </row>
    <row r="75" spans="1:10" s="860" customFormat="1" ht="15" customHeight="1">
      <c r="B75" s="864" t="s">
        <v>816</v>
      </c>
      <c r="C75" s="861" t="s">
        <v>13</v>
      </c>
      <c r="D75" s="861" t="s">
        <v>832</v>
      </c>
      <c r="E75" s="861" t="s">
        <v>16</v>
      </c>
      <c r="F75" s="861" t="s">
        <v>806</v>
      </c>
      <c r="G75" s="861" t="s">
        <v>807</v>
      </c>
      <c r="H75" s="861"/>
      <c r="I75" s="864"/>
      <c r="J75" s="919"/>
    </row>
    <row r="76" spans="1:10" s="860" customFormat="1" ht="15" customHeight="1">
      <c r="A76" s="893" t="s">
        <v>594</v>
      </c>
      <c r="B76" s="864"/>
      <c r="C76" s="861"/>
      <c r="D76" s="861" t="s">
        <v>831</v>
      </c>
      <c r="E76" s="861" t="s">
        <v>808</v>
      </c>
      <c r="F76" s="861" t="s">
        <v>808</v>
      </c>
      <c r="G76" s="861" t="s">
        <v>808</v>
      </c>
      <c r="H76" s="861" t="s">
        <v>813</v>
      </c>
      <c r="I76" s="864"/>
      <c r="J76" s="919"/>
    </row>
    <row r="77" spans="1:10" s="919" customFormat="1" ht="15" customHeight="1">
      <c r="A77" s="861">
        <f>+A72+1</f>
        <v>36</v>
      </c>
      <c r="B77" s="920" t="s">
        <v>918</v>
      </c>
      <c r="C77" s="921">
        <v>-0.01</v>
      </c>
      <c r="D77" s="921">
        <v>0</v>
      </c>
      <c r="E77" s="921">
        <v>-0.01</v>
      </c>
      <c r="F77" s="922">
        <v>0</v>
      </c>
      <c r="G77" s="922">
        <v>0</v>
      </c>
      <c r="H77" s="923" t="s">
        <v>926</v>
      </c>
      <c r="I77" s="870"/>
    </row>
    <row r="78" spans="1:10" s="919" customFormat="1" ht="15" customHeight="1">
      <c r="A78" s="861">
        <f>+A77+1</f>
        <v>37</v>
      </c>
      <c r="B78" s="920" t="s">
        <v>916</v>
      </c>
      <c r="C78" s="921">
        <v>-328963.09000000003</v>
      </c>
      <c r="D78" s="921">
        <v>0</v>
      </c>
      <c r="E78" s="921">
        <v>-328963.09000000003</v>
      </c>
      <c r="F78" s="922">
        <v>0</v>
      </c>
      <c r="G78" s="922">
        <v>0</v>
      </c>
      <c r="H78" s="878" t="s">
        <v>927</v>
      </c>
      <c r="I78" s="870"/>
    </row>
    <row r="79" spans="1:10" s="919" customFormat="1" ht="15" customHeight="1">
      <c r="A79" s="861">
        <f t="shared" ref="A79:A86" si="5">+A78+1</f>
        <v>38</v>
      </c>
      <c r="B79" s="920" t="s">
        <v>928</v>
      </c>
      <c r="C79" s="921">
        <v>66459.27</v>
      </c>
      <c r="D79" s="922">
        <v>0</v>
      </c>
      <c r="E79" s="921">
        <v>66459.27</v>
      </c>
      <c r="F79" s="922">
        <v>0</v>
      </c>
      <c r="G79" s="922">
        <v>0</v>
      </c>
      <c r="H79" s="878" t="s">
        <v>929</v>
      </c>
      <c r="I79" s="870"/>
    </row>
    <row r="80" spans="1:10" s="919" customFormat="1" ht="15" customHeight="1">
      <c r="A80" s="861">
        <f t="shared" si="5"/>
        <v>39</v>
      </c>
      <c r="B80" s="920" t="s">
        <v>930</v>
      </c>
      <c r="C80" s="921">
        <v>-786.33</v>
      </c>
      <c r="D80" s="922">
        <v>0</v>
      </c>
      <c r="E80" s="922">
        <v>-786.33</v>
      </c>
      <c r="F80" s="922">
        <v>0</v>
      </c>
      <c r="G80" s="922">
        <v>0</v>
      </c>
      <c r="H80" s="878" t="s">
        <v>931</v>
      </c>
      <c r="I80" s="870"/>
    </row>
    <row r="81" spans="1:9" s="919" customFormat="1" ht="15" customHeight="1">
      <c r="A81" s="861">
        <f t="shared" si="5"/>
        <v>40</v>
      </c>
      <c r="B81" s="920"/>
      <c r="C81" s="921"/>
      <c r="D81" s="922"/>
      <c r="E81" s="922"/>
      <c r="F81" s="922"/>
      <c r="G81" s="922"/>
      <c r="H81" s="878"/>
      <c r="I81" s="870"/>
    </row>
    <row r="82" spans="1:9" s="919" customFormat="1" ht="15" customHeight="1">
      <c r="A82" s="861">
        <f t="shared" si="5"/>
        <v>41</v>
      </c>
      <c r="B82" s="879"/>
      <c r="C82" s="921"/>
      <c r="D82" s="877"/>
      <c r="E82" s="877"/>
      <c r="F82" s="877"/>
      <c r="G82" s="877"/>
      <c r="H82" s="878"/>
      <c r="I82" s="870"/>
    </row>
    <row r="83" spans="1:9" s="919" customFormat="1" ht="15" customHeight="1">
      <c r="A83" s="861">
        <f t="shared" si="5"/>
        <v>42</v>
      </c>
      <c r="B83" s="883" t="s">
        <v>850</v>
      </c>
      <c r="C83" s="881">
        <f>SUBTOTAL(9,C77:C82)</f>
        <v>-263290.16000000003</v>
      </c>
      <c r="D83" s="881">
        <f>SUM(D77:D82)</f>
        <v>0</v>
      </c>
      <c r="E83" s="881">
        <f>SUM(E77:E82)</f>
        <v>-263290.16000000003</v>
      </c>
      <c r="F83" s="881">
        <f>SUM(F77:F82)</f>
        <v>0</v>
      </c>
      <c r="G83" s="881">
        <f>SUM(G77:G82)</f>
        <v>0</v>
      </c>
      <c r="H83" s="926"/>
      <c r="I83" s="870"/>
    </row>
    <row r="84" spans="1:9" s="919" customFormat="1" ht="15" customHeight="1">
      <c r="A84" s="861">
        <f t="shared" si="5"/>
        <v>43</v>
      </c>
      <c r="B84" s="880" t="s">
        <v>811</v>
      </c>
      <c r="C84" s="944"/>
      <c r="D84" s="945"/>
      <c r="E84" s="949"/>
      <c r="F84" s="945"/>
      <c r="G84" s="947">
        <f>+'Attachment H-29A'!$I$197</f>
        <v>1</v>
      </c>
      <c r="H84" s="871"/>
      <c r="I84" s="870"/>
    </row>
    <row r="85" spans="1:9" s="919" customFormat="1" ht="15" customHeight="1">
      <c r="A85" s="861">
        <f t="shared" si="5"/>
        <v>44</v>
      </c>
      <c r="B85" s="943" t="s">
        <v>812</v>
      </c>
      <c r="C85" s="940"/>
      <c r="D85" s="928"/>
      <c r="E85" s="950"/>
      <c r="F85" s="937">
        <f>+'Attachment H-29A'!$G$83</f>
        <v>1</v>
      </c>
      <c r="G85" s="949"/>
      <c r="H85" s="871"/>
      <c r="I85" s="870"/>
    </row>
    <row r="86" spans="1:9" s="919" customFormat="1" ht="15" customHeight="1" thickBot="1">
      <c r="A86" s="861">
        <f t="shared" si="5"/>
        <v>45</v>
      </c>
      <c r="B86" s="948" t="s">
        <v>873</v>
      </c>
      <c r="C86" s="941">
        <f>+SUM(E86:G86)</f>
        <v>-263290.16000000003</v>
      </c>
      <c r="D86" s="951"/>
      <c r="E86" s="936">
        <f>+E83</f>
        <v>-263290.16000000003</v>
      </c>
      <c r="F86" s="942">
        <f>+F83*F85</f>
        <v>0</v>
      </c>
      <c r="G86" s="942">
        <f>+G83*G84</f>
        <v>0</v>
      </c>
      <c r="H86" s="871"/>
      <c r="I86" s="870"/>
    </row>
    <row r="87" spans="1:9" ht="15" customHeight="1" thickTop="1">
      <c r="B87" s="914"/>
      <c r="C87" s="914"/>
      <c r="D87" s="914"/>
      <c r="E87" s="914"/>
      <c r="F87" s="914"/>
      <c r="G87" s="914"/>
      <c r="H87" s="914"/>
      <c r="I87" s="863"/>
    </row>
    <row r="88" spans="1:9" ht="15" customHeight="1">
      <c r="B88" s="1027"/>
      <c r="C88" s="1027"/>
      <c r="D88" s="1027"/>
      <c r="E88" s="1027"/>
      <c r="F88" s="1027"/>
      <c r="G88" s="1027"/>
      <c r="H88" s="1027"/>
      <c r="I88" s="886"/>
    </row>
    <row r="89" spans="1:9" ht="15" customHeight="1">
      <c r="B89" s="874"/>
      <c r="C89" s="874"/>
      <c r="D89" s="874"/>
      <c r="E89" s="874"/>
      <c r="F89" s="874"/>
      <c r="G89" s="874"/>
      <c r="H89" s="874"/>
      <c r="I89" s="863"/>
    </row>
    <row r="90" spans="1:9" ht="15" customHeight="1">
      <c r="B90" s="874"/>
      <c r="C90" s="874"/>
      <c r="D90" s="874"/>
      <c r="E90" s="874"/>
      <c r="F90" s="874"/>
      <c r="G90" s="874"/>
      <c r="H90" s="874"/>
      <c r="I90" s="863"/>
    </row>
    <row r="91" spans="1:9" ht="15" customHeight="1">
      <c r="B91" s="874"/>
      <c r="C91" s="874"/>
      <c r="D91" s="874"/>
      <c r="E91" s="874"/>
      <c r="F91" s="874"/>
      <c r="G91" s="874"/>
      <c r="H91" s="874"/>
      <c r="I91" s="863"/>
    </row>
    <row r="92" spans="1:9" ht="15" customHeight="1">
      <c r="B92" s="874"/>
      <c r="C92" s="874"/>
      <c r="D92" s="915"/>
      <c r="E92" s="915"/>
      <c r="F92" s="915"/>
      <c r="G92" s="915"/>
      <c r="H92" s="915"/>
      <c r="I92" s="887"/>
    </row>
    <row r="93" spans="1:9" ht="15" customHeight="1">
      <c r="B93" s="874"/>
      <c r="C93" s="874"/>
      <c r="D93" s="915"/>
      <c r="E93" s="915"/>
      <c r="F93" s="915"/>
      <c r="G93" s="915"/>
      <c r="H93" s="915"/>
      <c r="I93" s="887"/>
    </row>
    <row r="94" spans="1:9" ht="15" customHeight="1">
      <c r="B94" s="916"/>
      <c r="C94" s="874"/>
      <c r="D94" s="917"/>
      <c r="E94" s="917"/>
      <c r="F94" s="874"/>
      <c r="G94" s="874"/>
      <c r="H94" s="874"/>
      <c r="I94" s="863"/>
    </row>
    <row r="95" spans="1:9" ht="15" customHeight="1">
      <c r="B95" s="916"/>
      <c r="C95" s="874"/>
      <c r="D95" s="918"/>
      <c r="E95" s="918"/>
      <c r="F95" s="874"/>
      <c r="G95" s="874"/>
      <c r="H95" s="874"/>
      <c r="I95" s="863"/>
    </row>
    <row r="96" spans="1:9" ht="15" customHeight="1">
      <c r="B96" s="916"/>
      <c r="C96" s="874"/>
      <c r="D96" s="918"/>
      <c r="E96" s="918"/>
      <c r="F96" s="874"/>
      <c r="G96" s="874"/>
      <c r="H96" s="874"/>
      <c r="I96" s="863"/>
    </row>
    <row r="97" spans="2:9" ht="15" customHeight="1">
      <c r="B97" s="916"/>
      <c r="C97" s="874"/>
      <c r="D97" s="918"/>
      <c r="E97" s="918"/>
      <c r="F97" s="874"/>
      <c r="G97" s="874"/>
      <c r="H97" s="874"/>
      <c r="I97" s="863"/>
    </row>
    <row r="98" spans="2:9" ht="15" customHeight="1">
      <c r="B98" s="916"/>
      <c r="C98" s="874"/>
      <c r="D98" s="918"/>
      <c r="E98" s="918"/>
      <c r="F98" s="874"/>
      <c r="G98" s="874"/>
      <c r="H98" s="874"/>
      <c r="I98" s="863"/>
    </row>
    <row r="99" spans="2:9" ht="15" customHeight="1">
      <c r="B99" s="916"/>
      <c r="C99" s="874"/>
      <c r="D99" s="918"/>
      <c r="E99" s="918"/>
      <c r="F99" s="874"/>
      <c r="G99" s="874"/>
      <c r="H99" s="874"/>
      <c r="I99" s="863"/>
    </row>
    <row r="100" spans="2:9" ht="15" customHeight="1">
      <c r="B100" s="916"/>
      <c r="C100" s="874"/>
      <c r="D100" s="918"/>
      <c r="E100" s="918"/>
      <c r="F100" s="874"/>
      <c r="G100" s="874"/>
      <c r="H100" s="874"/>
      <c r="I100" s="863"/>
    </row>
    <row r="101" spans="2:9" ht="15" customHeight="1">
      <c r="B101" s="916"/>
      <c r="C101" s="874"/>
      <c r="D101" s="918"/>
      <c r="E101" s="918"/>
      <c r="F101" s="874"/>
      <c r="G101" s="874"/>
      <c r="H101" s="874"/>
      <c r="I101" s="863"/>
    </row>
    <row r="102" spans="2:9" ht="15" customHeight="1">
      <c r="B102" s="916"/>
      <c r="C102" s="874"/>
      <c r="D102" s="918"/>
      <c r="E102" s="918"/>
      <c r="F102" s="874"/>
      <c r="G102" s="874"/>
      <c r="H102" s="874"/>
      <c r="I102" s="863"/>
    </row>
    <row r="103" spans="2:9" ht="15" customHeight="1">
      <c r="B103" s="916"/>
      <c r="C103" s="874"/>
      <c r="D103" s="918"/>
      <c r="E103" s="918"/>
      <c r="F103" s="874"/>
      <c r="G103" s="874"/>
      <c r="H103" s="874"/>
      <c r="I103" s="863"/>
    </row>
    <row r="104" spans="2:9" ht="15" customHeight="1">
      <c r="B104" s="916"/>
      <c r="C104" s="874"/>
      <c r="D104" s="918"/>
      <c r="E104" s="918"/>
      <c r="F104" s="874"/>
      <c r="G104" s="874"/>
      <c r="H104" s="874"/>
      <c r="I104" s="863"/>
    </row>
    <row r="105" spans="2:9" ht="15" customHeight="1">
      <c r="B105" s="874"/>
      <c r="C105" s="874"/>
      <c r="D105" s="918"/>
      <c r="E105" s="918"/>
      <c r="F105" s="874"/>
      <c r="G105" s="874"/>
      <c r="H105" s="874"/>
      <c r="I105" s="863"/>
    </row>
    <row r="106" spans="2:9" ht="15" customHeight="1">
      <c r="B106" s="916"/>
      <c r="C106" s="874"/>
      <c r="D106" s="918"/>
      <c r="E106" s="918"/>
      <c r="F106" s="874"/>
      <c r="G106" s="874"/>
      <c r="H106" s="874"/>
      <c r="I106" s="863"/>
    </row>
    <row r="107" spans="2:9" ht="15" customHeight="1">
      <c r="B107" s="874"/>
      <c r="C107" s="874"/>
      <c r="D107" s="918"/>
      <c r="E107" s="918"/>
      <c r="F107" s="874"/>
      <c r="G107" s="874"/>
      <c r="H107" s="874"/>
      <c r="I107" s="863"/>
    </row>
    <row r="108" spans="2:9" ht="15" customHeight="1">
      <c r="B108" s="916"/>
      <c r="C108" s="874"/>
      <c r="D108" s="874"/>
      <c r="E108" s="874"/>
      <c r="F108" s="874"/>
      <c r="G108" s="874"/>
      <c r="H108" s="874"/>
      <c r="I108" s="863"/>
    </row>
    <row r="109" spans="2:9" ht="15" customHeight="1">
      <c r="B109" s="916"/>
      <c r="C109" s="874"/>
      <c r="D109" s="874"/>
      <c r="E109" s="874"/>
      <c r="F109" s="874"/>
      <c r="G109" s="874"/>
      <c r="H109" s="874"/>
    </row>
    <row r="110" spans="2:9" ht="15" customHeight="1">
      <c r="B110" s="916"/>
      <c r="C110" s="874"/>
      <c r="D110" s="874"/>
      <c r="E110" s="874"/>
      <c r="F110" s="874"/>
      <c r="G110" s="874"/>
      <c r="H110" s="874"/>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916"/>
      <c r="C206" s="874"/>
      <c r="D206" s="874"/>
      <c r="E206" s="874"/>
      <c r="F206" s="874"/>
      <c r="G206" s="874"/>
      <c r="H206" s="874"/>
    </row>
    <row r="207" spans="2:8" ht="15" customHeight="1">
      <c r="B207" s="916"/>
      <c r="C207" s="874"/>
      <c r="D207" s="874"/>
      <c r="E207" s="874"/>
      <c r="F207" s="874"/>
      <c r="G207" s="874"/>
      <c r="H207" s="874"/>
    </row>
    <row r="208" spans="2:8" ht="15" customHeight="1">
      <c r="B208" s="916"/>
      <c r="C208" s="874"/>
      <c r="D208" s="874"/>
      <c r="E208" s="874"/>
      <c r="F208" s="874"/>
      <c r="G208" s="874"/>
      <c r="H208" s="874"/>
    </row>
    <row r="209" spans="2:8" ht="15" customHeight="1">
      <c r="B209" s="916"/>
      <c r="C209" s="874"/>
      <c r="D209" s="874"/>
      <c r="E209" s="874"/>
      <c r="F209" s="874"/>
      <c r="G209" s="874"/>
      <c r="H209" s="874"/>
    </row>
    <row r="210" spans="2:8" ht="15" customHeight="1">
      <c r="B210" s="916"/>
      <c r="C210" s="874"/>
      <c r="D210" s="874"/>
      <c r="E210" s="874"/>
      <c r="F210" s="874"/>
      <c r="G210" s="874"/>
      <c r="H210" s="874"/>
    </row>
    <row r="211" spans="2:8" ht="15" customHeight="1">
      <c r="B211" s="916"/>
      <c r="C211" s="874"/>
      <c r="D211" s="874"/>
      <c r="E211" s="874"/>
      <c r="F211" s="874"/>
      <c r="G211" s="874"/>
      <c r="H211" s="874"/>
    </row>
    <row r="212" spans="2:8" ht="15" customHeight="1">
      <c r="B212" s="916"/>
      <c r="C212" s="874"/>
      <c r="D212" s="874"/>
      <c r="E212" s="874"/>
      <c r="F212" s="874"/>
      <c r="G212" s="874"/>
      <c r="H212" s="874"/>
    </row>
    <row r="213" spans="2:8" ht="15" customHeight="1">
      <c r="B213" s="916"/>
      <c r="C213" s="874"/>
      <c r="D213" s="874"/>
      <c r="E213" s="874"/>
      <c r="F213" s="874"/>
      <c r="G213" s="874"/>
      <c r="H213" s="874"/>
    </row>
    <row r="214" spans="2:8" ht="15" customHeight="1">
      <c r="B214" s="888"/>
      <c r="C214" s="876"/>
      <c r="D214" s="876"/>
      <c r="E214" s="876"/>
      <c r="F214" s="876"/>
      <c r="G214" s="876"/>
      <c r="H214" s="876"/>
    </row>
    <row r="215" spans="2:8" ht="15" customHeight="1">
      <c r="B215" s="888"/>
      <c r="C215" s="876"/>
      <c r="D215" s="876"/>
      <c r="E215" s="876"/>
      <c r="F215" s="876"/>
      <c r="G215" s="876"/>
      <c r="H215" s="876"/>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row r="497" spans="2:8" ht="15" customHeight="1">
      <c r="B497" s="888"/>
      <c r="C497" s="876"/>
      <c r="D497" s="876"/>
      <c r="E497" s="876"/>
      <c r="F497" s="876"/>
      <c r="G497" s="876"/>
      <c r="H497" s="876"/>
    </row>
    <row r="498" spans="2:8" ht="15" customHeight="1">
      <c r="B498" s="888"/>
      <c r="C498" s="876"/>
      <c r="D498" s="876"/>
      <c r="E498" s="876"/>
      <c r="F498" s="876"/>
      <c r="G498" s="876"/>
      <c r="H498" s="876"/>
    </row>
    <row r="499" spans="2:8" ht="15" customHeight="1">
      <c r="B499" s="888"/>
      <c r="C499" s="876"/>
      <c r="D499" s="876"/>
      <c r="E499" s="876"/>
      <c r="F499" s="876"/>
      <c r="G499" s="876"/>
      <c r="H499" s="876"/>
    </row>
    <row r="500" spans="2:8" ht="15" customHeight="1">
      <c r="B500" s="888"/>
      <c r="C500" s="876"/>
      <c r="D500" s="876"/>
      <c r="E500" s="876"/>
      <c r="F500" s="876"/>
      <c r="G500" s="876"/>
      <c r="H500" s="876"/>
    </row>
    <row r="501" spans="2:8" ht="15" customHeight="1">
      <c r="B501" s="888"/>
      <c r="C501" s="876"/>
      <c r="D501" s="876"/>
      <c r="E501" s="876"/>
      <c r="F501" s="876"/>
      <c r="G501" s="876"/>
      <c r="H501" s="876"/>
    </row>
    <row r="502" spans="2:8" ht="15" customHeight="1">
      <c r="B502" s="888"/>
      <c r="C502" s="876"/>
      <c r="D502" s="876"/>
      <c r="E502" s="876"/>
      <c r="F502" s="876"/>
      <c r="G502" s="876"/>
      <c r="H502" s="876"/>
    </row>
    <row r="503" spans="2:8" ht="15" customHeight="1">
      <c r="B503" s="888"/>
      <c r="C503" s="876"/>
      <c r="D503" s="876"/>
      <c r="E503" s="876"/>
      <c r="F503" s="876"/>
      <c r="G503" s="876"/>
      <c r="H503" s="876"/>
    </row>
    <row r="504" spans="2:8" ht="15" customHeight="1">
      <c r="B504" s="888"/>
      <c r="C504" s="876"/>
      <c r="D504" s="876"/>
      <c r="E504" s="876"/>
      <c r="F504" s="876"/>
      <c r="G504" s="876"/>
      <c r="H504" s="876"/>
    </row>
  </sheetData>
  <mergeCells count="9">
    <mergeCell ref="B1:G1"/>
    <mergeCell ref="B2:G2"/>
    <mergeCell ref="B37:H37"/>
    <mergeCell ref="B40:G40"/>
    <mergeCell ref="B88:H88"/>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selection activeCell="L38" sqref="L38"/>
    </sheetView>
  </sheetViews>
  <sheetFormatPr defaultRowHeight="12.75"/>
  <cols>
    <col min="1" max="1" width="8.88671875" style="894"/>
    <col min="2" max="2" width="14.5546875" style="894" customWidth="1"/>
    <col min="3" max="9" width="13" style="894" customWidth="1"/>
    <col min="10" max="257" width="8.88671875" style="894"/>
    <col min="258" max="258" width="14.5546875" style="894" customWidth="1"/>
    <col min="259" max="265" width="13" style="894" customWidth="1"/>
    <col min="266" max="513" width="8.88671875" style="894"/>
    <col min="514" max="514" width="14.5546875" style="894" customWidth="1"/>
    <col min="515" max="521" width="13" style="894" customWidth="1"/>
    <col min="522" max="769" width="8.88671875" style="894"/>
    <col min="770" max="770" width="14.5546875" style="894" customWidth="1"/>
    <col min="771" max="777" width="13" style="894" customWidth="1"/>
    <col min="778" max="1025" width="8.88671875" style="894"/>
    <col min="1026" max="1026" width="14.5546875" style="894" customWidth="1"/>
    <col min="1027" max="1033" width="13" style="894" customWidth="1"/>
    <col min="1034" max="1281" width="8.88671875" style="894"/>
    <col min="1282" max="1282" width="14.5546875" style="894" customWidth="1"/>
    <col min="1283" max="1289" width="13" style="894" customWidth="1"/>
    <col min="1290" max="1537" width="8.88671875" style="894"/>
    <col min="1538" max="1538" width="14.5546875" style="894" customWidth="1"/>
    <col min="1539" max="1545" width="13" style="894" customWidth="1"/>
    <col min="1546" max="1793" width="8.88671875" style="894"/>
    <col min="1794" max="1794" width="14.5546875" style="894" customWidth="1"/>
    <col min="1795" max="1801" width="13" style="894" customWidth="1"/>
    <col min="1802" max="2049" width="8.88671875" style="894"/>
    <col min="2050" max="2050" width="14.5546875" style="894" customWidth="1"/>
    <col min="2051" max="2057" width="13" style="894" customWidth="1"/>
    <col min="2058" max="2305" width="8.88671875" style="894"/>
    <col min="2306" max="2306" width="14.5546875" style="894" customWidth="1"/>
    <col min="2307" max="2313" width="13" style="894" customWidth="1"/>
    <col min="2314" max="2561" width="8.88671875" style="894"/>
    <col min="2562" max="2562" width="14.5546875" style="894" customWidth="1"/>
    <col min="2563" max="2569" width="13" style="894" customWidth="1"/>
    <col min="2570" max="2817" width="8.88671875" style="894"/>
    <col min="2818" max="2818" width="14.5546875" style="894" customWidth="1"/>
    <col min="2819" max="2825" width="13" style="894" customWidth="1"/>
    <col min="2826" max="3073" width="8.88671875" style="894"/>
    <col min="3074" max="3074" width="14.5546875" style="894" customWidth="1"/>
    <col min="3075" max="3081" width="13" style="894" customWidth="1"/>
    <col min="3082" max="3329" width="8.88671875" style="894"/>
    <col min="3330" max="3330" width="14.5546875" style="894" customWidth="1"/>
    <col min="3331" max="3337" width="13" style="894" customWidth="1"/>
    <col min="3338" max="3585" width="8.88671875" style="894"/>
    <col min="3586" max="3586" width="14.5546875" style="894" customWidth="1"/>
    <col min="3587" max="3593" width="13" style="894" customWidth="1"/>
    <col min="3594" max="3841" width="8.88671875" style="894"/>
    <col min="3842" max="3842" width="14.5546875" style="894" customWidth="1"/>
    <col min="3843" max="3849" width="13" style="894" customWidth="1"/>
    <col min="3850" max="4097" width="8.88671875" style="894"/>
    <col min="4098" max="4098" width="14.5546875" style="894" customWidth="1"/>
    <col min="4099" max="4105" width="13" style="894" customWidth="1"/>
    <col min="4106" max="4353" width="8.88671875" style="894"/>
    <col min="4354" max="4354" width="14.5546875" style="894" customWidth="1"/>
    <col min="4355" max="4361" width="13" style="894" customWidth="1"/>
    <col min="4362" max="4609" width="8.88671875" style="894"/>
    <col min="4610" max="4610" width="14.5546875" style="894" customWidth="1"/>
    <col min="4611" max="4617" width="13" style="894" customWidth="1"/>
    <col min="4618" max="4865" width="8.88671875" style="894"/>
    <col min="4866" max="4866" width="14.5546875" style="894" customWidth="1"/>
    <col min="4867" max="4873" width="13" style="894" customWidth="1"/>
    <col min="4874" max="5121" width="8.88671875" style="894"/>
    <col min="5122" max="5122" width="14.5546875" style="894" customWidth="1"/>
    <col min="5123" max="5129" width="13" style="894" customWidth="1"/>
    <col min="5130" max="5377" width="8.88671875" style="894"/>
    <col min="5378" max="5378" width="14.5546875" style="894" customWidth="1"/>
    <col min="5379" max="5385" width="13" style="894" customWidth="1"/>
    <col min="5386" max="5633" width="8.88671875" style="894"/>
    <col min="5634" max="5634" width="14.5546875" style="894" customWidth="1"/>
    <col min="5635" max="5641" width="13" style="894" customWidth="1"/>
    <col min="5642" max="5889" width="8.88671875" style="894"/>
    <col min="5890" max="5890" width="14.5546875" style="894" customWidth="1"/>
    <col min="5891" max="5897" width="13" style="894" customWidth="1"/>
    <col min="5898" max="6145" width="8.88671875" style="894"/>
    <col min="6146" max="6146" width="14.5546875" style="894" customWidth="1"/>
    <col min="6147" max="6153" width="13" style="894" customWidth="1"/>
    <col min="6154" max="6401" width="8.88671875" style="894"/>
    <col min="6402" max="6402" width="14.5546875" style="894" customWidth="1"/>
    <col min="6403" max="6409" width="13" style="894" customWidth="1"/>
    <col min="6410" max="6657" width="8.88671875" style="894"/>
    <col min="6658" max="6658" width="14.5546875" style="894" customWidth="1"/>
    <col min="6659" max="6665" width="13" style="894" customWidth="1"/>
    <col min="6666" max="6913" width="8.88671875" style="894"/>
    <col min="6914" max="6914" width="14.5546875" style="894" customWidth="1"/>
    <col min="6915" max="6921" width="13" style="894" customWidth="1"/>
    <col min="6922" max="7169" width="8.88671875" style="894"/>
    <col min="7170" max="7170" width="14.5546875" style="894" customWidth="1"/>
    <col min="7171" max="7177" width="13" style="894" customWidth="1"/>
    <col min="7178" max="7425" width="8.88671875" style="894"/>
    <col min="7426" max="7426" width="14.5546875" style="894" customWidth="1"/>
    <col min="7427" max="7433" width="13" style="894" customWidth="1"/>
    <col min="7434" max="7681" width="8.88671875" style="894"/>
    <col min="7682" max="7682" width="14.5546875" style="894" customWidth="1"/>
    <col min="7683" max="7689" width="13" style="894" customWidth="1"/>
    <col min="7690" max="7937" width="8.88671875" style="894"/>
    <col min="7938" max="7938" width="14.5546875" style="894" customWidth="1"/>
    <col min="7939" max="7945" width="13" style="894" customWidth="1"/>
    <col min="7946" max="8193" width="8.88671875" style="894"/>
    <col min="8194" max="8194" width="14.5546875" style="894" customWidth="1"/>
    <col min="8195" max="8201" width="13" style="894" customWidth="1"/>
    <col min="8202" max="8449" width="8.88671875" style="894"/>
    <col min="8450" max="8450" width="14.5546875" style="894" customWidth="1"/>
    <col min="8451" max="8457" width="13" style="894" customWidth="1"/>
    <col min="8458" max="8705" width="8.88671875" style="894"/>
    <col min="8706" max="8706" width="14.5546875" style="894" customWidth="1"/>
    <col min="8707" max="8713" width="13" style="894" customWidth="1"/>
    <col min="8714" max="8961" width="8.88671875" style="894"/>
    <col min="8962" max="8962" width="14.5546875" style="894" customWidth="1"/>
    <col min="8963" max="8969" width="13" style="894" customWidth="1"/>
    <col min="8970" max="9217" width="8.88671875" style="894"/>
    <col min="9218" max="9218" width="14.5546875" style="894" customWidth="1"/>
    <col min="9219" max="9225" width="13" style="894" customWidth="1"/>
    <col min="9226" max="9473" width="8.88671875" style="894"/>
    <col min="9474" max="9474" width="14.5546875" style="894" customWidth="1"/>
    <col min="9475" max="9481" width="13" style="894" customWidth="1"/>
    <col min="9482" max="9729" width="8.88671875" style="894"/>
    <col min="9730" max="9730" width="14.5546875" style="894" customWidth="1"/>
    <col min="9731" max="9737" width="13" style="894" customWidth="1"/>
    <col min="9738" max="9985" width="8.88671875" style="894"/>
    <col min="9986" max="9986" width="14.5546875" style="894" customWidth="1"/>
    <col min="9987" max="9993" width="13" style="894" customWidth="1"/>
    <col min="9994" max="10241" width="8.88671875" style="894"/>
    <col min="10242" max="10242" width="14.5546875" style="894" customWidth="1"/>
    <col min="10243" max="10249" width="13" style="894" customWidth="1"/>
    <col min="10250" max="10497" width="8.88671875" style="894"/>
    <col min="10498" max="10498" width="14.5546875" style="894" customWidth="1"/>
    <col min="10499" max="10505" width="13" style="894" customWidth="1"/>
    <col min="10506" max="10753" width="8.88671875" style="894"/>
    <col min="10754" max="10754" width="14.5546875" style="894" customWidth="1"/>
    <col min="10755" max="10761" width="13" style="894" customWidth="1"/>
    <col min="10762" max="11009" width="8.88671875" style="894"/>
    <col min="11010" max="11010" width="14.5546875" style="894" customWidth="1"/>
    <col min="11011" max="11017" width="13" style="894" customWidth="1"/>
    <col min="11018" max="11265" width="8.88671875" style="894"/>
    <col min="11266" max="11266" width="14.5546875" style="894" customWidth="1"/>
    <col min="11267" max="11273" width="13" style="894" customWidth="1"/>
    <col min="11274" max="11521" width="8.88671875" style="894"/>
    <col min="11522" max="11522" width="14.5546875" style="894" customWidth="1"/>
    <col min="11523" max="11529" width="13" style="894" customWidth="1"/>
    <col min="11530" max="11777" width="8.88671875" style="894"/>
    <col min="11778" max="11778" width="14.5546875" style="894" customWidth="1"/>
    <col min="11779" max="11785" width="13" style="894" customWidth="1"/>
    <col min="11786" max="12033" width="8.88671875" style="894"/>
    <col min="12034" max="12034" width="14.5546875" style="894" customWidth="1"/>
    <col min="12035" max="12041" width="13" style="894" customWidth="1"/>
    <col min="12042" max="12289" width="8.88671875" style="894"/>
    <col min="12290" max="12290" width="14.5546875" style="894" customWidth="1"/>
    <col min="12291" max="12297" width="13" style="894" customWidth="1"/>
    <col min="12298" max="12545" width="8.88671875" style="894"/>
    <col min="12546" max="12546" width="14.5546875" style="894" customWidth="1"/>
    <col min="12547" max="12553" width="13" style="894" customWidth="1"/>
    <col min="12554" max="12801" width="8.88671875" style="894"/>
    <col min="12802" max="12802" width="14.5546875" style="894" customWidth="1"/>
    <col min="12803" max="12809" width="13" style="894" customWidth="1"/>
    <col min="12810" max="13057" width="8.88671875" style="894"/>
    <col min="13058" max="13058" width="14.5546875" style="894" customWidth="1"/>
    <col min="13059" max="13065" width="13" style="894" customWidth="1"/>
    <col min="13066" max="13313" width="8.88671875" style="894"/>
    <col min="13314" max="13314" width="14.5546875" style="894" customWidth="1"/>
    <col min="13315" max="13321" width="13" style="894" customWidth="1"/>
    <col min="13322" max="13569" width="8.88671875" style="894"/>
    <col min="13570" max="13570" width="14.5546875" style="894" customWidth="1"/>
    <col min="13571" max="13577" width="13" style="894" customWidth="1"/>
    <col min="13578" max="13825" width="8.88671875" style="894"/>
    <col min="13826" max="13826" width="14.5546875" style="894" customWidth="1"/>
    <col min="13827" max="13833" width="13" style="894" customWidth="1"/>
    <col min="13834" max="14081" width="8.88671875" style="894"/>
    <col min="14082" max="14082" width="14.5546875" style="894" customWidth="1"/>
    <col min="14083" max="14089" width="13" style="894" customWidth="1"/>
    <col min="14090" max="14337" width="8.88671875" style="894"/>
    <col min="14338" max="14338" width="14.5546875" style="894" customWidth="1"/>
    <col min="14339" max="14345" width="13" style="894" customWidth="1"/>
    <col min="14346" max="14593" width="8.88671875" style="894"/>
    <col min="14594" max="14594" width="14.5546875" style="894" customWidth="1"/>
    <col min="14595" max="14601" width="13" style="894" customWidth="1"/>
    <col min="14602" max="14849" width="8.88671875" style="894"/>
    <col min="14850" max="14850" width="14.5546875" style="894" customWidth="1"/>
    <col min="14851" max="14857" width="13" style="894" customWidth="1"/>
    <col min="14858" max="15105" width="8.88671875" style="894"/>
    <col min="15106" max="15106" width="14.5546875" style="894" customWidth="1"/>
    <col min="15107" max="15113" width="13" style="894" customWidth="1"/>
    <col min="15114" max="15361" width="8.88671875" style="894"/>
    <col min="15362" max="15362" width="14.5546875" style="894" customWidth="1"/>
    <col min="15363" max="15369" width="13" style="894" customWidth="1"/>
    <col min="15370" max="15617" width="8.88671875" style="894"/>
    <col min="15618" max="15618" width="14.5546875" style="894" customWidth="1"/>
    <col min="15619" max="15625" width="13" style="894" customWidth="1"/>
    <col min="15626" max="15873" width="8.88671875" style="894"/>
    <col min="15874" max="15874" width="14.5546875" style="894" customWidth="1"/>
    <col min="15875" max="15881" width="13" style="894" customWidth="1"/>
    <col min="15882" max="16129" width="8.88671875" style="894"/>
    <col min="16130" max="16130" width="14.5546875" style="894" customWidth="1"/>
    <col min="16131" max="16137" width="13" style="894" customWidth="1"/>
    <col min="16138" max="16384" width="8.88671875" style="894"/>
  </cols>
  <sheetData>
    <row r="1" spans="1:9" ht="15.75">
      <c r="A1" s="1025" t="str">
        <f>+'Attachment H-29A'!D5</f>
        <v>Transource Pennsylvania, LLC</v>
      </c>
      <c r="B1" s="1032"/>
      <c r="C1" s="1032"/>
      <c r="D1" s="1032"/>
      <c r="E1" s="1032"/>
      <c r="F1" s="1032"/>
      <c r="G1" s="1032"/>
      <c r="I1" s="932" t="str">
        <f>+'Attachment H-29A'!J3</f>
        <v>For  the 12 months ended 12/31/2020</v>
      </c>
    </row>
    <row r="2" spans="1:9" ht="15.75">
      <c r="A2" s="1025" t="s">
        <v>847</v>
      </c>
      <c r="B2" s="1025"/>
      <c r="C2" s="1025"/>
      <c r="D2" s="1025"/>
      <c r="E2" s="1025"/>
      <c r="F2" s="1025"/>
      <c r="G2" s="1025"/>
    </row>
    <row r="3" spans="1:9" ht="15.75">
      <c r="A3" s="1025"/>
      <c r="B3" s="1032"/>
      <c r="C3" s="1032"/>
      <c r="D3" s="1032"/>
      <c r="E3" s="1032"/>
      <c r="F3" s="1032"/>
      <c r="G3" s="1032"/>
    </row>
    <row r="4" spans="1:9">
      <c r="B4" s="1028"/>
      <c r="C4" s="1028"/>
      <c r="D4" s="1028"/>
      <c r="E4" s="1028"/>
      <c r="F4" s="1028"/>
      <c r="G4" s="1028"/>
      <c r="H4" s="1028"/>
      <c r="I4" s="1028"/>
    </row>
    <row r="5" spans="1:9" ht="18.75" customHeight="1">
      <c r="B5" s="1029"/>
      <c r="C5" s="1029"/>
      <c r="D5" s="1029"/>
      <c r="E5" s="1029"/>
      <c r="F5" s="895"/>
      <c r="G5" s="895"/>
      <c r="H5" s="895"/>
      <c r="I5" s="895"/>
    </row>
    <row r="6" spans="1:9" ht="49.5" customHeight="1">
      <c r="A6" s="1030" t="s">
        <v>895</v>
      </c>
      <c r="B6" s="1030"/>
      <c r="C6" s="1030"/>
      <c r="D6" s="1030"/>
      <c r="E6" s="1030"/>
      <c r="F6" s="1030"/>
      <c r="G6" s="1030"/>
      <c r="H6" s="1030"/>
      <c r="I6" s="1030"/>
    </row>
    <row r="7" spans="1:9" ht="34.5" customHeight="1">
      <c r="A7" s="896"/>
      <c r="B7" s="896"/>
      <c r="C7" s="896"/>
      <c r="D7" s="896"/>
      <c r="E7" s="896"/>
      <c r="F7" s="896"/>
      <c r="G7" s="896"/>
      <c r="H7" s="896"/>
      <c r="I7" s="896"/>
    </row>
    <row r="8" spans="1:9" ht="18.75" customHeight="1">
      <c r="A8" s="897" t="s">
        <v>834</v>
      </c>
      <c r="B8" s="896"/>
      <c r="C8" s="896"/>
      <c r="D8" s="896"/>
      <c r="E8" s="896"/>
      <c r="F8" s="896"/>
      <c r="G8" s="896"/>
      <c r="H8" s="896"/>
      <c r="I8" s="896"/>
    </row>
    <row r="9" spans="1:9" ht="18.75" customHeight="1">
      <c r="A9" s="896"/>
      <c r="B9" s="896"/>
      <c r="D9" s="896"/>
      <c r="E9" s="1031" t="s">
        <v>199</v>
      </c>
      <c r="F9" s="1031"/>
      <c r="G9" s="896"/>
      <c r="H9" s="896"/>
      <c r="I9" s="896"/>
    </row>
    <row r="10" spans="1:9" ht="18.75" customHeight="1">
      <c r="A10" s="898">
        <v>1</v>
      </c>
      <c r="B10" s="899" t="s">
        <v>841</v>
      </c>
      <c r="C10" s="899"/>
      <c r="D10" s="899"/>
      <c r="E10" s="899" t="str">
        <f>"Attachment 4b, line "&amp;'4b-Ending ADIT'!A67&amp;" Column B"</f>
        <v>Attachment 4b, line 30 Column B</v>
      </c>
      <c r="F10" s="896"/>
      <c r="H10" s="931">
        <v>0</v>
      </c>
      <c r="I10" s="896"/>
    </row>
    <row r="11" spans="1:9" ht="18.75" customHeight="1">
      <c r="A11" s="898">
        <f>+A10+1</f>
        <v>2</v>
      </c>
      <c r="B11" s="899" t="s">
        <v>842</v>
      </c>
      <c r="C11" s="899"/>
      <c r="D11" s="899"/>
      <c r="E11" s="899" t="str">
        <f>"Attachment 4a, line "&amp;'4a-ADIT'!A62&amp;" Column B"</f>
        <v>Attachment 4a, line 26 Column B</v>
      </c>
      <c r="F11" s="896"/>
      <c r="H11" s="931">
        <v>0</v>
      </c>
      <c r="I11" s="896"/>
    </row>
    <row r="12" spans="1:9" ht="18.75" customHeight="1">
      <c r="A12" s="898">
        <f>+A11+1</f>
        <v>3</v>
      </c>
      <c r="B12" s="899" t="s">
        <v>819</v>
      </c>
      <c r="C12" s="899"/>
      <c r="D12" s="899"/>
      <c r="E12" s="896" t="str">
        <f>"Line "&amp;A10&amp;" less Line "&amp;A11</f>
        <v>Line 1 less Line 2</v>
      </c>
      <c r="F12" s="896"/>
      <c r="H12" s="901">
        <f>+H10-H11</f>
        <v>0</v>
      </c>
      <c r="I12" s="896"/>
    </row>
    <row r="13" spans="1:9" ht="18.75" customHeight="1">
      <c r="A13" s="898">
        <f>+A12+1</f>
        <v>4</v>
      </c>
      <c r="B13" s="899" t="s">
        <v>820</v>
      </c>
      <c r="C13" s="899"/>
      <c r="D13" s="899"/>
      <c r="E13" s="896" t="str">
        <f>"Line "&amp;A12&amp;" / 12"</f>
        <v>Line 3 / 12</v>
      </c>
      <c r="F13" s="896"/>
      <c r="H13" s="900">
        <f>+H12/12</f>
        <v>0</v>
      </c>
      <c r="I13" s="896"/>
    </row>
    <row r="14" spans="1:9" ht="18.75" customHeight="1">
      <c r="A14" s="899"/>
      <c r="B14" s="899"/>
      <c r="C14" s="899"/>
      <c r="D14" s="899"/>
      <c r="E14" s="896"/>
      <c r="F14" s="896"/>
      <c r="G14" s="896"/>
      <c r="H14" s="896"/>
      <c r="I14" s="896"/>
    </row>
    <row r="15" spans="1:9" ht="18.75" customHeight="1">
      <c r="A15" s="896"/>
      <c r="B15" s="896"/>
      <c r="C15" s="896"/>
      <c r="D15" s="896"/>
      <c r="E15" s="896"/>
      <c r="F15" s="896"/>
      <c r="G15" s="896"/>
      <c r="H15" s="896"/>
      <c r="I15" s="896"/>
    </row>
    <row r="16" spans="1:9" ht="13.5" customHeight="1">
      <c r="B16" s="902"/>
      <c r="C16" s="902"/>
      <c r="D16" s="902"/>
      <c r="E16" s="902"/>
      <c r="F16" s="902"/>
      <c r="G16" s="902"/>
      <c r="H16" s="902"/>
      <c r="I16" s="902"/>
    </row>
    <row r="17" spans="1:10" ht="15.75">
      <c r="B17" s="903" t="s">
        <v>821</v>
      </c>
      <c r="C17" s="903" t="s">
        <v>822</v>
      </c>
      <c r="D17" s="903" t="s">
        <v>823</v>
      </c>
      <c r="E17" s="903" t="s">
        <v>824</v>
      </c>
      <c r="F17" s="903" t="s">
        <v>825</v>
      </c>
      <c r="G17" s="903" t="s">
        <v>826</v>
      </c>
      <c r="H17" s="903" t="s">
        <v>827</v>
      </c>
      <c r="I17" s="903" t="s">
        <v>828</v>
      </c>
    </row>
    <row r="18" spans="1:10" s="906" customFormat="1" ht="39">
      <c r="A18" s="904" t="s">
        <v>8</v>
      </c>
      <c r="B18" s="927" t="s">
        <v>829</v>
      </c>
      <c r="C18" s="905" t="s">
        <v>835</v>
      </c>
      <c r="D18" s="905" t="s">
        <v>836</v>
      </c>
      <c r="E18" s="905" t="s">
        <v>837</v>
      </c>
      <c r="F18" s="905" t="s">
        <v>838</v>
      </c>
      <c r="G18" s="905" t="s">
        <v>839</v>
      </c>
      <c r="H18" s="927" t="s">
        <v>830</v>
      </c>
      <c r="I18" s="905" t="s">
        <v>840</v>
      </c>
      <c r="J18" s="894"/>
    </row>
    <row r="19" spans="1:10" ht="15">
      <c r="A19" s="898">
        <f>+A13+1</f>
        <v>5</v>
      </c>
      <c r="B19" s="895" t="s">
        <v>792</v>
      </c>
      <c r="C19" s="907">
        <f>+H11</f>
        <v>0</v>
      </c>
      <c r="D19" s="907">
        <f>C19</f>
        <v>0</v>
      </c>
      <c r="E19" s="895"/>
      <c r="F19" s="925">
        <v>365</v>
      </c>
      <c r="G19" s="908">
        <f>F19/$F$19</f>
        <v>1</v>
      </c>
      <c r="H19" s="907">
        <f>C19*G19</f>
        <v>0</v>
      </c>
      <c r="I19" s="907">
        <f>H19</f>
        <v>0</v>
      </c>
    </row>
    <row r="20" spans="1:10" ht="15">
      <c r="A20" s="898">
        <f>+A19+1</f>
        <v>6</v>
      </c>
      <c r="B20" s="895" t="s">
        <v>843</v>
      </c>
      <c r="C20" s="907">
        <f>+$H$13</f>
        <v>0</v>
      </c>
      <c r="D20" s="907">
        <f>D19+C20</f>
        <v>0</v>
      </c>
      <c r="E20" s="924">
        <v>31</v>
      </c>
      <c r="F20" s="925">
        <v>335</v>
      </c>
      <c r="G20" s="908">
        <f t="shared" ref="G20:G31" si="0">F20/$F$19</f>
        <v>0.9178082191780822</v>
      </c>
      <c r="H20" s="907">
        <f t="shared" ref="H20:H31" si="1">C20*G20</f>
        <v>0</v>
      </c>
      <c r="I20" s="907">
        <f>I19+H20</f>
        <v>0</v>
      </c>
    </row>
    <row r="21" spans="1:10" ht="15">
      <c r="A21" s="898">
        <f t="shared" ref="A21:A31" si="2">+A20+1</f>
        <v>7</v>
      </c>
      <c r="B21" s="895" t="s">
        <v>84</v>
      </c>
      <c r="C21" s="907">
        <f t="shared" ref="C21:C31" si="3">+$H$13</f>
        <v>0</v>
      </c>
      <c r="D21" s="907">
        <f>D20+C21</f>
        <v>0</v>
      </c>
      <c r="E21" s="925">
        <v>28</v>
      </c>
      <c r="F21" s="925">
        <v>307</v>
      </c>
      <c r="G21" s="908">
        <f t="shared" si="0"/>
        <v>0.84109589041095889</v>
      </c>
      <c r="H21" s="907">
        <f t="shared" si="1"/>
        <v>0</v>
      </c>
      <c r="I21" s="907">
        <f t="shared" ref="I21:I31" si="4">I20+H21</f>
        <v>0</v>
      </c>
    </row>
    <row r="22" spans="1:10" ht="15">
      <c r="A22" s="898">
        <f t="shared" si="2"/>
        <v>8</v>
      </c>
      <c r="B22" s="895" t="s">
        <v>83</v>
      </c>
      <c r="C22" s="907">
        <f t="shared" si="3"/>
        <v>0</v>
      </c>
      <c r="D22" s="907">
        <f>D21+C22</f>
        <v>0</v>
      </c>
      <c r="E22" s="924">
        <v>31</v>
      </c>
      <c r="F22" s="925">
        <v>276</v>
      </c>
      <c r="G22" s="908">
        <f t="shared" si="0"/>
        <v>0.75616438356164384</v>
      </c>
      <c r="H22" s="907">
        <f t="shared" si="1"/>
        <v>0</v>
      </c>
      <c r="I22" s="907">
        <f t="shared" si="4"/>
        <v>0</v>
      </c>
    </row>
    <row r="23" spans="1:10" ht="15">
      <c r="A23" s="898">
        <f t="shared" si="2"/>
        <v>9</v>
      </c>
      <c r="B23" s="895" t="s">
        <v>76</v>
      </c>
      <c r="C23" s="907">
        <f t="shared" si="3"/>
        <v>0</v>
      </c>
      <c r="D23" s="907">
        <f t="shared" ref="D23:D31" si="5">D22+C23</f>
        <v>0</v>
      </c>
      <c r="E23" s="924">
        <v>30</v>
      </c>
      <c r="F23" s="925">
        <v>246</v>
      </c>
      <c r="G23" s="908">
        <f t="shared" si="0"/>
        <v>0.67397260273972603</v>
      </c>
      <c r="H23" s="907">
        <f t="shared" si="1"/>
        <v>0</v>
      </c>
      <c r="I23" s="907">
        <f t="shared" si="4"/>
        <v>0</v>
      </c>
    </row>
    <row r="24" spans="1:10" ht="15">
      <c r="A24" s="898">
        <f t="shared" si="2"/>
        <v>10</v>
      </c>
      <c r="B24" s="895" t="s">
        <v>75</v>
      </c>
      <c r="C24" s="907">
        <f t="shared" si="3"/>
        <v>0</v>
      </c>
      <c r="D24" s="907">
        <f t="shared" si="5"/>
        <v>0</v>
      </c>
      <c r="E24" s="924">
        <v>31</v>
      </c>
      <c r="F24" s="925">
        <v>215</v>
      </c>
      <c r="G24" s="908">
        <f t="shared" si="0"/>
        <v>0.58904109589041098</v>
      </c>
      <c r="H24" s="907">
        <f t="shared" si="1"/>
        <v>0</v>
      </c>
      <c r="I24" s="907">
        <f>I23+H24</f>
        <v>0</v>
      </c>
    </row>
    <row r="25" spans="1:10" ht="15">
      <c r="A25" s="898">
        <f t="shared" si="2"/>
        <v>11</v>
      </c>
      <c r="B25" s="895" t="s">
        <v>92</v>
      </c>
      <c r="C25" s="907">
        <f t="shared" si="3"/>
        <v>0</v>
      </c>
      <c r="D25" s="907">
        <f t="shared" si="5"/>
        <v>0</v>
      </c>
      <c r="E25" s="924">
        <v>30</v>
      </c>
      <c r="F25" s="925">
        <v>185</v>
      </c>
      <c r="G25" s="908">
        <f t="shared" si="0"/>
        <v>0.50684931506849318</v>
      </c>
      <c r="H25" s="907">
        <f t="shared" si="1"/>
        <v>0</v>
      </c>
      <c r="I25" s="907">
        <f>I24+H25</f>
        <v>0</v>
      </c>
    </row>
    <row r="26" spans="1:10" ht="15">
      <c r="A26" s="898">
        <f t="shared" si="2"/>
        <v>12</v>
      </c>
      <c r="B26" s="895" t="s">
        <v>82</v>
      </c>
      <c r="C26" s="907">
        <f t="shared" si="3"/>
        <v>0</v>
      </c>
      <c r="D26" s="907">
        <f t="shared" si="5"/>
        <v>0</v>
      </c>
      <c r="E26" s="924">
        <v>31</v>
      </c>
      <c r="F26" s="925">
        <v>154</v>
      </c>
      <c r="G26" s="908">
        <f t="shared" si="0"/>
        <v>0.42191780821917807</v>
      </c>
      <c r="H26" s="907">
        <f t="shared" si="1"/>
        <v>0</v>
      </c>
      <c r="I26" s="907">
        <f t="shared" si="4"/>
        <v>0</v>
      </c>
    </row>
    <row r="27" spans="1:10" ht="15">
      <c r="A27" s="898">
        <f t="shared" si="2"/>
        <v>13</v>
      </c>
      <c r="B27" s="895" t="s">
        <v>81</v>
      </c>
      <c r="C27" s="907">
        <f t="shared" si="3"/>
        <v>0</v>
      </c>
      <c r="D27" s="907">
        <f t="shared" si="5"/>
        <v>0</v>
      </c>
      <c r="E27" s="924">
        <v>31</v>
      </c>
      <c r="F27" s="925">
        <v>123</v>
      </c>
      <c r="G27" s="908">
        <f t="shared" si="0"/>
        <v>0.33698630136986302</v>
      </c>
      <c r="H27" s="907">
        <f t="shared" si="1"/>
        <v>0</v>
      </c>
      <c r="I27" s="907">
        <f t="shared" si="4"/>
        <v>0</v>
      </c>
    </row>
    <row r="28" spans="1:10" ht="15">
      <c r="A28" s="898">
        <f t="shared" si="2"/>
        <v>14</v>
      </c>
      <c r="B28" s="895" t="s">
        <v>80</v>
      </c>
      <c r="C28" s="907">
        <f t="shared" si="3"/>
        <v>0</v>
      </c>
      <c r="D28" s="907">
        <f t="shared" si="5"/>
        <v>0</v>
      </c>
      <c r="E28" s="924">
        <v>30</v>
      </c>
      <c r="F28" s="925">
        <v>93</v>
      </c>
      <c r="G28" s="908">
        <f t="shared" si="0"/>
        <v>0.25479452054794521</v>
      </c>
      <c r="H28" s="907">
        <f t="shared" si="1"/>
        <v>0</v>
      </c>
      <c r="I28" s="907">
        <f t="shared" si="4"/>
        <v>0</v>
      </c>
    </row>
    <row r="29" spans="1:10" ht="15">
      <c r="A29" s="898">
        <f t="shared" si="2"/>
        <v>15</v>
      </c>
      <c r="B29" s="895" t="s">
        <v>86</v>
      </c>
      <c r="C29" s="907">
        <f t="shared" si="3"/>
        <v>0</v>
      </c>
      <c r="D29" s="907">
        <f t="shared" si="5"/>
        <v>0</v>
      </c>
      <c r="E29" s="924">
        <v>31</v>
      </c>
      <c r="F29" s="925">
        <v>62</v>
      </c>
      <c r="G29" s="908">
        <f t="shared" si="0"/>
        <v>0.16986301369863013</v>
      </c>
      <c r="H29" s="907">
        <f t="shared" si="1"/>
        <v>0</v>
      </c>
      <c r="I29" s="907">
        <f t="shared" si="4"/>
        <v>0</v>
      </c>
    </row>
    <row r="30" spans="1:10" ht="15">
      <c r="A30" s="898">
        <f t="shared" si="2"/>
        <v>16</v>
      </c>
      <c r="B30" s="895" t="s">
        <v>79</v>
      </c>
      <c r="C30" s="907">
        <f t="shared" si="3"/>
        <v>0</v>
      </c>
      <c r="D30" s="907">
        <f t="shared" si="5"/>
        <v>0</v>
      </c>
      <c r="E30" s="924">
        <v>30</v>
      </c>
      <c r="F30" s="925">
        <v>32</v>
      </c>
      <c r="G30" s="908">
        <f t="shared" si="0"/>
        <v>8.7671232876712329E-2</v>
      </c>
      <c r="H30" s="907">
        <f t="shared" si="1"/>
        <v>0</v>
      </c>
      <c r="I30" s="907">
        <f t="shared" si="4"/>
        <v>0</v>
      </c>
    </row>
    <row r="31" spans="1:10" ht="15">
      <c r="A31" s="898">
        <f t="shared" si="2"/>
        <v>17</v>
      </c>
      <c r="B31" s="895" t="s">
        <v>78</v>
      </c>
      <c r="C31" s="907">
        <f t="shared" si="3"/>
        <v>0</v>
      </c>
      <c r="D31" s="907">
        <f t="shared" si="5"/>
        <v>0</v>
      </c>
      <c r="E31" s="924">
        <v>31</v>
      </c>
      <c r="F31" s="925">
        <f>F30-E31</f>
        <v>1</v>
      </c>
      <c r="G31" s="908">
        <f t="shared" si="0"/>
        <v>2.7397260273972603E-3</v>
      </c>
      <c r="H31" s="907">
        <f t="shared" si="1"/>
        <v>0</v>
      </c>
      <c r="I31" s="907">
        <f t="shared" si="4"/>
        <v>0</v>
      </c>
    </row>
    <row r="32" spans="1:10">
      <c r="A32" s="898"/>
      <c r="B32" s="895"/>
      <c r="C32" s="895"/>
      <c r="D32" s="895"/>
      <c r="E32" s="895"/>
      <c r="F32" s="895"/>
      <c r="G32" s="895"/>
      <c r="H32" s="909"/>
      <c r="I32" s="895"/>
    </row>
    <row r="33" spans="1:9" ht="15">
      <c r="A33" s="898">
        <f>+A31+1</f>
        <v>18</v>
      </c>
      <c r="B33" s="895" t="s">
        <v>793</v>
      </c>
      <c r="C33" s="895"/>
      <c r="D33" s="910">
        <f>+D31</f>
        <v>0</v>
      </c>
      <c r="E33" s="895"/>
      <c r="F33" s="895"/>
      <c r="G33" s="895"/>
      <c r="H33" s="895"/>
      <c r="I33" s="910">
        <f>+I31</f>
        <v>0</v>
      </c>
    </row>
    <row r="34" spans="1:9">
      <c r="A34" s="898"/>
      <c r="B34" s="911"/>
      <c r="C34" s="911"/>
      <c r="D34" s="911"/>
      <c r="E34" s="911"/>
      <c r="F34" s="911"/>
      <c r="G34" s="911"/>
      <c r="H34" s="911"/>
      <c r="I34" s="911"/>
    </row>
    <row r="35" spans="1:9" ht="15.75" thickBot="1">
      <c r="A35" s="898">
        <f>+A33+1</f>
        <v>19</v>
      </c>
      <c r="B35" s="912" t="str">
        <f>"Proration Adjustment - Line "&amp;A33&amp;" Col. "&amp;I17&amp;" less Col. "&amp;D17</f>
        <v>Proration Adjustment - Line 18 Col. (H) less Col. (C )</v>
      </c>
      <c r="C35" s="912"/>
      <c r="D35" s="912"/>
      <c r="E35" s="912"/>
      <c r="F35" s="912"/>
      <c r="G35" s="912"/>
      <c r="H35" s="912"/>
      <c r="I35" s="929">
        <f>+I33-D33</f>
        <v>0</v>
      </c>
    </row>
    <row r="36" spans="1:9" ht="13.5" thickTop="1">
      <c r="B36" s="911"/>
      <c r="C36" s="911"/>
      <c r="D36" s="911"/>
      <c r="E36" s="911"/>
      <c r="F36" s="911"/>
      <c r="G36" s="911"/>
      <c r="H36" s="911"/>
      <c r="I36" s="911"/>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sqref="A1:J1"/>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14" t="s">
        <v>184</v>
      </c>
      <c r="B1" s="1014"/>
      <c r="C1" s="1014"/>
      <c r="D1" s="1014"/>
      <c r="E1" s="1014"/>
      <c r="F1" s="1014"/>
      <c r="G1" s="1014"/>
      <c r="H1" s="1014"/>
      <c r="I1" s="1014"/>
      <c r="J1" s="1014"/>
    </row>
    <row r="2" spans="1:15" ht="15" customHeight="1">
      <c r="A2" s="1033" t="s">
        <v>451</v>
      </c>
      <c r="B2" s="1033"/>
      <c r="C2" s="1033"/>
      <c r="D2" s="1033"/>
      <c r="E2" s="1033"/>
      <c r="F2" s="1033"/>
      <c r="G2" s="1033"/>
      <c r="H2" s="1033"/>
      <c r="I2" s="1033"/>
      <c r="J2" s="1033"/>
    </row>
    <row r="3" spans="1:15">
      <c r="A3" s="1016" t="str">
        <f>+'Attachment H-29A'!$D$5</f>
        <v>Transource Pennsylvania, LLC</v>
      </c>
      <c r="B3" s="1016"/>
      <c r="C3" s="1016"/>
      <c r="D3" s="1016"/>
      <c r="E3" s="1016"/>
      <c r="F3" s="1016"/>
      <c r="G3" s="1016"/>
      <c r="H3" s="1016"/>
      <c r="I3" s="1016"/>
      <c r="J3" s="1016"/>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2" t="s">
        <v>48</v>
      </c>
      <c r="G6" s="270"/>
      <c r="H6" s="270"/>
      <c r="I6" s="270"/>
      <c r="K6" s="269"/>
      <c r="L6" s="541"/>
      <c r="N6" s="101"/>
      <c r="O6" s="101"/>
    </row>
    <row r="7" spans="1:15" ht="15.75">
      <c r="A7" s="258">
        <v>1</v>
      </c>
      <c r="B7" s="26" t="s">
        <v>724</v>
      </c>
      <c r="C7" s="26"/>
      <c r="F7" s="325">
        <v>351526.03</v>
      </c>
      <c r="G7" s="270"/>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5"/>
      <c r="G10" s="270"/>
      <c r="H10" s="270"/>
      <c r="I10" s="270"/>
      <c r="N10" s="101"/>
      <c r="O10" s="101"/>
    </row>
    <row r="11" spans="1:15" ht="15.75">
      <c r="A11" s="258">
        <f>+A9+1</f>
        <v>3</v>
      </c>
      <c r="B11" s="106" t="s">
        <v>718</v>
      </c>
      <c r="C11" s="106"/>
      <c r="F11" s="158">
        <f>+E40</f>
        <v>13657586.908846153</v>
      </c>
      <c r="G11" s="270"/>
      <c r="H11" s="270"/>
      <c r="I11" s="270"/>
    </row>
    <row r="12" spans="1:15" ht="15.75">
      <c r="A12" s="258">
        <f t="shared" ref="A12:A22" si="0">+A11+1</f>
        <v>4</v>
      </c>
      <c r="B12" s="106" t="s">
        <v>872</v>
      </c>
      <c r="C12" s="106"/>
      <c r="F12" s="393">
        <f>-D40</f>
        <v>0</v>
      </c>
      <c r="G12" s="270"/>
      <c r="H12" s="270"/>
      <c r="I12" s="270"/>
    </row>
    <row r="13" spans="1:15" ht="15.75">
      <c r="A13" s="258">
        <f t="shared" si="0"/>
        <v>5</v>
      </c>
      <c r="B13" s="106" t="s">
        <v>719</v>
      </c>
      <c r="C13" s="106"/>
      <c r="F13" s="393">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13657586.908846153</v>
      </c>
      <c r="G15" s="272"/>
      <c r="H15" s="273"/>
      <c r="I15" s="272"/>
    </row>
    <row r="16" spans="1:15">
      <c r="A16" s="258"/>
      <c r="B16" s="106"/>
      <c r="C16" s="502"/>
      <c r="J16" s="405"/>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763</v>
      </c>
      <c r="F19" s="194">
        <f>+C40</f>
        <v>19753846.153846152</v>
      </c>
      <c r="G19" s="284">
        <v>0.4</v>
      </c>
      <c r="H19" s="368">
        <f>'9- Cost of Debt True-up'!D35</f>
        <v>3.1165484696261687E-2</v>
      </c>
      <c r="I19" s="213">
        <f>G19*H19</f>
        <v>1.2466193878504676E-2</v>
      </c>
      <c r="J19" s="193" t="s">
        <v>60</v>
      </c>
    </row>
    <row r="20" spans="1:10">
      <c r="A20" s="258">
        <f t="shared" si="0"/>
        <v>9</v>
      </c>
      <c r="B20" s="106" t="s">
        <v>455</v>
      </c>
      <c r="C20" s="32" t="s">
        <v>764</v>
      </c>
      <c r="F20" s="194">
        <f>+D40</f>
        <v>0</v>
      </c>
      <c r="G20" s="284">
        <v>0</v>
      </c>
      <c r="H20" s="368">
        <f>IFERROR(+F9/F20,0)</f>
        <v>0</v>
      </c>
      <c r="I20" s="213">
        <f>G20*H20</f>
        <v>0</v>
      </c>
      <c r="J20" s="541"/>
    </row>
    <row r="21" spans="1:10" ht="13.5" thickBot="1">
      <c r="A21" s="258">
        <f t="shared" si="0"/>
        <v>10</v>
      </c>
      <c r="B21" s="26" t="s">
        <v>262</v>
      </c>
      <c r="C21" s="34" t="s">
        <v>765</v>
      </c>
      <c r="F21" s="279">
        <f>+F15</f>
        <v>13657586.908846153</v>
      </c>
      <c r="G21" s="284">
        <v>0.6</v>
      </c>
      <c r="H21" s="368">
        <f>+'Attachment H-29A'!G205</f>
        <v>0.10400000000000001</v>
      </c>
      <c r="I21" s="332">
        <f>G21*H21</f>
        <v>6.2400000000000004E-2</v>
      </c>
      <c r="J21" s="541"/>
    </row>
    <row r="22" spans="1:10">
      <c r="A22" s="258">
        <f t="shared" si="0"/>
        <v>11</v>
      </c>
      <c r="B22" s="542" t="s">
        <v>220</v>
      </c>
      <c r="C22" s="34" t="s">
        <v>457</v>
      </c>
      <c r="F22" s="194">
        <f>SUM(F19:F21)</f>
        <v>33411433.062692307</v>
      </c>
      <c r="G22" s="541" t="s">
        <v>2</v>
      </c>
      <c r="H22" s="502"/>
      <c r="I22" s="213">
        <f>SUM(I19:I21)</f>
        <v>7.4866193878504683E-2</v>
      </c>
      <c r="J22" s="193" t="s">
        <v>61</v>
      </c>
    </row>
    <row r="23" spans="1:10">
      <c r="A23" s="258"/>
    </row>
    <row r="24" spans="1:10">
      <c r="A24" s="251"/>
    </row>
    <row r="25" spans="1:10">
      <c r="C25" s="216" t="s">
        <v>190</v>
      </c>
      <c r="D25" s="216" t="s">
        <v>191</v>
      </c>
      <c r="E25" s="377" t="s">
        <v>450</v>
      </c>
      <c r="F25" s="216" t="s">
        <v>193</v>
      </c>
      <c r="G25" s="216" t="s">
        <v>195</v>
      </c>
    </row>
    <row r="26" spans="1:10" ht="45.75" customHeight="1">
      <c r="A26" s="369"/>
      <c r="B26" s="371" t="s">
        <v>446</v>
      </c>
      <c r="C26" s="376" t="s">
        <v>729</v>
      </c>
      <c r="D26" s="801" t="s">
        <v>709</v>
      </c>
      <c r="E26" s="376" t="s">
        <v>276</v>
      </c>
      <c r="F26" s="359" t="s">
        <v>453</v>
      </c>
      <c r="G26" s="359" t="s">
        <v>454</v>
      </c>
    </row>
    <row r="27" spans="1:10">
      <c r="A27" s="370">
        <f>+A22+1</f>
        <v>12</v>
      </c>
      <c r="B27" s="372" t="s">
        <v>447</v>
      </c>
      <c r="C27" s="974">
        <v>12900000</v>
      </c>
      <c r="D27" s="974">
        <v>0</v>
      </c>
      <c r="E27" s="974">
        <v>8652706.8050000016</v>
      </c>
      <c r="F27" s="974">
        <v>0</v>
      </c>
      <c r="G27" s="974">
        <v>0</v>
      </c>
    </row>
    <row r="28" spans="1:10">
      <c r="A28" s="370">
        <f>+A27+1</f>
        <v>13</v>
      </c>
      <c r="B28" s="373" t="s">
        <v>85</v>
      </c>
      <c r="C28" s="974">
        <v>15800000</v>
      </c>
      <c r="D28" s="974">
        <v>0</v>
      </c>
      <c r="E28" s="974">
        <v>10360617.266000001</v>
      </c>
      <c r="F28" s="974">
        <v>0</v>
      </c>
      <c r="G28" s="974">
        <v>0</v>
      </c>
    </row>
    <row r="29" spans="1:10">
      <c r="A29" s="370">
        <f t="shared" ref="A29:A40" si="1">+A28+1</f>
        <v>14</v>
      </c>
      <c r="B29" s="374" t="s">
        <v>84</v>
      </c>
      <c r="C29" s="974">
        <v>15800000</v>
      </c>
      <c r="D29" s="974">
        <v>0</v>
      </c>
      <c r="E29" s="974">
        <v>10618347.382000001</v>
      </c>
      <c r="F29" s="974">
        <v>0</v>
      </c>
      <c r="G29" s="974">
        <v>0</v>
      </c>
    </row>
    <row r="30" spans="1:10">
      <c r="A30" s="370">
        <f t="shared" si="1"/>
        <v>15</v>
      </c>
      <c r="B30" s="374" t="s">
        <v>83</v>
      </c>
      <c r="C30" s="974">
        <v>16800000</v>
      </c>
      <c r="D30" s="974">
        <v>0</v>
      </c>
      <c r="E30" s="974">
        <v>10897892.345000001</v>
      </c>
      <c r="F30" s="974">
        <v>0</v>
      </c>
      <c r="G30" s="974">
        <v>0</v>
      </c>
    </row>
    <row r="31" spans="1:10">
      <c r="A31" s="370">
        <f t="shared" si="1"/>
        <v>16</v>
      </c>
      <c r="B31" s="373" t="s">
        <v>76</v>
      </c>
      <c r="C31" s="974">
        <v>17600000</v>
      </c>
      <c r="D31" s="974">
        <v>0</v>
      </c>
      <c r="E31" s="974">
        <v>10881479.137</v>
      </c>
      <c r="F31" s="974">
        <v>0</v>
      </c>
      <c r="G31" s="974">
        <v>0</v>
      </c>
    </row>
    <row r="32" spans="1:10">
      <c r="A32" s="370">
        <f t="shared" si="1"/>
        <v>17</v>
      </c>
      <c r="B32" s="374" t="s">
        <v>75</v>
      </c>
      <c r="C32" s="974">
        <v>17600000</v>
      </c>
      <c r="D32" s="974">
        <v>0</v>
      </c>
      <c r="E32" s="974">
        <v>11559561.879000001</v>
      </c>
      <c r="F32" s="974">
        <v>0</v>
      </c>
      <c r="G32" s="974">
        <v>0</v>
      </c>
    </row>
    <row r="33" spans="1:13">
      <c r="A33" s="370">
        <f t="shared" si="1"/>
        <v>18</v>
      </c>
      <c r="B33" s="374" t="s">
        <v>448</v>
      </c>
      <c r="C33" s="974">
        <v>18700000</v>
      </c>
      <c r="D33" s="974">
        <v>0</v>
      </c>
      <c r="E33" s="974">
        <v>12396698.503</v>
      </c>
      <c r="F33" s="974">
        <v>0</v>
      </c>
      <c r="G33" s="974">
        <v>0</v>
      </c>
    </row>
    <row r="34" spans="1:13">
      <c r="A34" s="370">
        <f t="shared" si="1"/>
        <v>19</v>
      </c>
      <c r="B34" s="373" t="s">
        <v>82</v>
      </c>
      <c r="C34" s="974">
        <v>22100000</v>
      </c>
      <c r="D34" s="974">
        <v>0</v>
      </c>
      <c r="E34" s="974">
        <v>15400934.482999999</v>
      </c>
      <c r="F34" s="974">
        <v>0</v>
      </c>
      <c r="G34" s="974">
        <v>0</v>
      </c>
    </row>
    <row r="35" spans="1:13">
      <c r="A35" s="370">
        <f t="shared" si="1"/>
        <v>20</v>
      </c>
      <c r="B35" s="374" t="s">
        <v>81</v>
      </c>
      <c r="C35" s="974">
        <v>22100000</v>
      </c>
      <c r="D35" s="974">
        <v>0</v>
      </c>
      <c r="E35" s="974">
        <v>16468477.255000001</v>
      </c>
      <c r="F35" s="974">
        <v>0</v>
      </c>
      <c r="G35" s="974">
        <v>0</v>
      </c>
    </row>
    <row r="36" spans="1:13">
      <c r="A36" s="370">
        <f t="shared" si="1"/>
        <v>21</v>
      </c>
      <c r="B36" s="374" t="s">
        <v>80</v>
      </c>
      <c r="C36" s="974">
        <v>23100000</v>
      </c>
      <c r="D36" s="974">
        <v>0</v>
      </c>
      <c r="E36" s="974">
        <v>16650931.899</v>
      </c>
      <c r="F36" s="974">
        <v>0</v>
      </c>
      <c r="G36" s="974">
        <v>0</v>
      </c>
    </row>
    <row r="37" spans="1:13">
      <c r="A37" s="370">
        <f t="shared" si="1"/>
        <v>22</v>
      </c>
      <c r="B37" s="373" t="s">
        <v>449</v>
      </c>
      <c r="C37" s="974">
        <v>24100000</v>
      </c>
      <c r="D37" s="974">
        <v>0</v>
      </c>
      <c r="E37" s="974">
        <v>16830259.480999999</v>
      </c>
      <c r="F37" s="974">
        <v>0</v>
      </c>
      <c r="G37" s="974">
        <v>0</v>
      </c>
    </row>
    <row r="38" spans="1:13">
      <c r="A38" s="370">
        <f t="shared" si="1"/>
        <v>23</v>
      </c>
      <c r="B38" s="373" t="s">
        <v>79</v>
      </c>
      <c r="C38" s="974">
        <v>25100000</v>
      </c>
      <c r="D38" s="974">
        <v>0</v>
      </c>
      <c r="E38" s="974">
        <v>16916074.567000002</v>
      </c>
      <c r="F38" s="974">
        <v>0</v>
      </c>
      <c r="G38" s="974">
        <v>0</v>
      </c>
    </row>
    <row r="39" spans="1:13">
      <c r="A39" s="370">
        <f t="shared" si="1"/>
        <v>24</v>
      </c>
      <c r="B39" s="374" t="s">
        <v>78</v>
      </c>
      <c r="C39" s="974">
        <v>25100000</v>
      </c>
      <c r="D39" s="973">
        <v>0</v>
      </c>
      <c r="E39" s="974">
        <v>19914648.813000001</v>
      </c>
      <c r="F39" s="974">
        <v>0</v>
      </c>
      <c r="G39" s="974">
        <v>0</v>
      </c>
    </row>
    <row r="40" spans="1:13">
      <c r="A40" s="370">
        <f t="shared" si="1"/>
        <v>25</v>
      </c>
      <c r="B40" s="375" t="s">
        <v>568</v>
      </c>
      <c r="C40" s="585">
        <f>+SUM(C27:C39)/13</f>
        <v>19753846.153846152</v>
      </c>
      <c r="D40" s="295">
        <f>+SUM(D27:D39)/13</f>
        <v>0</v>
      </c>
      <c r="E40" s="585">
        <f>+SUM(E27:E39)/13</f>
        <v>13657586.908846153</v>
      </c>
      <c r="F40" s="585">
        <f>+SUM(F27:F39)/13</f>
        <v>0</v>
      </c>
      <c r="G40" s="585">
        <f>+SUM(G27:G39)/13</f>
        <v>0</v>
      </c>
    </row>
    <row r="42" spans="1:13">
      <c r="A42" s="652" t="s">
        <v>525</v>
      </c>
    </row>
    <row r="43" spans="1:13" ht="15" customHeight="1">
      <c r="A43" s="259" t="s">
        <v>62</v>
      </c>
      <c r="B43" s="1002" t="s">
        <v>456</v>
      </c>
      <c r="C43" s="1002"/>
      <c r="D43" s="1002"/>
      <c r="E43" s="1002"/>
      <c r="F43" s="1002"/>
      <c r="G43" s="1002"/>
      <c r="H43" s="1002"/>
      <c r="I43" s="1002"/>
    </row>
    <row r="44" spans="1:13" s="565" customFormat="1">
      <c r="B44" s="1002"/>
      <c r="C44" s="1002"/>
      <c r="D44" s="1002"/>
      <c r="E44" s="1002"/>
      <c r="F44" s="1002"/>
      <c r="G44" s="1002"/>
      <c r="H44" s="1002"/>
      <c r="I44" s="1002"/>
    </row>
    <row r="45" spans="1:13" s="565" customFormat="1">
      <c r="A45" s="259" t="s">
        <v>63</v>
      </c>
      <c r="B45" s="565" t="s">
        <v>376</v>
      </c>
    </row>
    <row r="46" spans="1:13" s="565" customFormat="1">
      <c r="A46" s="259" t="s">
        <v>64</v>
      </c>
      <c r="B46" s="565" t="s">
        <v>459</v>
      </c>
    </row>
    <row r="47" spans="1:13" s="565" customFormat="1" ht="39.75" customHeight="1">
      <c r="A47" s="324" t="s">
        <v>65</v>
      </c>
      <c r="B47" s="994" t="s">
        <v>858</v>
      </c>
      <c r="C47" s="994"/>
      <c r="D47" s="994"/>
      <c r="E47" s="994"/>
      <c r="F47" s="994"/>
      <c r="G47" s="994"/>
      <c r="H47" s="994"/>
      <c r="I47" s="994"/>
      <c r="J47" s="851"/>
      <c r="K47" s="851"/>
      <c r="L47" s="851"/>
      <c r="M47" s="800"/>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3"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A792038-2C03-4E4D-BAF9-FB77CD4373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H-29A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2017-02-17T19:02:56Z</cp:lastPrinted>
  <dcterms:created xsi:type="dcterms:W3CDTF">1970-01-01T04:00:00Z</dcterms:created>
  <dcterms:modified xsi:type="dcterms:W3CDTF">2021-06-29T16:49:57Z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y fmtid="{D5CDD505-2E9C-101B-9397-08002B2CF9AE}" pid="6" name="docIndexRef">
    <vt:lpwstr>25e6ae71-0eba-41b6-8069-ac4cc23449a3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ies>
</file>