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7.bin" ContentType="application/vnd.openxmlformats-officedocument.spreadsheetml.customProperty"/>
  <Override PartName="/xl/customProperty18.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userName="Sarah Howdeshelt" algorithmName="SHA-512" hashValue="VsUnQFXOd4qlgxVOwtb+Uk6JguR9h6Ag5J/08EEZlAsc6ke4QXLklfw52MW46q39gtheVup5O3s7zTenIC350A==" saltValue="jXDHIhI3t9OPyiBZG+Ra5g==" spinCount="100000"/>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3 Formula Rate/Final Filings with Password Protection/December 15/"/>
    </mc:Choice>
  </mc:AlternateContent>
  <xr:revisionPtr revIDLastSave="0" documentId="14_{7C443659-2DD8-4524-A1B4-D18D02E629CE}" xr6:coauthVersionLast="47" xr6:coauthVersionMax="47" xr10:uidLastSave="{00000000-0000-0000-0000-000000000000}"/>
  <workbookProtection workbookAlgorithmName="SHA-512" workbookHashValue="2+/rYZ4KYorHAzSybCs9XqpZ5DDN91aDNq/x39Xmb/xMSobwxHXNESsf1GMjU7xO1wAu2U3BjtkylgWWWn5SiQ==" workbookSaltValue="cRjQaZ813djfmKuzeyhJaQ==" workbookSpinCount="100000" lockStructure="1"/>
  <bookViews>
    <workbookView xWindow="-120" yWindow="-120" windowWidth="29040" windowHeight="15840" tabRatio="900"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8" l="1"/>
  <c r="I39" i="8" s="1"/>
  <c r="I40" i="8" s="1"/>
  <c r="H144" i="1" l="1"/>
  <c r="H142" i="1"/>
  <c r="H127" i="1"/>
  <c r="S85" i="7" l="1"/>
  <c r="D14" i="48"/>
  <c r="A17" i="48"/>
  <c r="F281" i="1"/>
  <c r="F14" i="48" l="1"/>
  <c r="Q203" i="7" l="1"/>
  <c r="H10" i="1" l="1"/>
  <c r="I38" i="8"/>
  <c r="I38" i="49"/>
  <c r="N35" i="51" l="1"/>
  <c r="N33" i="51"/>
  <c r="N31" i="51"/>
  <c r="N29" i="51"/>
  <c r="N27" i="51"/>
  <c r="N25" i="51"/>
  <c r="N23" i="51"/>
  <c r="N21" i="51"/>
  <c r="N19" i="51"/>
  <c r="N17" i="51"/>
  <c r="N15" i="51"/>
  <c r="N13" i="51"/>
  <c r="N11" i="51"/>
  <c r="N9" i="51"/>
  <c r="I297" i="7" l="1"/>
  <c r="I296" i="7"/>
  <c r="H297" i="7"/>
  <c r="H296" i="7"/>
  <c r="H138" i="1" l="1"/>
  <c r="H73" i="1" l="1"/>
  <c r="J296" i="7" l="1"/>
  <c r="K296" i="7" l="1"/>
  <c r="D83" i="14"/>
  <c r="G82" i="14"/>
  <c r="F81" i="14"/>
  <c r="D79" i="14"/>
  <c r="D78" i="14"/>
  <c r="G77" i="14"/>
  <c r="L296" i="7" l="1"/>
  <c r="T230" i="7"/>
  <c r="T229" i="7"/>
  <c r="T222" i="7"/>
  <c r="T48" i="7"/>
  <c r="T49" i="7"/>
  <c r="T50" i="7"/>
  <c r="T47" i="7"/>
  <c r="T51" i="7" l="1"/>
  <c r="M296" i="7"/>
  <c r="N296" i="7" l="1"/>
  <c r="O296" i="7" l="1"/>
  <c r="P296" i="7" l="1"/>
  <c r="D88" i="2"/>
  <c r="G87" i="2"/>
  <c r="F86" i="2"/>
  <c r="D85" i="2"/>
  <c r="D84" i="2"/>
  <c r="E84" i="2" s="1"/>
  <c r="D83" i="2"/>
  <c r="Q296" i="7" l="1"/>
  <c r="D18" i="5"/>
  <c r="R296" i="7" l="1"/>
  <c r="D26" i="5"/>
  <c r="T215" i="7"/>
  <c r="T213" i="7"/>
  <c r="T212" i="7"/>
  <c r="T214" i="7"/>
  <c r="S296" i="7" l="1"/>
  <c r="A26" i="47" l="1"/>
  <c r="I17" i="2"/>
  <c r="S143" i="7" l="1"/>
  <c r="R143" i="7"/>
  <c r="W36" i="40" l="1"/>
  <c r="U36" i="40"/>
  <c r="S36" i="40"/>
  <c r="Q36" i="40"/>
  <c r="O36" i="40"/>
  <c r="M36" i="40"/>
  <c r="I60" i="40"/>
  <c r="I59" i="40"/>
  <c r="I58" i="40"/>
  <c r="I57" i="40"/>
  <c r="I56"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G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G64" i="40" l="1"/>
  <c r="G66" i="40" s="1"/>
  <c r="M58" i="40"/>
  <c r="N61" i="40"/>
  <c r="P61" i="40" s="1"/>
  <c r="D20" i="40"/>
  <c r="E20" i="40" s="1"/>
  <c r="N29" i="40"/>
  <c r="X29" i="40"/>
  <c r="D61" i="40"/>
  <c r="E61" i="40" s="1"/>
  <c r="K64" i="40"/>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Y34" i="40"/>
  <c r="L19" i="40"/>
  <c r="O19" i="40"/>
  <c r="L20" i="40"/>
  <c r="O20" i="40"/>
  <c r="L21" i="40"/>
  <c r="O21" i="40"/>
  <c r="T29" i="40"/>
  <c r="V27" i="40"/>
  <c r="M57" i="40"/>
  <c r="L57" i="40"/>
  <c r="N57" i="40" s="1"/>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Y33" i="40"/>
  <c r="Z33" i="40" s="1"/>
  <c r="L59" i="40"/>
  <c r="E36" i="40"/>
  <c r="L58" i="40"/>
  <c r="N58" i="40" s="1"/>
  <c r="M59" i="40"/>
  <c r="D36" i="40"/>
  <c r="D53" i="40"/>
  <c r="W61" i="40" l="1"/>
  <c r="Q61" i="40"/>
  <c r="R61" i="40" s="1"/>
  <c r="S61" i="40"/>
  <c r="E62" i="40"/>
  <c r="D62" i="40"/>
  <c r="U61" i="40"/>
  <c r="Y61" i="40"/>
  <c r="Q52" i="40"/>
  <c r="Q53" i="40" s="1"/>
  <c r="N18" i="40"/>
  <c r="P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P16" i="40"/>
  <c r="M14" i="40"/>
  <c r="L14" i="40"/>
  <c r="O14" i="40"/>
  <c r="N19" i="40"/>
  <c r="P19" i="40" s="1"/>
  <c r="I53" i="40"/>
  <c r="L51" i="40"/>
  <c r="G24" i="40"/>
  <c r="E24" i="40"/>
  <c r="S60" i="40"/>
  <c r="S58" i="40"/>
  <c r="G27" i="40"/>
  <c r="N59" i="40"/>
  <c r="P59" i="40" s="1"/>
  <c r="L56" i="40"/>
  <c r="I62" i="40"/>
  <c r="O56" i="40"/>
  <c r="O62" i="40" s="1"/>
  <c r="O64" i="40" s="1"/>
  <c r="M56" i="40"/>
  <c r="M62" i="40" s="1"/>
  <c r="M64" i="40" s="1"/>
  <c r="N15" i="40"/>
  <c r="P15" i="40" s="1"/>
  <c r="P57" i="40"/>
  <c r="Q18" i="40"/>
  <c r="R18" i="40" s="1"/>
  <c r="Y18" i="40"/>
  <c r="S18" i="40"/>
  <c r="U18" i="40"/>
  <c r="W18" i="40"/>
  <c r="N17" i="40"/>
  <c r="P17" i="40" s="1"/>
  <c r="N20" i="40"/>
  <c r="P20" i="40" s="1"/>
  <c r="R52" i="40" l="1"/>
  <c r="T52" i="40" s="1"/>
  <c r="V52" i="40" s="1"/>
  <c r="X52" i="40" s="1"/>
  <c r="Z52" i="40" s="1"/>
  <c r="T23" i="40"/>
  <c r="V23" i="40" s="1"/>
  <c r="X23" i="40" s="1"/>
  <c r="Z23" i="40" s="1"/>
  <c r="W21" i="40"/>
  <c r="V61" i="40"/>
  <c r="X61" i="40" s="1"/>
  <c r="Z61" i="40" s="1"/>
  <c r="W60" i="40"/>
  <c r="I64" i="40"/>
  <c r="I66" i="40" s="1"/>
  <c r="Q13" i="40"/>
  <c r="R13" i="40" s="1"/>
  <c r="U21" i="40"/>
  <c r="Y13" i="40"/>
  <c r="Y60" i="40"/>
  <c r="S13" i="40"/>
  <c r="N32" i="40"/>
  <c r="L36" i="40"/>
  <c r="S21" i="40"/>
  <c r="Y58" i="40"/>
  <c r="Q21" i="40"/>
  <c r="R21" i="40" s="1"/>
  <c r="T21" i="40" s="1"/>
  <c r="V21" i="40" s="1"/>
  <c r="X21" i="40" s="1"/>
  <c r="Z21" i="40" s="1"/>
  <c r="G29" i="40"/>
  <c r="I27" i="40"/>
  <c r="I29" i="40" s="1"/>
  <c r="W58" i="40"/>
  <c r="Q60" i="40"/>
  <c r="R60" i="40" s="1"/>
  <c r="T60" i="40" s="1"/>
  <c r="V60" i="40" s="1"/>
  <c r="X60" i="40" s="1"/>
  <c r="Z60" i="40" s="1"/>
  <c r="Q58" i="40"/>
  <c r="R58" i="40" s="1"/>
  <c r="T58" i="40" s="1"/>
  <c r="V58" i="40" s="1"/>
  <c r="N14" i="40"/>
  <c r="P14" i="40" s="1"/>
  <c r="Q14" i="40" s="1"/>
  <c r="R14" i="40" s="1"/>
  <c r="S22" i="40"/>
  <c r="T13" i="40"/>
  <c r="V13" i="40" s="1"/>
  <c r="X13" i="40" s="1"/>
  <c r="Z13" i="40" s="1"/>
  <c r="W22" i="40"/>
  <c r="Q22" i="40"/>
  <c r="R22" i="40" s="1"/>
  <c r="E38" i="40"/>
  <c r="Y22" i="40"/>
  <c r="T18" i="40"/>
  <c r="V18" i="40" s="1"/>
  <c r="X18" i="40" s="1"/>
  <c r="Z18" i="40" s="1"/>
  <c r="N51" i="40"/>
  <c r="L53" i="40"/>
  <c r="W59" i="40"/>
  <c r="S59" i="40"/>
  <c r="Y59" i="40"/>
  <c r="U59" i="40"/>
  <c r="Q59" i="40"/>
  <c r="R59" i="40" s="1"/>
  <c r="I24" i="40"/>
  <c r="M12" i="40"/>
  <c r="M24" i="40" s="1"/>
  <c r="L12" i="40"/>
  <c r="O12" i="40"/>
  <c r="O24" i="40" s="1"/>
  <c r="Q17" i="40"/>
  <c r="R17" i="40" s="1"/>
  <c r="T17" i="40" s="1"/>
  <c r="U17" i="40"/>
  <c r="Y17" i="40"/>
  <c r="S17" i="40"/>
  <c r="W17" i="40"/>
  <c r="Y57" i="40"/>
  <c r="U57" i="40"/>
  <c r="Q57" i="40"/>
  <c r="R57" i="40" s="1"/>
  <c r="T57" i="40" s="1"/>
  <c r="W57" i="40"/>
  <c r="S57" i="40"/>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X58" i="40" l="1"/>
  <c r="Z58" i="40" s="1"/>
  <c r="T22" i="40"/>
  <c r="V22" i="40" s="1"/>
  <c r="X22" i="40" s="1"/>
  <c r="Z22" i="40" s="1"/>
  <c r="U14" i="40"/>
  <c r="T16" i="40"/>
  <c r="L27" i="40"/>
  <c r="L29" i="40" s="1"/>
  <c r="W14" i="40"/>
  <c r="P32" i="40"/>
  <c r="N36" i="40"/>
  <c r="S14" i="40"/>
  <c r="Y14" i="40"/>
  <c r="V57" i="40"/>
  <c r="X57" i="40" s="1"/>
  <c r="Z57" i="40" s="1"/>
  <c r="V17" i="40"/>
  <c r="T19" i="40"/>
  <c r="V19" i="40" s="1"/>
  <c r="X19" i="40" s="1"/>
  <c r="Z19" i="40" s="1"/>
  <c r="T15" i="40"/>
  <c r="V15" i="40" s="1"/>
  <c r="V16" i="40"/>
  <c r="X16" i="40" s="1"/>
  <c r="Z16" i="40" s="1"/>
  <c r="T59" i="40"/>
  <c r="V59" i="40" s="1"/>
  <c r="X59" i="40" s="1"/>
  <c r="Z59" i="40" s="1"/>
  <c r="T14" i="40"/>
  <c r="X17" i="40"/>
  <c r="Z17" i="40" s="1"/>
  <c r="O38" i="40"/>
  <c r="O70" i="40" s="1"/>
  <c r="P56" i="40"/>
  <c r="N62" i="40"/>
  <c r="T20" i="40"/>
  <c r="V20" i="40" s="1"/>
  <c r="X20" i="40" s="1"/>
  <c r="Z20" i="40" s="1"/>
  <c r="N12" i="40"/>
  <c r="L24" i="40"/>
  <c r="G40" i="40"/>
  <c r="G68" i="40" s="1"/>
  <c r="X15" i="40"/>
  <c r="Z15"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R56" i="40"/>
  <c r="R62" i="40" s="1"/>
  <c r="T32" i="40"/>
  <c r="R36" i="40"/>
  <c r="L40" i="40"/>
  <c r="L68" i="40" s="1"/>
  <c r="P66" i="40"/>
  <c r="N66" i="40"/>
  <c r="T56" i="40"/>
  <c r="R53" i="40"/>
  <c r="T51" i="40"/>
  <c r="Y12" i="40"/>
  <c r="Y24" i="40" s="1"/>
  <c r="U12" i="40"/>
  <c r="U24" i="40" s="1"/>
  <c r="Q12" i="40"/>
  <c r="Q24" i="40" s="1"/>
  <c r="P24" i="40"/>
  <c r="W12" i="40"/>
  <c r="W24" i="40" s="1"/>
  <c r="S12" i="40"/>
  <c r="S24" i="40" s="1"/>
  <c r="N38" i="40"/>
  <c r="R64" i="40" l="1"/>
  <c r="N40" i="40"/>
  <c r="V32" i="40"/>
  <c r="T36" i="40"/>
  <c r="N68" i="40"/>
  <c r="Q38" i="40"/>
  <c r="Q70" i="40" s="1"/>
  <c r="V51" i="40"/>
  <c r="T53" i="40"/>
  <c r="U38" i="40"/>
  <c r="U70" i="40" s="1"/>
  <c r="S38" i="40"/>
  <c r="S70" i="40" s="1"/>
  <c r="R203" i="7" s="1"/>
  <c r="Y38" i="40"/>
  <c r="Y70" i="40" s="1"/>
  <c r="W38" i="40"/>
  <c r="W70" i="40" s="1"/>
  <c r="P38" i="40"/>
  <c r="P40" i="40" s="1"/>
  <c r="P68" i="40" s="1"/>
  <c r="R12" i="40"/>
  <c r="V56" i="40"/>
  <c r="T62" i="40"/>
  <c r="H234" i="1" l="1"/>
  <c r="R66" i="40"/>
  <c r="X32" i="40"/>
  <c r="V36" i="40"/>
  <c r="T64" i="40"/>
  <c r="S203" i="7" s="1"/>
  <c r="X56" i="40"/>
  <c r="V62" i="40"/>
  <c r="R24" i="40"/>
  <c r="T12" i="40"/>
  <c r="V53" i="40"/>
  <c r="X51" i="40"/>
  <c r="X36" i="40" l="1"/>
  <c r="Z32" i="40"/>
  <c r="Z36" i="40" s="1"/>
  <c r="T66" i="40"/>
  <c r="V64" i="40"/>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S84" i="7" l="1"/>
  <c r="T40" i="40"/>
  <c r="T68" i="40" s="1"/>
  <c r="X66" i="40"/>
  <c r="Z66" i="40"/>
  <c r="Z12" i="40"/>
  <c r="Z24" i="40" s="1"/>
  <c r="X24" i="40"/>
  <c r="V29" i="40"/>
  <c r="V38" i="40" s="1"/>
  <c r="V40" i="40" s="1"/>
  <c r="V68" i="40" s="1"/>
  <c r="D32" i="2"/>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F20" i="45"/>
  <c r="U18" i="45"/>
  <c r="U16" i="45"/>
  <c r="U12" i="45"/>
  <c r="H94" i="1"/>
  <c r="T61" i="7"/>
  <c r="H84" i="1" s="1"/>
  <c r="T60" i="7"/>
  <c r="H85" i="1" s="1"/>
  <c r="T59" i="7"/>
  <c r="H81" i="1" s="1"/>
  <c r="H76" i="1" l="1"/>
  <c r="U20" i="45"/>
  <c r="S20" i="45"/>
  <c r="F94" i="43"/>
  <c r="D94" i="43"/>
  <c r="C84" i="14"/>
  <c r="H128" i="1"/>
  <c r="H99" i="1"/>
  <c r="E179" i="1"/>
  <c r="E124" i="1"/>
  <c r="E99" i="1"/>
  <c r="E253" i="1"/>
  <c r="E33" i="1"/>
  <c r="D40" i="43" l="1"/>
  <c r="I18" i="43"/>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D38" i="2"/>
  <c r="E106" i="1"/>
  <c r="E108" i="1"/>
  <c r="E110" i="1"/>
  <c r="E104" i="1"/>
  <c r="E98" i="1"/>
  <c r="E94" i="1"/>
  <c r="E76" i="1"/>
  <c r="E26" i="1"/>
  <c r="E23" i="1"/>
  <c r="H219" i="1" l="1"/>
  <c r="H220" i="1"/>
  <c r="A23" i="41" l="1"/>
  <c r="A24" i="41" s="1"/>
  <c r="A25" i="41" s="1"/>
  <c r="A26" i="41" s="1"/>
  <c r="A27" i="41" s="1"/>
  <c r="A28" i="41" s="1"/>
  <c r="A29" i="41" s="1"/>
  <c r="A30" i="41" s="1"/>
  <c r="A31" i="41" s="1"/>
  <c r="A32" i="41" s="1"/>
  <c r="A33" i="41" s="1"/>
  <c r="G44" i="2" l="1"/>
  <c r="T168" i="7" l="1"/>
  <c r="E234" i="1"/>
  <c r="E153" i="1"/>
  <c r="E152" i="1"/>
  <c r="E150" i="1"/>
  <c r="E149" i="1"/>
  <c r="E135" i="1"/>
  <c r="E134" i="1"/>
  <c r="E128" i="1"/>
  <c r="E127" i="1"/>
  <c r="E126" i="1"/>
  <c r="G94" i="43"/>
  <c r="E94" i="43"/>
  <c r="C94" i="43"/>
  <c r="E84" i="14"/>
  <c r="G39" i="14"/>
  <c r="E39" i="14"/>
  <c r="D39" i="14"/>
  <c r="E44" i="2"/>
  <c r="F278" i="1"/>
  <c r="H174" i="1"/>
  <c r="F162" i="1"/>
  <c r="T40" i="7" l="1"/>
  <c r="A14" i="45" l="1"/>
  <c r="A16" i="45" s="1"/>
  <c r="A18" i="45" s="1"/>
  <c r="A20" i="45" s="1"/>
  <c r="D40" i="2" l="1"/>
  <c r="D36" i="2" l="1"/>
  <c r="J16" i="50" l="1"/>
  <c r="S20" i="41"/>
  <c r="S21" i="41"/>
  <c r="S22" i="41"/>
  <c r="S23" i="41"/>
  <c r="S24" i="41"/>
  <c r="S25" i="41"/>
  <c r="S26" i="41"/>
  <c r="S27" i="41"/>
  <c r="S28" i="41"/>
  <c r="S29" i="41"/>
  <c r="S30" i="41"/>
  <c r="S31" i="41"/>
  <c r="S32" i="41"/>
  <c r="S33" i="41"/>
  <c r="D42" i="2" l="1"/>
  <c r="D41" i="2"/>
  <c r="F39" i="2"/>
  <c r="G37" i="2"/>
  <c r="G35" i="2"/>
  <c r="F34" i="2"/>
  <c r="G33" i="2"/>
  <c r="G31" i="2"/>
  <c r="T143" i="7"/>
  <c r="F84" i="14" l="1"/>
  <c r="D84" i="14"/>
  <c r="G84" i="14"/>
  <c r="E25" i="4"/>
  <c r="A10" i="50" l="1"/>
  <c r="J20" i="50"/>
  <c r="A12" i="50" l="1"/>
  <c r="A14" i="50" s="1"/>
  <c r="A16" i="50" s="1"/>
  <c r="F175" i="7"/>
  <c r="E282" i="1"/>
  <c r="L16" i="50" l="1"/>
  <c r="A18" i="50"/>
  <c r="A20" i="50" s="1"/>
  <c r="L20" i="50" l="1"/>
  <c r="F77" i="1" l="1"/>
  <c r="H135" i="1" l="1"/>
  <c r="T25" i="7" l="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J38" i="49"/>
  <c r="B3" i="49"/>
  <c r="B2" i="49"/>
  <c r="E281" i="1"/>
  <c r="J40" i="49" l="1"/>
  <c r="I40" i="49"/>
  <c r="E21" i="47" s="1"/>
  <c r="F20" i="48"/>
  <c r="F24" i="48" s="1"/>
  <c r="A14" i="48"/>
  <c r="K40" i="49" l="1"/>
  <c r="I41" i="49" s="1"/>
  <c r="F30" i="48"/>
  <c r="H279" i="1" s="1"/>
  <c r="A18" i="48" l="1"/>
  <c r="A20" i="48" s="1"/>
  <c r="Y16" i="47"/>
  <c r="W16" i="47"/>
  <c r="U16" i="47"/>
  <c r="S16" i="47"/>
  <c r="Q16" i="47"/>
  <c r="O16" i="47"/>
  <c r="M16" i="47"/>
  <c r="K16" i="47"/>
  <c r="I16" i="47"/>
  <c r="C20" i="48" l="1"/>
  <c r="A22" i="48"/>
  <c r="A24" i="48" s="1"/>
  <c r="A26" i="48" s="1"/>
  <c r="A27" i="48" s="1"/>
  <c r="A28" i="48" s="1"/>
  <c r="A30" i="48" s="1"/>
  <c r="F279" i="1" s="1"/>
  <c r="C24" i="48"/>
  <c r="C22"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I46" i="43"/>
  <c r="I39" i="14"/>
  <c r="F221" i="1"/>
  <c r="D36" i="5" l="1"/>
  <c r="D37" i="5" s="1"/>
  <c r="D33" i="5" s="1"/>
  <c r="T141" i="7" l="1"/>
  <c r="H182" i="1" s="1"/>
  <c r="E181" i="1"/>
  <c r="E182" i="1"/>
  <c r="E278"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G87" i="14" s="1"/>
  <c r="E85" i="14"/>
  <c r="D85" i="14"/>
  <c r="C85" i="14"/>
  <c r="F85" i="14"/>
  <c r="F86" i="14"/>
  <c r="E40" i="14"/>
  <c r="F39"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C87" i="14"/>
  <c r="F40" i="14"/>
  <c r="C39" i="14"/>
  <c r="C40" i="14" s="1"/>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F62" i="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T203" i="7" l="1"/>
  <c r="H65" i="1" s="1"/>
  <c r="S16" i="41"/>
  <c r="S17" i="41"/>
  <c r="S19" i="41"/>
  <c r="S18" i="41"/>
  <c r="S15" i="41"/>
  <c r="S14" i="41"/>
  <c r="S13" i="41"/>
  <c r="A11" i="41"/>
  <c r="A12" i="41" s="1"/>
  <c r="A13" i="41" s="1"/>
  <c r="A14" i="41" s="1"/>
  <c r="A15" i="41" s="1"/>
  <c r="A16" i="41" s="1"/>
  <c r="A17" i="41" s="1"/>
  <c r="A18" i="41" s="1"/>
  <c r="A19" i="41" l="1"/>
  <c r="A20" i="41" s="1"/>
  <c r="A21" i="41" s="1"/>
  <c r="A22" i="41" s="1"/>
  <c r="A35" i="41" s="1"/>
  <c r="F68" i="1" s="1"/>
  <c r="F2" i="41"/>
  <c r="F1" i="41"/>
  <c r="B3" i="8"/>
  <c r="B2" i="8"/>
  <c r="I3" i="40"/>
  <c r="B2" i="51" s="1"/>
  <c r="I2" i="40"/>
  <c r="B1" i="51" s="1"/>
  <c r="A2" i="7"/>
  <c r="B2" i="14"/>
  <c r="B52" i="14" s="1"/>
  <c r="B71" i="14" s="1"/>
  <c r="B55" i="2"/>
  <c r="B76" i="2" s="1"/>
  <c r="B1" i="45" l="1"/>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A13" i="7" l="1"/>
  <c r="A14" i="7" s="1"/>
  <c r="A17" i="7" s="1"/>
  <c r="F33" i="1" s="1"/>
  <c r="H12" i="1"/>
  <c r="H13" i="1"/>
  <c r="A18" i="7" l="1"/>
  <c r="F35" i="1" s="1"/>
  <c r="T20" i="7"/>
  <c r="T10" i="7"/>
  <c r="T13" i="7"/>
  <c r="T14" i="7"/>
  <c r="A19" i="7" l="1"/>
  <c r="F36" i="1" s="1"/>
  <c r="E43" i="2"/>
  <c r="E45" i="2" s="1"/>
  <c r="D9" i="2" s="1"/>
  <c r="D44" i="2"/>
  <c r="A20" i="7" l="1"/>
  <c r="F37" i="1" s="1"/>
  <c r="E89" i="2"/>
  <c r="E92" i="2" s="1"/>
  <c r="A23" i="7" l="1"/>
  <c r="F46" i="1" s="1"/>
  <c r="D11" i="2"/>
  <c r="A24" i="7" l="1"/>
  <c r="F48" i="1" s="1"/>
  <c r="G43" i="2"/>
  <c r="A25" i="7" l="1"/>
  <c r="F50" i="1" s="1"/>
  <c r="H257" i="1"/>
  <c r="H124" i="1"/>
  <c r="H37" i="1"/>
  <c r="H50" i="1"/>
  <c r="H150" i="1"/>
  <c r="F89" i="2"/>
  <c r="F92" i="2" s="1"/>
  <c r="E11" i="2" s="1"/>
  <c r="H194" i="7"/>
  <c r="T139" i="7"/>
  <c r="H180" i="1" s="1"/>
  <c r="T142" i="7"/>
  <c r="H183" i="1" s="1"/>
  <c r="H190" i="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199" i="1"/>
  <c r="H216" i="1"/>
  <c r="A29" i="4"/>
  <c r="H195" i="7"/>
  <c r="K195" i="7" s="1"/>
  <c r="H71" i="1" s="1"/>
  <c r="K194" i="7"/>
  <c r="A20" i="1"/>
  <c r="A21" i="1" s="1"/>
  <c r="A34" i="4"/>
  <c r="A35" i="4" s="1"/>
  <c r="A36" i="4" s="1"/>
  <c r="A37" i="4" s="1"/>
  <c r="A38" i="4" s="1"/>
  <c r="A39" i="4" s="1"/>
  <c r="A40" i="4" s="1"/>
  <c r="A41" i="4" s="1"/>
  <c r="A43" i="4" s="1"/>
  <c r="A45" i="4" s="1"/>
  <c r="A47" i="4" s="1"/>
  <c r="A13" i="1"/>
  <c r="F14" i="1" s="1"/>
  <c r="H129" i="1"/>
  <c r="H136" i="1"/>
  <c r="H14" i="1"/>
  <c r="C89" i="2"/>
  <c r="C92" i="2" s="1"/>
  <c r="H229" i="1" l="1"/>
  <c r="I17" i="46"/>
  <c r="H230" i="1"/>
  <c r="M17" i="46"/>
  <c r="Y17" i="46"/>
  <c r="Q17" i="46"/>
  <c r="H235" i="1"/>
  <c r="H236" i="1" s="1"/>
  <c r="U17" i="46"/>
  <c r="G17" i="46"/>
  <c r="H224" i="1"/>
  <c r="S17" i="46"/>
  <c r="W17" i="46"/>
  <c r="K17" i="46"/>
  <c r="O17" i="46"/>
  <c r="F21" i="1"/>
  <c r="H184" i="1"/>
  <c r="A14" i="1"/>
  <c r="F16" i="1" s="1"/>
  <c r="H16" i="1"/>
  <c r="H215" i="1"/>
  <c r="H231" i="1" l="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102" i="1" l="1"/>
  <c r="H222" i="1"/>
  <c r="H78" i="1"/>
  <c r="R24" i="42"/>
  <c r="F18" i="2" s="1"/>
  <c r="F19" i="43"/>
  <c r="F20" i="43" s="1"/>
  <c r="F16" i="2"/>
  <c r="H131" i="1"/>
  <c r="H83" i="1"/>
  <c r="H223" i="1" l="1"/>
  <c r="H86"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7" i="1" s="1"/>
  <c r="F144" i="1"/>
  <c r="F89" i="1" l="1"/>
  <c r="A149" i="1"/>
  <c r="A150" i="1" s="1"/>
  <c r="A152" i="1" s="1"/>
  <c r="A153" i="1" s="1"/>
  <c r="A154" i="1" s="1"/>
  <c r="A155" i="1" s="1"/>
  <c r="A156" i="1" s="1"/>
  <c r="F158" i="1" s="1"/>
  <c r="F156" i="1" l="1"/>
  <c r="F154" i="1"/>
  <c r="A158" i="1"/>
  <c r="A162" i="1" s="1"/>
  <c r="F248" i="1" l="1"/>
  <c r="A164" i="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3" i="1" l="1"/>
  <c r="F287" i="1"/>
  <c r="F289" i="1"/>
  <c r="A289" i="1"/>
  <c r="A290" i="1" l="1"/>
  <c r="A291" i="1" s="1"/>
  <c r="A292" i="1" s="1"/>
  <c r="A293" i="1" s="1"/>
  <c r="F291" i="1"/>
  <c r="F290" i="1"/>
  <c r="F43" i="2"/>
  <c r="F292" i="1" l="1"/>
  <c r="F293" i="1"/>
  <c r="F44" i="2"/>
  <c r="F45" i="2" l="1"/>
  <c r="E9" i="2" s="1"/>
  <c r="E12" i="2" l="1"/>
  <c r="H278" i="1" l="1"/>
  <c r="J38" i="8"/>
  <c r="J40" i="8" s="1"/>
  <c r="K40" i="8" l="1"/>
  <c r="I41" i="8" s="1"/>
  <c r="C64" i="2"/>
  <c r="D43" i="2" l="1"/>
  <c r="D45" i="2" s="1"/>
  <c r="C43" i="2"/>
  <c r="A23" i="5"/>
  <c r="A24" i="5" s="1"/>
  <c r="A25"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A195" i="7" s="1"/>
  <c r="F71" i="1" s="1"/>
  <c r="E194" i="7"/>
  <c r="E192" i="7"/>
  <c r="A203" i="7" l="1"/>
  <c r="F234"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64" i="2" l="1"/>
  <c r="D10" i="2" s="1"/>
  <c r="D12" i="2" s="1"/>
  <c r="D15" i="2" s="1"/>
  <c r="D34" i="5" l="1"/>
  <c r="H264" i="1" s="1"/>
  <c r="J12" i="42" l="1"/>
  <c r="J24" i="42" s="1"/>
  <c r="I24" i="42"/>
  <c r="D18" i="2" l="1"/>
  <c r="C61" i="14" l="1"/>
  <c r="E61" i="14"/>
  <c r="D10" i="14" s="1"/>
  <c r="D12" i="14" s="1"/>
  <c r="D15" i="14" s="1"/>
  <c r="D19" i="43" l="1"/>
  <c r="D16" i="2"/>
  <c r="D17" i="2" l="1"/>
  <c r="D20" i="43"/>
  <c r="D19" i="2" l="1"/>
  <c r="T137" i="7" l="1"/>
  <c r="H178" i="1" s="1"/>
  <c r="H189" i="1" l="1"/>
  <c r="S70" i="7" l="1"/>
  <c r="H120" i="1" s="1"/>
  <c r="T117" i="7" l="1"/>
  <c r="E12" i="4" s="1"/>
  <c r="E15" i="4" s="1"/>
  <c r="G15" i="4" s="1"/>
  <c r="G12" i="4" l="1"/>
  <c r="S10" i="41" l="1"/>
  <c r="S132" i="7" l="1"/>
  <c r="H167" i="1" s="1"/>
  <c r="T140" i="7"/>
  <c r="H181" i="1" s="1"/>
  <c r="F35" i="41" l="1"/>
  <c r="G35" i="41" l="1"/>
  <c r="H35" i="41" l="1"/>
  <c r="T298" i="7"/>
  <c r="G16" i="47" s="1"/>
  <c r="I35" i="41" l="1"/>
  <c r="J297" i="7"/>
  <c r="K297" i="7" s="1"/>
  <c r="L297" i="7" s="1"/>
  <c r="M297" i="7" s="1"/>
  <c r="N297" i="7" s="1"/>
  <c r="O297" i="7" s="1"/>
  <c r="P297" i="7" s="1"/>
  <c r="Q297" i="7" s="1"/>
  <c r="R297" i="7" s="1"/>
  <c r="S297" i="7" s="1"/>
  <c r="K35" i="41" l="1"/>
  <c r="T297" i="7"/>
  <c r="G11" i="47" s="1"/>
  <c r="G12" i="47" s="1"/>
  <c r="J35" i="41"/>
  <c r="L35" i="41" l="1"/>
  <c r="M35" i="41" l="1"/>
  <c r="N35" i="41" l="1"/>
  <c r="O35" i="41" l="1"/>
  <c r="P35" i="41" l="1"/>
  <c r="S12" i="41"/>
  <c r="Q35" i="41"/>
  <c r="R35" i="41" l="1"/>
  <c r="S11" i="41"/>
  <c r="S35" i="41" s="1"/>
  <c r="H68" i="1" s="1"/>
  <c r="T135" i="7" l="1"/>
  <c r="H173" i="1" s="1"/>
  <c r="T134" i="7"/>
  <c r="H172" i="1" s="1"/>
  <c r="E24" i="4"/>
  <c r="E27" i="4" s="1"/>
  <c r="G27" i="4" l="1"/>
  <c r="E29" i="4"/>
  <c r="E43" i="4" s="1"/>
  <c r="E47" i="4" s="1"/>
  <c r="H176" i="1"/>
  <c r="T138" i="7"/>
  <c r="H179" i="1" s="1"/>
  <c r="H187" i="1" l="1"/>
  <c r="H191" i="1"/>
  <c r="H198" i="1" l="1"/>
  <c r="H192" i="1"/>
  <c r="H196" i="1" s="1"/>
  <c r="M16" i="46" l="1"/>
  <c r="M18" i="46" s="1"/>
  <c r="O16" i="46"/>
  <c r="O18" i="46" s="1"/>
  <c r="K16" i="46"/>
  <c r="K18" i="46" s="1"/>
  <c r="Y16" i="46"/>
  <c r="Y18" i="46" s="1"/>
  <c r="W16" i="46"/>
  <c r="W18" i="46" s="1"/>
  <c r="Q16" i="46"/>
  <c r="Q18" i="46" s="1"/>
  <c r="S16" i="46"/>
  <c r="S18" i="46" s="1"/>
  <c r="G16" i="46"/>
  <c r="G18" i="46" s="1"/>
  <c r="U16" i="46"/>
  <c r="U18" i="46" s="1"/>
  <c r="H204" i="1"/>
  <c r="I16" i="46"/>
  <c r="I18" i="46" s="1"/>
  <c r="H194" i="1"/>
  <c r="H195" i="1"/>
  <c r="E18" i="46" l="1"/>
  <c r="H280" i="1" s="1"/>
  <c r="H202" i="1"/>
  <c r="H203" i="1"/>
  <c r="H205" i="1" l="1"/>
  <c r="T19" i="7" l="1"/>
  <c r="H36" i="1" s="1"/>
  <c r="H153" i="1" l="1"/>
  <c r="T12" i="7" l="1"/>
  <c r="H49" i="1" s="1"/>
  <c r="H119" i="1" l="1"/>
  <c r="H121" i="1" l="1"/>
  <c r="T18" i="7" l="1"/>
  <c r="H35" i="1" s="1"/>
  <c r="H38" i="1" l="1"/>
  <c r="H152" i="1"/>
  <c r="H40" i="1" l="1"/>
  <c r="H154" i="1"/>
  <c r="T24" i="7"/>
  <c r="H48" i="1" s="1"/>
  <c r="H51" i="1" l="1"/>
  <c r="H156" i="1"/>
  <c r="H53" i="1" l="1"/>
  <c r="T17" i="7" l="1"/>
  <c r="H33" i="1" s="1"/>
  <c r="T9" i="7"/>
  <c r="H19" i="1" s="1"/>
  <c r="H149" i="1" l="1"/>
  <c r="H256" i="1"/>
  <c r="H42" i="1"/>
  <c r="T23" i="7" l="1"/>
  <c r="H46" i="1" s="1"/>
  <c r="T11" i="7"/>
  <c r="H20" i="1" s="1"/>
  <c r="H158" i="1"/>
  <c r="H23" i="1"/>
  <c r="H258" i="1"/>
  <c r="H248" i="1" l="1"/>
  <c r="H259" i="1"/>
  <c r="H21" i="1"/>
  <c r="H24" i="1"/>
  <c r="H55" i="1"/>
  <c r="H272" i="1"/>
  <c r="W10" i="45" l="1"/>
  <c r="H57" i="1"/>
  <c r="H26" i="1" l="1"/>
  <c r="H243" i="1"/>
  <c r="H27" i="1" l="1"/>
  <c r="L11" i="42" l="1"/>
  <c r="M11" i="42" s="1"/>
  <c r="N11" i="42" s="1"/>
  <c r="L13" i="42"/>
  <c r="M13" i="42" s="1"/>
  <c r="N13" i="42" s="1"/>
  <c r="L19" i="42"/>
  <c r="M19" i="42" s="1"/>
  <c r="N19" i="42" s="1"/>
  <c r="H95" i="1"/>
  <c r="L20" i="42"/>
  <c r="M20" i="42" s="1"/>
  <c r="N20" i="42" s="1"/>
  <c r="F36" i="44"/>
  <c r="G36" i="44" s="1"/>
  <c r="N36" i="44" s="1"/>
  <c r="L18" i="44" s="1"/>
  <c r="L17" i="42"/>
  <c r="M17" i="42" s="1"/>
  <c r="N17" i="42" s="1"/>
  <c r="L14" i="42"/>
  <c r="M14" i="42" s="1"/>
  <c r="N14" i="42" s="1"/>
  <c r="F20" i="4"/>
  <c r="G20" i="4" s="1"/>
  <c r="G29" i="4" s="1"/>
  <c r="H162" i="1" s="1"/>
  <c r="E14" i="14"/>
  <c r="E15" i="14" s="1"/>
  <c r="E17" i="43"/>
  <c r="E18" i="43" s="1"/>
  <c r="F35" i="44"/>
  <c r="G35" i="44" s="1"/>
  <c r="N35" i="44" s="1"/>
  <c r="L17" i="44" s="1"/>
  <c r="F37" i="44"/>
  <c r="G37" i="44" s="1"/>
  <c r="N37" i="44" s="1"/>
  <c r="L19" i="44" s="1"/>
  <c r="F39" i="44"/>
  <c r="G39" i="44" s="1"/>
  <c r="N39" i="44" s="1"/>
  <c r="L21" i="44" s="1"/>
  <c r="F44" i="44"/>
  <c r="G44" i="44" s="1"/>
  <c r="N44" i="44" s="1"/>
  <c r="L26" i="44" s="1"/>
  <c r="F42" i="44"/>
  <c r="G42" i="44" s="1"/>
  <c r="N42" i="44" s="1"/>
  <c r="L24" i="44" s="1"/>
  <c r="L12" i="42"/>
  <c r="M12" i="42" s="1"/>
  <c r="N12" i="42" s="1"/>
  <c r="F40" i="44"/>
  <c r="G40" i="44" s="1"/>
  <c r="N40" i="44" s="1"/>
  <c r="L22" i="44" s="1"/>
  <c r="L21" i="42"/>
  <c r="M21" i="42" s="1"/>
  <c r="N21" i="42" s="1"/>
  <c r="E14" i="2"/>
  <c r="E15" i="2" s="1"/>
  <c r="L18" i="42"/>
  <c r="M18" i="42" s="1"/>
  <c r="N18" i="42" s="1"/>
  <c r="F41" i="44"/>
  <c r="G41" i="44" s="1"/>
  <c r="N41" i="44" s="1"/>
  <c r="L23" i="44" s="1"/>
  <c r="F45" i="44"/>
  <c r="G45" i="44" s="1"/>
  <c r="N45" i="44" s="1"/>
  <c r="L27" i="44" s="1"/>
  <c r="L23" i="42"/>
  <c r="M23" i="42" s="1"/>
  <c r="N23" i="42" s="1"/>
  <c r="L22" i="42"/>
  <c r="M22" i="42" s="1"/>
  <c r="N22" i="42" s="1"/>
  <c r="L16" i="42"/>
  <c r="M16" i="42" s="1"/>
  <c r="N16" i="42" s="1"/>
  <c r="L15" i="42"/>
  <c r="M15" i="42" s="1"/>
  <c r="N15" i="42" s="1"/>
  <c r="F43" i="44"/>
  <c r="G43" i="44" s="1"/>
  <c r="N43" i="44" s="1"/>
  <c r="L25" i="44" s="1"/>
  <c r="F38" i="44"/>
  <c r="G38" i="44" s="1"/>
  <c r="N38" i="44" s="1"/>
  <c r="L20" i="44" s="1"/>
  <c r="H139" i="1"/>
  <c r="F34" i="44"/>
  <c r="G34" i="44" s="1"/>
  <c r="N34" i="44" s="1"/>
  <c r="L16" i="44" s="1"/>
  <c r="M20" i="44" l="1"/>
  <c r="N20" i="44" s="1"/>
  <c r="P20" i="44"/>
  <c r="O20" i="44"/>
  <c r="M18" i="44"/>
  <c r="N18" i="44" s="1"/>
  <c r="P18" i="44"/>
  <c r="O18" i="44"/>
  <c r="H20" i="42"/>
  <c r="S20" i="42"/>
  <c r="H18" i="43"/>
  <c r="M22" i="44"/>
  <c r="O22" i="44" s="1"/>
  <c r="P22" i="44"/>
  <c r="N22" i="44"/>
  <c r="E16" i="2"/>
  <c r="H16" i="2" s="1"/>
  <c r="H15" i="14"/>
  <c r="E19" i="43"/>
  <c r="H19" i="43" s="1"/>
  <c r="H96" i="1"/>
  <c r="H18" i="42"/>
  <c r="S18" i="42"/>
  <c r="M17" i="44"/>
  <c r="O17" i="44" s="1"/>
  <c r="P17" i="44"/>
  <c r="H164" i="1"/>
  <c r="S19" i="42"/>
  <c r="H19" i="42"/>
  <c r="H15" i="2"/>
  <c r="H22" i="42"/>
  <c r="S22" i="42"/>
  <c r="M24" i="44"/>
  <c r="O24" i="44" s="1"/>
  <c r="P24" i="44"/>
  <c r="H14" i="42"/>
  <c r="S14" i="42"/>
  <c r="S13" i="42"/>
  <c r="H13" i="42"/>
  <c r="P19" i="44"/>
  <c r="M19" i="44"/>
  <c r="O19" i="44" s="1"/>
  <c r="H15" i="42"/>
  <c r="S15" i="42"/>
  <c r="H12" i="42"/>
  <c r="S12" i="42"/>
  <c r="P16" i="44"/>
  <c r="L28" i="44"/>
  <c r="M16" i="44"/>
  <c r="N16" i="44" s="1"/>
  <c r="P26" i="44"/>
  <c r="M26" i="44"/>
  <c r="O26" i="44" s="1"/>
  <c r="H17" i="42"/>
  <c r="S17" i="42"/>
  <c r="N24" i="42"/>
  <c r="S11" i="42"/>
  <c r="H11" i="42"/>
  <c r="M25" i="44"/>
  <c r="N25" i="44" s="1"/>
  <c r="P25" i="44"/>
  <c r="H21" i="42"/>
  <c r="S21" i="42"/>
  <c r="H16" i="42"/>
  <c r="S16" i="42"/>
  <c r="H23" i="42"/>
  <c r="S23" i="42"/>
  <c r="P27" i="44"/>
  <c r="M27" i="44"/>
  <c r="O27" i="44" s="1"/>
  <c r="H140" i="1"/>
  <c r="M23" i="44"/>
  <c r="N23" i="44" s="1"/>
  <c r="P23" i="44"/>
  <c r="P21" i="44"/>
  <c r="M21" i="44"/>
  <c r="N21" i="44" s="1"/>
  <c r="N24" i="44" l="1"/>
  <c r="O21" i="44"/>
  <c r="N26" i="44"/>
  <c r="O23" i="44"/>
  <c r="N19" i="44"/>
  <c r="O25" i="44"/>
  <c r="O16" i="44"/>
  <c r="M28" i="44"/>
  <c r="E18" i="2"/>
  <c r="H18" i="2" s="1"/>
  <c r="S24" i="42"/>
  <c r="H24" i="42"/>
  <c r="P28" i="44"/>
  <c r="H249" i="1"/>
  <c r="E20" i="43"/>
  <c r="H20" i="43" s="1"/>
  <c r="N27" i="44"/>
  <c r="E17" i="2"/>
  <c r="N17" i="44"/>
  <c r="N28" i="44" l="1"/>
  <c r="O28" i="44"/>
  <c r="E19" i="2"/>
  <c r="H17" i="2"/>
  <c r="H19" i="2" s="1"/>
  <c r="H62" i="1" s="1"/>
  <c r="Q16" i="44"/>
  <c r="Q17" i="44" s="1"/>
  <c r="Q18" i="44" s="1"/>
  <c r="Q19" i="44" s="1"/>
  <c r="Q20" i="44" s="1"/>
  <c r="Q21" i="44" s="1"/>
  <c r="Q22" i="44" s="1"/>
  <c r="Q23" i="44" s="1"/>
  <c r="Q24" i="44" s="1"/>
  <c r="Q25" i="44" s="1"/>
  <c r="Q26" i="44" s="1"/>
  <c r="Q27" i="44" s="1"/>
  <c r="H21" i="43" s="1"/>
  <c r="H22" i="43" s="1"/>
  <c r="H89" i="1" l="1"/>
  <c r="H247" i="1"/>
  <c r="H91" i="1" l="1"/>
  <c r="H112" i="1" l="1"/>
  <c r="H244" i="1" l="1"/>
  <c r="H114" i="1"/>
  <c r="H237" i="1" l="1"/>
  <c r="H238" i="1" s="1"/>
  <c r="H207" i="1"/>
  <c r="H245" i="1"/>
  <c r="H250" i="1" l="1"/>
  <c r="H251" i="1" l="1"/>
  <c r="H253" i="1"/>
  <c r="H260" i="1" l="1"/>
  <c r="H271" i="1"/>
  <c r="H273" i="1" s="1"/>
  <c r="H275" i="1" l="1"/>
  <c r="H274" i="1"/>
  <c r="H261" i="1"/>
  <c r="Y14" i="47" l="1"/>
  <c r="Y15" i="47" s="1"/>
  <c r="Y19" i="47" s="1"/>
  <c r="K14" i="47"/>
  <c r="K15" i="47" s="1"/>
  <c r="K19" i="47" s="1"/>
  <c r="O14" i="47"/>
  <c r="O15" i="47" s="1"/>
  <c r="O19" i="47" s="1"/>
  <c r="M14" i="47"/>
  <c r="M15" i="47" s="1"/>
  <c r="M19" i="47" s="1"/>
  <c r="I14" i="47"/>
  <c r="I15" i="47" s="1"/>
  <c r="I19" i="47" s="1"/>
  <c r="U14" i="47"/>
  <c r="U15" i="47" s="1"/>
  <c r="U19" i="47" s="1"/>
  <c r="Q14" i="47"/>
  <c r="Q15" i="47" s="1"/>
  <c r="Q19" i="47" s="1"/>
  <c r="S14" i="47"/>
  <c r="S15" i="47" s="1"/>
  <c r="S19" i="47" s="1"/>
  <c r="W14" i="47"/>
  <c r="W15" i="47" s="1"/>
  <c r="W19" i="47" s="1"/>
  <c r="G14" i="47"/>
  <c r="G15" i="47" s="1"/>
  <c r="G19" i="47" s="1"/>
  <c r="H266" i="1"/>
  <c r="H277" i="1" l="1"/>
  <c r="E19" i="47"/>
  <c r="E23" i="47" l="1"/>
  <c r="H281" i="1"/>
  <c r="O21" i="47"/>
  <c r="O23" i="47" s="1"/>
  <c r="O28" i="47" s="1"/>
  <c r="S21" i="47"/>
  <c r="S23" i="47" s="1"/>
  <c r="S28" i="47" s="1"/>
  <c r="Y21" i="47"/>
  <c r="Y23" i="47" s="1"/>
  <c r="Y28" i="47" s="1"/>
  <c r="M21" i="47"/>
  <c r="M23" i="47" s="1"/>
  <c r="M28" i="47" s="1"/>
  <c r="W21" i="47"/>
  <c r="W23" i="47" s="1"/>
  <c r="W28" i="47" s="1"/>
  <c r="Q21" i="47"/>
  <c r="Q23" i="47" s="1"/>
  <c r="Q28" i="47" s="1"/>
  <c r="K21" i="47"/>
  <c r="K23" i="47" s="1"/>
  <c r="K28" i="47" s="1"/>
  <c r="G21" i="47"/>
  <c r="G23" i="47" s="1"/>
  <c r="G28" i="47" s="1"/>
  <c r="I21" i="47"/>
  <c r="I23" i="47" s="1"/>
  <c r="I28" i="47" s="1"/>
  <c r="U21" i="47"/>
  <c r="U23" i="47" s="1"/>
  <c r="U28" i="47" s="1"/>
  <c r="H283" i="1" l="1"/>
  <c r="H287" i="1" s="1"/>
  <c r="E28" i="47"/>
  <c r="H289" i="1" l="1"/>
  <c r="H290" i="1" l="1"/>
  <c r="H291" i="1"/>
  <c r="H293" i="1" l="1"/>
  <c r="H2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tc={CB566881-F83F-4BC1-A369-3D9B9FC938F3}</author>
  </authors>
  <commentList>
    <comment ref="D21" authorId="0" shapeId="0" xr:uid="{CB566881-F83F-4BC1-A369-3D9B9FC938F3}">
      <text>
        <t>[Threaded comment]
Your version of Excel allows you to read this threaded comment; however, any edits to it will get removed if the file is opened in a newer version of Excel. Learn more: https://go.microsoft.com/fwlink/?linkid=870924
Comment:
    This amount is currently being charged to 456.1 and not the 456.  Paul, how should we handle this discrepancy?
Reply:
    Per Paul, the revenue is related to Other Electric Revenue and should be reflected in 456.... but make sure we document in FERC Form 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tc={E7040F42-5874-40CD-98B6-AFF6B8B8FFAD}</author>
    <author>tc={DFE6E629-5EB1-457D-8AED-EC683DB0B48A}</author>
  </authors>
  <commentList>
    <comment ref="S203" authorId="0" shapeId="0" xr:uid="{E7040F42-5874-40CD-98B6-AFF6B8B8FFAD}">
      <text>
        <t>[Threaded comment]
Your version of Excel allows you to read this threaded comment; however, any edits to it will get removed if the file is opened in a newer version of Excel. Learn more: https://go.microsoft.com/fwlink/?linkid=870924
Comment:
    Needs to update the link every year to move with the years.</t>
      </text>
    </comment>
    <comment ref="T237" authorId="1" shapeId="0" xr:uid="{DFE6E629-5EB1-457D-8AED-EC683DB0B48A}">
      <text>
        <t>[Threaded comment]
Your version of Excel allows you to read this threaded comment; however, any edits to it will get removed if the file is opened in a newer version of Excel. Learn more: https://go.microsoft.com/fwlink/?linkid=870924
Comment:
    Use 2021</t>
      </text>
    </comment>
  </commentList>
</comments>
</file>

<file path=xl/sharedStrings.xml><?xml version="1.0" encoding="utf-8"?>
<sst xmlns="http://schemas.openxmlformats.org/spreadsheetml/2006/main" count="2135" uniqueCount="1027">
  <si>
    <t>Dayton Power and Light</t>
  </si>
  <si>
    <t xml:space="preserve">ATTACHMENT H-15A </t>
  </si>
  <si>
    <t xml:space="preserve">Projected for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</si>
  <si>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</si>
  <si>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</si>
  <si>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</si>
  <si>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</si>
  <si>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</si>
  <si>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</si>
  <si>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</si>
  <si>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</si>
  <si>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</si>
  <si>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</si>
  <si>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</si>
  <si>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</si>
  <si>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</si>
  <si>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</si>
  <si>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</si>
  <si>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</si>
  <si>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</si>
  <si>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</si>
  <si>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</si>
  <si>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</si>
  <si>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</si>
  <si>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</si>
  <si>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</si>
  <si>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</si>
  <si>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</si>
  <si>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</si>
  <si>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</si>
  <si>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</si>
  <si>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</si>
  <si>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</si>
  <si>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</si>
  <si>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</si>
  <si>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</si>
  <si>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</si>
  <si>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</si>
  <si>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</si>
  <si>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</si>
  <si>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</si>
  <si>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</si>
  <si>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</si>
  <si>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</si>
  <si>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</si>
  <si>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</si>
  <si>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</si>
  <si>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</si>
  <si>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</si>
  <si>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</si>
  <si>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</si>
  <si>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</si>
  <si>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</si>
  <si>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</si>
  <si>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</si>
  <si>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</si>
  <si>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</si>
  <si>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</si>
  <si>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</si>
  <si>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</si>
  <si>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</si>
  <si>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</si>
  <si>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</si>
  <si>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</si>
  <si>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</si>
  <si>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</si>
  <si>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</si>
  <si>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</si>
  <si>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</si>
  <si>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</si>
  <si>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</si>
  <si>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</si>
  <si>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</si>
  <si>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</si>
  <si>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</si>
  <si>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</si>
  <si>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</si>
  <si>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</si>
  <si>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</si>
  <si>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</si>
  <si>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</si>
  <si>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</si>
  <si>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</si>
  <si>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</si>
  <si>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</si>
  <si>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</si>
  <si>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</si>
  <si>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</si>
  <si>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</si>
  <si>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</si>
  <si>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</si>
  <si>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</si>
  <si>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</si>
  <si>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</si>
  <si>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</si>
  <si>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</si>
  <si>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</si>
  <si>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</si>
  <si>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</si>
  <si>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</si>
  <si>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</si>
  <si>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</si>
  <si>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</si>
  <si>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</si>
  <si>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</si>
  <si>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</si>
  <si>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</si>
  <si>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</si>
  <si>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</si>
  <si>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</si>
  <si>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</si>
  <si>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</si>
  <si>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</si>
  <si>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</si>
  <si>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</si>
  <si>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</si>
  <si>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</si>
  <si>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</si>
  <si>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</si>
  <si>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</si>
  <si>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</si>
  <si>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</si>
  <si>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</si>
  <si>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</si>
  <si>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</si>
  <si>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</si>
  <si>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</si>
  <si>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</si>
  <si>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</si>
  <si>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</si>
  <si>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</si>
  <si>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</si>
  <si>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</si>
  <si>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</si>
  <si>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</si>
  <si>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</si>
  <si>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</si>
  <si>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</si>
  <si>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</si>
  <si>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</si>
  <si>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</si>
  <si>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</si>
  <si>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</si>
  <si>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</si>
  <si>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</si>
  <si>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</si>
  <si>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</si>
  <si>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</si>
  <si>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</si>
  <si>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</si>
  <si>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</si>
  <si>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</si>
  <si>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</si>
  <si>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</si>
  <si>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</si>
  <si>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</si>
  <si>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</si>
  <si>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</si>
  <si>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</si>
  <si>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</si>
  <si>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</si>
  <si>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</si>
  <si>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</si>
  <si>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</si>
  <si>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</si>
  <si>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</si>
  <si>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</si>
  <si>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</si>
  <si>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</si>
  <si>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</si>
  <si>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</si>
  <si>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</si>
  <si>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</si>
  <si>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</si>
  <si>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</si>
  <si>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</si>
  <si>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</si>
  <si>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</si>
  <si>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</si>
  <si>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</si>
  <si>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</si>
  <si>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</si>
  <si>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</si>
  <si>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</si>
  <si>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</si>
  <si>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</si>
  <si>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</si>
  <si>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</si>
  <si>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</si>
  <si>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</si>
  <si>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</si>
  <si>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</si>
  <si>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</si>
  <si>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</si>
  <si>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</si>
  <si>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</si>
  <si>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</si>
  <si>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</si>
  <si>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</si>
  <si>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</si>
  <si>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</si>
  <si>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</si>
  <si>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</si>
  <si>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</si>
  <si>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</si>
  <si>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</si>
  <si>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</si>
  <si>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</si>
  <si>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</si>
  <si>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</si>
  <si>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</si>
  <si>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</si>
  <si>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</si>
  <si>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</si>
  <si>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</si>
  <si>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</si>
  <si>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</si>
  <si>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</si>
  <si>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</si>
  <si>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</si>
  <si>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</si>
  <si>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</si>
  <si>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</si>
  <si>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</si>
  <si>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</si>
  <si>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</si>
  <si>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</si>
  <si>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</si>
  <si>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</si>
  <si>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</si>
  <si>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</si>
  <si>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</si>
  <si>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</si>
  <si>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</si>
  <si>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</si>
  <si>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</si>
  <si>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</si>
  <si>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</si>
  <si>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</si>
  <si>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</si>
  <si>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</si>
  <si>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</si>
  <si>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</si>
  <si>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</si>
  <si>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</si>
  <si>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</si>
  <si>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</si>
  <si>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</si>
  <si>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</si>
  <si>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</si>
  <si>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</si>
  <si>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</si>
  <si>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</si>
  <si>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</si>
  <si>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</si>
  <si>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</si>
  <si>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</si>
  <si>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</si>
  <si>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</si>
  <si>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</si>
  <si>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</si>
  <si>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</si>
  <si>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</si>
  <si>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</si>
  <si>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</si>
  <si>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</si>
  <si>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</si>
  <si>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</si>
  <si>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</si>
  <si>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</si>
  <si>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</si>
  <si>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</si>
  <si>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</si>
  <si>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</si>
  <si>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</si>
  <si>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</si>
  <si>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</si>
  <si>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</si>
  <si>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</si>
  <si>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</si>
  <si>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</si>
  <si>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</si>
  <si>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</si>
  <si>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</si>
  <si>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</si>
  <si>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</si>
  <si>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</si>
  <si>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</si>
  <si>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</si>
  <si>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</si>
  <si>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</si>
  <si>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</si>
  <si>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</si>
  <si>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</si>
  <si>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</si>
  <si>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</si>
  <si>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</si>
  <si>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</si>
  <si>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</si>
  <si>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</si>
  <si>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</si>
  <si>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</si>
  <si>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</si>
  <si>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</si>
  <si>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</si>
  <si>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</si>
  <si>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</si>
  <si>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</si>
  <si>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</si>
  <si>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</si>
  <si>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</si>
  <si>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</si>
  <si>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</si>
  <si>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</si>
  <si>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</si>
  <si>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</si>
  <si>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</si>
  <si>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</si>
  <si>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</si>
  <si>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</si>
  <si>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</si>
  <si>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</si>
  <si>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</si>
  <si>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</si>
  <si>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</si>
  <si>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</si>
  <si>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</si>
  <si>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</si>
  <si>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</si>
  <si>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</si>
  <si>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</si>
  <si>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</si>
  <si>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</si>
  <si>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</si>
  <si>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</si>
  <si>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</si>
  <si>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</si>
  <si>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</si>
  <si>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</si>
  <si>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</si>
  <si>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</si>
  <si>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</si>
  <si>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</si>
  <si>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</si>
  <si>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</si>
  <si>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</si>
  <si>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</si>
  <si>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</si>
  <si>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</si>
  <si>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</si>
  <si>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</si>
  <si>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</si>
  <si>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</si>
  <si>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</si>
  <si>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</si>
  <si>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</si>
  <si>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</si>
  <si>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</si>
  <si>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</si>
  <si>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</si>
  <si>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</si>
  <si>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</si>
  <si>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</si>
  <si>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</si>
  <si>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</si>
  <si>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</si>
  <si>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</si>
  <si>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</si>
  <si>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</si>
  <si>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</si>
  <si>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</si>
  <si>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</si>
  <si>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</si>
  <si>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</si>
  <si>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</si>
  <si>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</si>
  <si>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</si>
  <si>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</si>
  <si>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</si>
  <si>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</si>
  <si>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</si>
  <si>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</si>
  <si>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</si>
  <si>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</si>
  <si>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</si>
  <si>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</si>
  <si>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</si>
  <si>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</si>
  <si>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</si>
  <si>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</si>
  <si>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</si>
  <si>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</si>
  <si>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</si>
  <si>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</si>
  <si>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</si>
  <si>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</si>
  <si>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</si>
  <si>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</si>
  <si>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</si>
  <si>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</si>
  <si>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</si>
  <si>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</si>
  <si>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</si>
  <si>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</si>
  <si>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</si>
  <si>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</si>
  <si>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</si>
  <si>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</si>
  <si>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</si>
  <si>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</si>
  <si>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</si>
  <si>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</si>
  <si>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</si>
  <si>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</si>
  <si>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</si>
  <si>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</si>
  <si>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</si>
  <si>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</si>
  <si>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</si>
  <si>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</si>
  <si>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</si>
  <si>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</si>
  <si>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</si>
  <si>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</si>
  <si>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</si>
  <si>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</si>
  <si>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</si>
  <si>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</si>
  <si>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</si>
  <si>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</si>
  <si>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</si>
  <si>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</si>
  <si>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</si>
  <si>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</si>
  <si>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</si>
  <si>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</si>
  <si>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</si>
  <si>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</si>
  <si>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</si>
  <si>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</si>
  <si>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</si>
  <si>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</si>
  <si>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</si>
  <si>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</si>
  <si>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</si>
  <si>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</si>
  <si>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</si>
  <si>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</si>
  <si>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</si>
  <si>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</si>
  <si>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</si>
  <si>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</si>
  <si>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</si>
  <si>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</si>
  <si>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</si>
  <si>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</si>
  <si>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</si>
  <si>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</si>
  <si>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</si>
  <si>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</si>
  <si>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</si>
  <si>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</si>
  <si>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</si>
  <si>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</si>
  <si>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</si>
  <si>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</si>
  <si>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</si>
  <si>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</si>
  <si>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</si>
  <si>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</si>
  <si>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</si>
  <si>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</si>
  <si>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</si>
  <si>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</si>
  <si>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</si>
  <si>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</si>
  <si>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</si>
  <si>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</si>
  <si>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</si>
  <si>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</si>
  <si>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</si>
  <si>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</si>
  <si>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</si>
  <si>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</si>
  <si>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</si>
  <si>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</si>
  <si>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</si>
  <si>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</si>
  <si>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</si>
  <si>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</si>
  <si>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</si>
  <si>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</si>
  <si>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</si>
  <si>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</si>
  <si>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</si>
  <si>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</si>
  <si>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</si>
  <si>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</si>
  <si>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</si>
  <si>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</si>
  <si>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</si>
  <si>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</si>
  <si>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</si>
  <si>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</si>
  <si>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</si>
  <si>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</si>
  <si>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</si>
  <si>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</si>
  <si>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</si>
  <si>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</si>
  <si>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</si>
  <si>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p207.104g</t>
  </si>
  <si>
    <t>Common Plant in Service - Electric</t>
  </si>
  <si>
    <t>p356</t>
  </si>
  <si>
    <t>p219.29c</t>
  </si>
  <si>
    <t>p200.21c</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</si>
  <si>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</si>
  <si>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</si>
  <si>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</si>
  <si>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</si>
  <si>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</si>
  <si>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</si>
  <si>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</si>
  <si>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</si>
  <si>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</si>
  <si>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</si>
  <si>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</si>
  <si>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</si>
  <si>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</si>
  <si>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</si>
  <si>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</si>
  <si>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</si>
  <si>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</si>
  <si>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[2020 data]</t>
  </si>
  <si>
    <t>Total A&amp;G Wages Expense</t>
  </si>
  <si>
    <t>p354.27b</t>
  </si>
  <si>
    <t>Transmission Wages</t>
  </si>
  <si>
    <t>p354.21b</t>
  </si>
  <si>
    <t>Transmission Property Held for Future Use</t>
  </si>
  <si>
    <t>Beginning Year Balance</t>
  </si>
  <si>
    <t>p214.47.d</t>
  </si>
  <si>
    <t>Prepayments - Total</t>
  </si>
  <si>
    <t>p111.57c</t>
  </si>
  <si>
    <t>Less:  Amounts Related to PUCO Proceedings</t>
  </si>
  <si>
    <t>Less:  Amounts Related to p-cards</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</si>
  <si>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</si>
  <si>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</si>
  <si>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</si>
  <si>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</si>
  <si>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</si>
  <si>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</si>
  <si>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</si>
  <si>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</si>
  <si>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</si>
  <si>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</si>
  <si>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</si>
  <si>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</si>
  <si>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</si>
  <si>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</si>
  <si>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</si>
  <si>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</si>
  <si>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</si>
  <si>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</si>
  <si>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</si>
  <si>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</si>
  <si>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</si>
  <si>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</si>
  <si>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</si>
  <si>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</si>
  <si>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</si>
  <si>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</si>
  <si>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</si>
  <si>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</si>
  <si>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</si>
  <si>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</si>
  <si>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</si>
  <si>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</si>
  <si>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</si>
  <si>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</si>
  <si>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</si>
  <si>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</si>
  <si>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</si>
  <si>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</si>
  <si>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</si>
  <si>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</si>
  <si>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</si>
  <si>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</si>
  <si>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</si>
  <si>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</si>
  <si>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</si>
  <si>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</si>
  <si>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</si>
  <si>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</si>
  <si>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</si>
  <si>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</si>
  <si>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</si>
  <si>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</si>
  <si>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</si>
  <si>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</si>
  <si>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</si>
  <si>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</si>
  <si>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</si>
  <si>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</si>
  <si>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</si>
  <si>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</si>
  <si>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</si>
  <si>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</si>
  <si>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</si>
  <si>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</si>
  <si>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</si>
  <si>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</si>
  <si>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</si>
  <si>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</si>
  <si>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</si>
  <si>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</si>
  <si>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</si>
  <si>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</si>
  <si>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</si>
  <si>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</si>
  <si>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</si>
  <si>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</si>
  <si>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</si>
  <si>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</si>
  <si>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</si>
  <si>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</si>
  <si>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</si>
  <si>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</si>
  <si>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</si>
  <si>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</si>
  <si>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</si>
  <si>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</si>
  <si>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</si>
  <si>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</si>
  <si>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</si>
  <si>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</si>
  <si>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</si>
  <si>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</si>
  <si>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</si>
  <si>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</si>
  <si>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</si>
  <si>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</si>
  <si>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</si>
  <si>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</si>
  <si>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</si>
  <si>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</si>
  <si>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</si>
  <si>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</si>
  <si>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</si>
  <si>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</si>
  <si>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</si>
  <si>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</si>
  <si>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</si>
  <si>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</si>
  <si>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</si>
  <si>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</si>
  <si>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</si>
  <si>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</si>
  <si>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</si>
  <si>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</si>
  <si>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</si>
  <si>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</si>
  <si>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</si>
  <si>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</si>
  <si>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</si>
  <si>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</si>
  <si>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</si>
  <si>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</si>
  <si>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</si>
  <si>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</si>
  <si>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</si>
  <si>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</si>
  <si>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</si>
  <si>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(Attachment 9, Line 51)</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</si>
  <si>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</si>
  <si>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</si>
  <si>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</si>
  <si>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</si>
  <si>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</si>
  <si>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</si>
  <si>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</si>
  <si>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</si>
  <si>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</si>
  <si>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</si>
  <si>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</si>
  <si>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</si>
  <si>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</si>
  <si>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</si>
  <si>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</si>
  <si>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</si>
  <si>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</si>
  <si>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</si>
  <si>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</si>
  <si>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</si>
  <si>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</si>
  <si>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</si>
  <si>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</si>
  <si>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</si>
  <si>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</si>
  <si>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</si>
  <si>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</si>
  <si>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</si>
  <si>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</si>
  <si>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West Milton - Eldean</t>
  </si>
  <si>
    <t>Project 11</t>
  </si>
  <si>
    <t>Project 12</t>
  </si>
  <si>
    <t>Project 13</t>
  </si>
  <si>
    <t>Project 14</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</si>
  <si>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</si>
  <si>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</si>
  <si>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</si>
  <si>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</si>
  <si>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</si>
  <si>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</si>
  <si>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</si>
  <si>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</si>
  <si>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</si>
  <si>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</si>
  <si>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</si>
  <si>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</si>
  <si>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</si>
  <si>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</si>
  <si>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</si>
  <si>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</si>
  <si>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</si>
  <si>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</si>
  <si>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</si>
  <si>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</si>
  <si>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</si>
  <si>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</si>
  <si>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</si>
  <si>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</si>
  <si>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</si>
  <si>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</si>
  <si>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</si>
  <si>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</si>
  <si>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</si>
  <si>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</si>
  <si>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</si>
  <si>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</si>
  <si>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</si>
  <si>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</si>
  <si>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</si>
  <si>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</si>
  <si>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</si>
  <si>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</si>
  <si>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</si>
  <si>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</si>
  <si>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</si>
  <si>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</si>
  <si>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</si>
  <si>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</si>
  <si>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</si>
  <si>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</si>
  <si>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</si>
  <si>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</si>
  <si>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</si>
  <si>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</si>
  <si>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</si>
  <si>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</si>
  <si>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</si>
  <si>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</si>
  <si>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</si>
  <si>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</si>
  <si>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</si>
  <si>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</si>
  <si>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</si>
  <si>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</si>
  <si>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</si>
  <si>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</si>
  <si>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</si>
  <si>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</si>
  <si>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</si>
  <si>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</si>
  <si>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</si>
  <si>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</si>
  <si>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</si>
  <si>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</si>
  <si>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</si>
  <si>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</si>
  <si>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</si>
  <si>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</si>
  <si>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</si>
  <si>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</si>
  <si>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</si>
  <si>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</si>
  <si>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</si>
  <si>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</si>
  <si>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</si>
  <si>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</si>
  <si>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</si>
  <si>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</si>
  <si>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</si>
  <si>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</si>
  <si>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</si>
  <si>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</si>
  <si>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</si>
  <si>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</si>
  <si>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</si>
  <si>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</si>
  <si>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</si>
  <si>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</si>
  <si>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</si>
  <si>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</si>
  <si>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</si>
  <si>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</si>
  <si>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</si>
  <si>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</si>
  <si>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</si>
  <si>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</si>
  <si>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</si>
  <si>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</si>
  <si>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</si>
  <si>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</si>
  <si>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</si>
  <si>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</si>
  <si>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</si>
  <si>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</si>
  <si>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</si>
  <si>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</si>
  <si>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</si>
  <si>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</si>
  <si>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</si>
  <si>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</si>
  <si>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</si>
  <si>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</si>
  <si>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</si>
  <si>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</si>
  <si>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</si>
  <si>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</si>
  <si>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</si>
  <si>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</si>
  <si>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</si>
  <si>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</si>
  <si>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</si>
  <si>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</si>
  <si>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</si>
  <si>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</si>
  <si>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</si>
  <si>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</si>
  <si>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</si>
  <si>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</si>
  <si>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</si>
  <si>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</si>
  <si>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</si>
  <si>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</si>
  <si>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</si>
  <si>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</si>
  <si>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</si>
  <si>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</si>
  <si>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</si>
  <si>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</si>
  <si>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</si>
  <si>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</si>
  <si>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</si>
  <si>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</si>
  <si>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</si>
  <si>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</si>
  <si>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</si>
  <si>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</si>
  <si>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</si>
  <si>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</si>
  <si>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</si>
  <si>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</si>
  <si>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</si>
  <si>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</si>
  <si>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</si>
  <si>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</si>
  <si>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</si>
  <si>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</si>
  <si>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</si>
  <si>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</si>
  <si>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</si>
  <si>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</si>
  <si>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</si>
  <si>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</si>
  <si>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</si>
  <si>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</si>
  <si>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</si>
  <si>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</si>
  <si>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</si>
  <si>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</si>
  <si>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</si>
  <si>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</si>
  <si>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</si>
  <si>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</si>
  <si>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</si>
  <si>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</si>
  <si>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</si>
  <si>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</si>
  <si>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</si>
  <si>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</si>
  <si>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</si>
  <si>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</si>
  <si>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</si>
  <si>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</si>
  <si>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</si>
  <si>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</si>
  <si>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</si>
  <si>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</si>
  <si>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</si>
  <si>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</si>
  <si>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</si>
  <si>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</si>
  <si>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</si>
  <si>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</si>
  <si>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</si>
  <si>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</si>
  <si>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</si>
  <si>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</si>
  <si>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</si>
  <si>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</si>
  <si>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</si>
  <si>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</si>
  <si>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</si>
  <si>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</si>
  <si>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</si>
  <si>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</si>
  <si>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</si>
  <si>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</si>
  <si>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</si>
  <si>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</si>
  <si>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</si>
  <si>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</si>
  <si>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</si>
  <si>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</si>
  <si>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</si>
  <si>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</si>
  <si>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</si>
  <si>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</si>
  <si>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</si>
  <si>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</si>
  <si>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</si>
  <si>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</si>
  <si>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Calendar Year</t>
  </si>
  <si>
    <t>Revenue</t>
  </si>
  <si>
    <t>Impact of</t>
  </si>
  <si>
    <t>No.</t>
  </si>
  <si>
    <t>Source</t>
  </si>
  <si>
    <t>Correction</t>
  </si>
  <si>
    <t>Requirement</t>
  </si>
  <si>
    <t>Filing Name and Date</t>
  </si>
  <si>
    <t>Original Revenue Requirement</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</si>
  <si>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</si>
  <si>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</si>
  <si>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</si>
  <si>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</si>
  <si>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</si>
  <si>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</si>
  <si>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</si>
  <si>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</si>
  <si>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</si>
  <si>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</si>
  <si>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</si>
  <si>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</si>
  <si>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</si>
  <si>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</si>
  <si>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</si>
  <si>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</si>
  <si>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</si>
  <si>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</si>
  <si>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</si>
  <si>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</si>
  <si>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</si>
  <si>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</si>
  <si>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</si>
  <si>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</si>
  <si>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</si>
  <si>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</si>
  <si>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</si>
  <si>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</si>
  <si>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</si>
  <si>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</si>
  <si>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</si>
  <si>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</si>
  <si>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</si>
  <si>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</si>
  <si>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</si>
  <si>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</si>
  <si>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</si>
  <si>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</si>
  <si>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</si>
  <si>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</si>
  <si>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</si>
  <si>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</si>
  <si>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</si>
  <si>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</si>
  <si>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</si>
  <si>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South Charleston (Madison) Substation 345kV (PJM s0322)</t>
  </si>
  <si>
    <t>Clinton 345/69kV Transformer (PJM s0324)</t>
  </si>
  <si>
    <t>12 Months Ended December 31, 2023</t>
  </si>
  <si>
    <t>ADIT-190 (2021 data)</t>
  </si>
  <si>
    <t>Other - Exclude CIAC (2021 data)</t>
  </si>
  <si>
    <t>ADIT-283 (2021 data)</t>
  </si>
  <si>
    <t>ADIT-190 (2020 data)</t>
  </si>
  <si>
    <t>ADIT- 282 (2020 data)</t>
  </si>
  <si>
    <t>ADIT-283 (2020 data)</t>
  </si>
  <si>
    <t>Account 282 (2023 data)</t>
  </si>
  <si>
    <t>Tax to update</t>
  </si>
  <si>
    <t>Attachment 5 - CWIP in Rate Base - December 31, 2023</t>
  </si>
  <si>
    <t>Attachment 1A - Accumulated Deferred Income Taxes (ADIT) Worksheet - Projected December 31, 2023</t>
  </si>
  <si>
    <t>Attachment 1B - Accumulated Deferred Income Taxes - Prorated Projection - December 31, 2023</t>
  </si>
  <si>
    <t>Attachment 1C - Accumulated Deferred Income Taxes (ADIT) Worksheet - December 31 of Prior Year (2022)</t>
  </si>
  <si>
    <t>Attachment 2 - Taxes Other Than Income - December 31, 2023</t>
  </si>
  <si>
    <t>Attachment 3 - Revenue Credits - December 31, 2023</t>
  </si>
  <si>
    <t>Attachment 4 - Cost Support - December 31, 2023</t>
  </si>
  <si>
    <t>Attachment 7A - ROE Adder for Projects - December 31, 2023</t>
  </si>
  <si>
    <t>Attachment 7B - Revenue Requirement of Schedule 12 Projects - December 31, 2023</t>
  </si>
  <si>
    <t>Attachment 9 - Excess Accumulated Deferred Income Taxes - December 31, 2023</t>
  </si>
  <si>
    <t>Attachment 11 - Corrections - December 31, 2023</t>
  </si>
  <si>
    <t>2020 Actual ATRR July 30, 2021</t>
  </si>
  <si>
    <t>Attached Workpaper</t>
  </si>
  <si>
    <t>See attached workpaper</t>
  </si>
  <si>
    <r>
      <t xml:space="preserve">The interest rate on corrections will be the average monthly FERC interest rate for the period from the </t>
    </r>
    <r>
      <rPr>
        <sz val="12"/>
        <color rgb="FFFF0000"/>
        <rFont val="Arial"/>
        <family val="2"/>
      </rPr>
      <t>middle</t>
    </r>
    <r>
      <rPr>
        <sz val="12"/>
        <rFont val="Arial"/>
        <family val="2"/>
      </rPr>
      <t xml:space="preserve"> of the year being corrected through the </t>
    </r>
    <r>
      <rPr>
        <sz val="12"/>
        <color rgb="FFFF0000"/>
        <rFont val="Arial"/>
        <family val="2"/>
      </rPr>
      <t>middle</t>
    </r>
    <r>
      <rPr>
        <sz val="12"/>
        <rFont val="Arial"/>
        <family val="2"/>
      </rPr>
      <t xml:space="preserve"> of the rate year where the correction is reflected in rates - similar to how interest on the ATU Adjustment is computed.</t>
    </r>
  </si>
  <si>
    <t>the investment in this project in CWIP beginnign on the effective day of its formula rate, May 3, 2020.</t>
  </si>
  <si>
    <t xml:space="preserve">The Ohio Siting Board certified the Clinton Transformer Project on December 1, 2021.  According to the CWIP Incentive Order, Dayton Power and Light can include </t>
  </si>
  <si>
    <t xml:space="preserve">The Ohio Siting Board certified the South Charleston Project on May 3, 2022.  According to the CWIP Incentive Order, Dayton Power and Light can include </t>
  </si>
  <si>
    <r>
      <t>Less:  Amounts Related to PJM Credits in 2018</t>
    </r>
    <r>
      <rPr>
        <sz val="12"/>
        <color rgb="FFFF0000"/>
        <rFont val="Arial"/>
        <family val="2"/>
      </rPr>
      <t>/Income Tax Prepayments</t>
    </r>
  </si>
  <si>
    <t>Include Clinton Transformer Project in CWIP for 2020</t>
  </si>
  <si>
    <t>Include South Charleston (Madison) S/S Project in CWIP for 2020</t>
  </si>
  <si>
    <t>Corrected formula - missing Line 167</t>
  </si>
  <si>
    <t>Corrected reference to pull over ATU without interest</t>
  </si>
  <si>
    <t>Rate Year = 2023</t>
  </si>
  <si>
    <t>Not used</t>
  </si>
  <si>
    <t>336-337</t>
  </si>
  <si>
    <r>
      <t xml:space="preserve">Revenues from DP&amp;L Schedule 12 Projects </t>
    </r>
    <r>
      <rPr>
        <sz val="16"/>
        <color rgb="FFFF0000"/>
        <rFont val="Arial"/>
        <family val="2"/>
      </rPr>
      <t>(without Interest)</t>
    </r>
  </si>
  <si>
    <t>January through December 2023</t>
  </si>
  <si>
    <t>Updated NSPL (1 CP Peak) to June 15, 2022 at hour ending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</si>
</sst>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sz val="10"/>
      <color rgb="FF0070C0"/>
      <name val="Arial"/>
      <family val="2"/>
    </font>
    <font>
      <u/>
      <sz val="10"/>
      <color rgb="FF0070C0"/>
      <name val="Arial"/>
      <family val="2"/>
    </font>
    <font>
      <b/>
      <sz val="16"/>
      <color rgb="FFFF0000"/>
      <name val="Arial"/>
      <family val="2"/>
    </font>
    <font>
      <b/>
      <sz val="12"/>
      <color rgb="FFFF0000"/>
      <name val="Arial"/>
      <family val="2"/>
    </font>
    <font>
      <sz val="16"/>
      <color rgb="FFFF0000"/>
      <name val="Arial"/>
      <family val="2"/>
    </font>
  </fonts>
  <fills count="81">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92D050"/>
        <bgColor indexed="64"/>
      </patternFill>
    </fill>
    <fill>
      <patternFill patternType="solid">
        <fgColor rgb="FFFFFF99"/>
        <bgColor rgb="FF000000"/>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top style="medium">
        <color indexed="64"/>
      </top>
      <bottom style="thin">
        <color indexed="64"/>
      </bottom>
      <diagonal/>
    </border>
  </borders>
  <cellStyleXfs count="19172">
    <xf numFmtId="0" fontId="0" fillId="0" borderId="0"/>
    <xf numFmtId="0" fontId="52" fillId="0" borderId="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1"/>
    <xf numFmtId="44" fontId="16" fillId="0" borderId="0" applyFont="0" applyFill="0" applyBorder="0" applyAlignment="0" applyProtection="0"/>
    <xf numFmtId="44" fontId="16" fillId="0" borderId="0" applyFont="0" applyFill="0" applyBorder="0" applyAlignment="0" applyProtection="0"/>
    <xf numFmtId="175" fontId="5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31" fillId="0" borderId="2">
      <alignment horizontal="center"/>
    </xf>
    <xf numFmtId="3" fontId="30" fillId="0" borderId="0" applyFont="0" applyFill="0" applyBorder="0" applyAlignment="0" applyProtection="0"/>
    <xf numFmtId="0" fontId="30" fillId="2" borderId="0" applyNumberFormat="0" applyFont="0" applyBorder="0" applyAlignment="0" applyProtection="0"/>
    <xf numFmtId="0" fontId="23" fillId="3" borderId="0"/>
    <xf numFmtId="0" fontId="16" fillId="4" borderId="1" applyNumberFormat="0" applyFont="0" applyAlignment="0"/>
    <xf numFmtId="44" fontId="56"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56" fillId="0" borderId="0" applyFont="0" applyFill="0" applyBorder="0" applyAlignment="0" applyProtection="0"/>
    <xf numFmtId="0" fontId="58" fillId="0" borderId="0"/>
    <xf numFmtId="43" fontId="16" fillId="0" borderId="0" applyFont="0" applyFill="0" applyBorder="0" applyAlignment="0" applyProtection="0"/>
    <xf numFmtId="43" fontId="5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60"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6" fillId="0"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2" fillId="0" borderId="0"/>
    <xf numFmtId="43" fontId="56" fillId="0" borderId="0" applyFont="0" applyFill="0" applyBorder="0" applyAlignment="0" applyProtection="0"/>
    <xf numFmtId="43" fontId="1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6" fillId="42" borderId="0" applyNumberFormat="0" applyBorder="0" applyAlignment="0" applyProtection="0"/>
    <xf numFmtId="0" fontId="56" fillId="43" borderId="0" applyNumberFormat="0" applyBorder="0" applyAlignment="0" applyProtection="0"/>
    <xf numFmtId="0" fontId="12" fillId="1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2" fillId="19"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12" fillId="23"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23"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12" fillId="2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2" fillId="2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8" borderId="0" applyNumberFormat="0" applyBorder="0" applyAlignment="0" applyProtection="0"/>
    <xf numFmtId="0" fontId="12" fillId="31"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3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12" fillId="35"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2" fillId="35"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4"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56" fillId="44"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2" fillId="20"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2" fillId="2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12" fillId="28"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12" fillId="28"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12" fillId="32"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32"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56" fillId="52" borderId="0" applyNumberFormat="0" applyBorder="0" applyAlignment="0" applyProtection="0"/>
    <xf numFmtId="0" fontId="56" fillId="44" borderId="0" applyNumberFormat="0" applyBorder="0" applyAlignment="0" applyProtection="0"/>
    <xf numFmtId="0" fontId="56" fillId="56" borderId="0" applyNumberFormat="0" applyBorder="0" applyAlignment="0" applyProtection="0"/>
    <xf numFmtId="0" fontId="12" fillId="40"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12"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3" fillId="21" borderId="0" applyNumberFormat="0" applyBorder="0" applyAlignment="0" applyProtection="0"/>
    <xf numFmtId="0" fontId="74" fillId="57" borderId="0" applyNumberFormat="0" applyBorder="0" applyAlignment="0" applyProtection="0"/>
    <xf numFmtId="0" fontId="74" fillId="53" borderId="0" applyNumberFormat="0" applyBorder="0" applyAlignment="0" applyProtection="0"/>
    <xf numFmtId="0" fontId="73" fillId="25" borderId="0" applyNumberFormat="0" applyBorder="0" applyAlignment="0" applyProtection="0"/>
    <xf numFmtId="0" fontId="74" fillId="53" borderId="0" applyNumberFormat="0" applyBorder="0" applyAlignment="0" applyProtection="0"/>
    <xf numFmtId="0" fontId="74" fillId="54" borderId="0" applyNumberFormat="0" applyBorder="0" applyAlignment="0" applyProtection="0"/>
    <xf numFmtId="0" fontId="74" fillId="55" borderId="0" applyNumberFormat="0" applyBorder="0" applyAlignment="0" applyProtection="0"/>
    <xf numFmtId="0" fontId="73" fillId="29" borderId="0" applyNumberFormat="0" applyBorder="0" applyAlignment="0" applyProtection="0"/>
    <xf numFmtId="0" fontId="74" fillId="54" borderId="0" applyNumberFormat="0" applyBorder="0" applyAlignment="0" applyProtection="0"/>
    <xf numFmtId="0" fontId="74" fillId="51" borderId="0" applyNumberFormat="0" applyBorder="0" applyAlignment="0" applyProtection="0"/>
    <xf numFmtId="0" fontId="74" fillId="59" borderId="0" applyNumberFormat="0" applyBorder="0" applyAlignment="0" applyProtection="0"/>
    <xf numFmtId="0" fontId="73" fillId="33" borderId="0" applyNumberFormat="0" applyBorder="0" applyAlignment="0" applyProtection="0"/>
    <xf numFmtId="0" fontId="74" fillId="51" borderId="0" applyNumberFormat="0" applyBorder="0" applyAlignment="0" applyProtection="0"/>
    <xf numFmtId="0" fontId="74" fillId="57" borderId="0" applyNumberFormat="0" applyBorder="0" applyAlignment="0" applyProtection="0"/>
    <xf numFmtId="0" fontId="73" fillId="37" borderId="0" applyNumberFormat="0" applyBorder="0" applyAlignment="0" applyProtection="0"/>
    <xf numFmtId="0" fontId="74" fillId="57" borderId="0" applyNumberFormat="0" applyBorder="0" applyAlignment="0" applyProtection="0"/>
    <xf numFmtId="0" fontId="74" fillId="44" borderId="0" applyNumberFormat="0" applyBorder="0" applyAlignment="0" applyProtection="0"/>
    <xf numFmtId="0" fontId="74" fillId="60" borderId="0" applyNumberFormat="0" applyBorder="0" applyAlignment="0" applyProtection="0"/>
    <xf numFmtId="0" fontId="73" fillId="41" borderId="0" applyNumberFormat="0" applyBorder="0" applyAlignment="0" applyProtection="0"/>
    <xf numFmtId="0" fontId="74" fillId="44" borderId="0" applyNumberFormat="0" applyBorder="0" applyAlignment="0" applyProtection="0"/>
    <xf numFmtId="0" fontId="74" fillId="57" borderId="0" applyNumberFormat="0" applyBorder="0" applyAlignment="0" applyProtection="0"/>
    <xf numFmtId="0" fontId="74" fillId="61" borderId="0" applyNumberFormat="0" applyBorder="0" applyAlignment="0" applyProtection="0"/>
    <xf numFmtId="0" fontId="73" fillId="18" borderId="0" applyNumberFormat="0" applyBorder="0" applyAlignment="0" applyProtection="0"/>
    <xf numFmtId="0" fontId="74" fillId="57" borderId="0" applyNumberFormat="0" applyBorder="0" applyAlignment="0" applyProtection="0"/>
    <xf numFmtId="0" fontId="74" fillId="62" borderId="0" applyNumberFormat="0" applyBorder="0" applyAlignment="0" applyProtection="0"/>
    <xf numFmtId="0" fontId="73" fillId="22" borderId="0" applyNumberFormat="0" applyBorder="0" applyAlignment="0" applyProtection="0"/>
    <xf numFmtId="0" fontId="74" fillId="62" borderId="0" applyNumberFormat="0" applyBorder="0" applyAlignment="0" applyProtection="0"/>
    <xf numFmtId="0" fontId="74" fillId="63" borderId="0" applyNumberFormat="0" applyBorder="0" applyAlignment="0" applyProtection="0"/>
    <xf numFmtId="0" fontId="73" fillId="26" borderId="0" applyNumberFormat="0" applyBorder="0" applyAlignment="0" applyProtection="0"/>
    <xf numFmtId="0" fontId="74" fillId="63" borderId="0" applyNumberFormat="0" applyBorder="0" applyAlignment="0" applyProtection="0"/>
    <xf numFmtId="0" fontId="74" fillId="64" borderId="0" applyNumberFormat="0" applyBorder="0" applyAlignment="0" applyProtection="0"/>
    <xf numFmtId="0" fontId="74" fillId="59" borderId="0" applyNumberFormat="0" applyBorder="0" applyAlignment="0" applyProtection="0"/>
    <xf numFmtId="0" fontId="73" fillId="30" borderId="0" applyNumberFormat="0" applyBorder="0" applyAlignment="0" applyProtection="0"/>
    <xf numFmtId="0" fontId="74" fillId="64" borderId="0" applyNumberFormat="0" applyBorder="0" applyAlignment="0" applyProtection="0"/>
    <xf numFmtId="0" fontId="74" fillId="57" borderId="0" applyNumberFormat="0" applyBorder="0" applyAlignment="0" applyProtection="0"/>
    <xf numFmtId="0" fontId="73" fillId="34" borderId="0" applyNumberFormat="0" applyBorder="0" applyAlignment="0" applyProtection="0"/>
    <xf numFmtId="0" fontId="74" fillId="57" borderId="0" applyNumberFormat="0" applyBorder="0" applyAlignment="0" applyProtection="0"/>
    <xf numFmtId="0" fontId="74" fillId="65" borderId="0" applyNumberFormat="0" applyBorder="0" applyAlignment="0" applyProtection="0"/>
    <xf numFmtId="0" fontId="73" fillId="38" borderId="0" applyNumberFormat="0" applyBorder="0" applyAlignment="0" applyProtection="0"/>
    <xf numFmtId="0" fontId="74" fillId="65" borderId="0" applyNumberFormat="0" applyBorder="0" applyAlignment="0" applyProtection="0"/>
    <xf numFmtId="0" fontId="75" fillId="45" borderId="0" applyNumberFormat="0" applyBorder="0" applyAlignment="0" applyProtection="0"/>
    <xf numFmtId="0" fontId="65" fillId="13" borderId="0" applyNumberFormat="0" applyBorder="0" applyAlignment="0" applyProtection="0"/>
    <xf numFmtId="0" fontId="75" fillId="45" borderId="0" applyNumberFormat="0" applyBorder="0" applyAlignment="0" applyProtection="0"/>
    <xf numFmtId="0" fontId="76" fillId="42" borderId="42" applyNumberFormat="0" applyAlignment="0" applyProtection="0"/>
    <xf numFmtId="0" fontId="76" fillId="51" borderId="42" applyNumberFormat="0" applyAlignment="0" applyProtection="0"/>
    <xf numFmtId="0" fontId="68" fillId="15" borderId="37" applyNumberFormat="0" applyAlignment="0" applyProtection="0"/>
    <xf numFmtId="0" fontId="76" fillId="42" borderId="42" applyNumberFormat="0" applyAlignment="0" applyProtection="0"/>
    <xf numFmtId="0" fontId="77" fillId="66" borderId="43" applyNumberFormat="0" applyAlignment="0" applyProtection="0"/>
    <xf numFmtId="0" fontId="69" fillId="16" borderId="39" applyNumberFormat="0" applyAlignment="0" applyProtection="0"/>
    <xf numFmtId="0" fontId="77" fillId="66" borderId="43" applyNumberFormat="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1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0" fontId="16" fillId="0" borderId="0" applyFont="0" applyFill="0" applyBorder="0" applyAlignment="0" applyProtection="0"/>
    <xf numFmtId="43" fontId="16" fillId="0" borderId="0" applyFont="0" applyFill="0" applyBorder="0" applyAlignment="0" applyProtection="0"/>
    <xf numFmtId="40" fontId="16"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0" fontId="16"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16" fillId="0" borderId="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5" fontId="16" fillId="0" borderId="0" applyFill="0" applyBorder="0" applyAlignment="0" applyProtection="0"/>
    <xf numFmtId="178" fontId="16" fillId="0" borderId="0" applyFill="0" applyBorder="0" applyAlignment="0" applyProtection="0"/>
    <xf numFmtId="179" fontId="28" fillId="0" borderId="13">
      <alignment horizontal="center" vertical="center" wrapText="1"/>
    </xf>
    <xf numFmtId="0" fontId="80" fillId="0" borderId="0" applyNumberFormat="0" applyFill="0" applyBorder="0" applyAlignment="0" applyProtection="0"/>
    <xf numFmtId="0" fontId="71" fillId="0" borderId="0" applyNumberFormat="0" applyFill="0" applyBorder="0" applyAlignment="0" applyProtection="0"/>
    <xf numFmtId="0" fontId="80" fillId="0" borderId="0" applyNumberFormat="0" applyFill="0" applyBorder="0" applyAlignment="0" applyProtection="0"/>
    <xf numFmtId="2" fontId="16" fillId="0" borderId="0" applyFill="0" applyBorder="0" applyAlignment="0" applyProtection="0"/>
    <xf numFmtId="0" fontId="81" fillId="47" borderId="0" applyNumberFormat="0" applyBorder="0" applyAlignment="0" applyProtection="0"/>
    <xf numFmtId="0" fontId="64" fillId="12" borderId="0" applyNumberFormat="0" applyBorder="0" applyAlignment="0" applyProtection="0"/>
    <xf numFmtId="0" fontId="81" fillId="47" borderId="0" applyNumberFormat="0" applyBorder="0" applyAlignment="0" applyProtection="0"/>
    <xf numFmtId="0" fontId="61" fillId="4" borderId="13">
      <alignment horizontal="center" vertical="top" wrapText="1"/>
    </xf>
    <xf numFmtId="0" fontId="82" fillId="0" borderId="44" applyNumberFormat="0" applyFill="0" applyAlignment="0" applyProtection="0"/>
    <xf numFmtId="0" fontId="83" fillId="0" borderId="45" applyNumberFormat="0" applyFill="0" applyAlignment="0" applyProtection="0"/>
    <xf numFmtId="0" fontId="84" fillId="0" borderId="46" applyNumberFormat="0" applyFill="0" applyAlignment="0" applyProtection="0"/>
    <xf numFmtId="0" fontId="85" fillId="0" borderId="46" applyNumberFormat="0" applyFill="0" applyAlignment="0" applyProtection="0"/>
    <xf numFmtId="0" fontId="62" fillId="0" borderId="35" applyNumberFormat="0" applyFill="0" applyAlignment="0" applyProtection="0"/>
    <xf numFmtId="0" fontId="84" fillId="0" borderId="46" applyNumberFormat="0" applyFill="0" applyAlignment="0" applyProtection="0"/>
    <xf numFmtId="0" fontId="86" fillId="0" borderId="47" applyNumberFormat="0" applyFill="0" applyAlignment="0" applyProtection="0"/>
    <xf numFmtId="0" fontId="87" fillId="0" borderId="48" applyNumberFormat="0" applyFill="0" applyAlignment="0" applyProtection="0"/>
    <xf numFmtId="0" fontId="63" fillId="0" borderId="36" applyNumberFormat="0" applyFill="0" applyAlignment="0" applyProtection="0"/>
    <xf numFmtId="0" fontId="86" fillId="0" borderId="47"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44" borderId="42" applyNumberFormat="0" applyAlignment="0" applyProtection="0"/>
    <xf numFmtId="0" fontId="66" fillId="14" borderId="37" applyNumberFormat="0" applyAlignment="0" applyProtection="0"/>
    <xf numFmtId="0" fontId="89" fillId="44" borderId="42" applyNumberFormat="0" applyAlignment="0" applyProtection="0"/>
    <xf numFmtId="0" fontId="90" fillId="0" borderId="49" applyNumberFormat="0" applyFill="0" applyAlignment="0" applyProtection="0"/>
    <xf numFmtId="0" fontId="16" fillId="0" borderId="0" applyFont="0" applyFill="0" applyBorder="0" applyAlignment="0" applyProtection="0"/>
    <xf numFmtId="0" fontId="91" fillId="54" borderId="0" applyNumberFormat="0" applyBorder="0" applyAlignment="0" applyProtection="0"/>
    <xf numFmtId="180" fontId="9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56" fillId="0" borderId="0"/>
    <xf numFmtId="0" fontId="12" fillId="0" borderId="0"/>
    <xf numFmtId="0" fontId="56" fillId="0" borderId="0"/>
    <xf numFmtId="0" fontId="56" fillId="0" borderId="0"/>
    <xf numFmtId="0" fontId="5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6" fillId="0" borderId="0"/>
    <xf numFmtId="0" fontId="56" fillId="0" borderId="0"/>
    <xf numFmtId="0" fontId="12" fillId="0" borderId="0"/>
    <xf numFmtId="0" fontId="12" fillId="0" borderId="0"/>
    <xf numFmtId="0" fontId="12" fillId="0" borderId="0"/>
    <xf numFmtId="0" fontId="16" fillId="0" borderId="0"/>
    <xf numFmtId="0" fontId="12"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5" fontId="28" fillId="0" borderId="13">
      <alignment horizontal="right" vertical="center"/>
    </xf>
    <xf numFmtId="0" fontId="28" fillId="0" borderId="13">
      <alignment horizontal="left" vertical="center" wrapText="1"/>
    </xf>
    <xf numFmtId="1" fontId="61" fillId="4" borderId="13">
      <alignment horizontal="center" vertical="center" wrapText="1"/>
    </xf>
    <xf numFmtId="0" fontId="16" fillId="46" borderId="5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56" fillId="17" borderId="40" applyNumberFormat="0" applyFont="0" applyAlignment="0" applyProtection="0"/>
    <xf numFmtId="0" fontId="12" fillId="17" borderId="4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93" fillId="42" borderId="51" applyNumberFormat="0" applyAlignment="0" applyProtection="0"/>
    <xf numFmtId="0" fontId="93" fillId="51" borderId="51" applyNumberFormat="0" applyAlignment="0" applyProtection="0"/>
    <xf numFmtId="0" fontId="67" fillId="15" borderId="38" applyNumberFormat="0" applyAlignment="0" applyProtection="0"/>
    <xf numFmtId="0" fontId="93" fillId="42" borderId="5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94" fillId="0" borderId="0">
      <alignment wrapText="1"/>
    </xf>
    <xf numFmtId="4" fontId="95" fillId="54" borderId="52" applyNumberFormat="0" applyProtection="0">
      <alignment vertical="center"/>
    </xf>
    <xf numFmtId="4" fontId="96" fillId="8" borderId="51" applyNumberFormat="0" applyProtection="0">
      <alignment horizontal="left" vertical="center" indent="1"/>
    </xf>
    <xf numFmtId="4" fontId="96" fillId="8"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4" borderId="51" applyNumberFormat="0" applyProtection="0">
      <alignment horizontal="left" vertical="center" indent="1"/>
    </xf>
    <xf numFmtId="0" fontId="16" fillId="4" borderId="51" applyNumberFormat="0" applyProtection="0">
      <alignment horizontal="left" vertical="center" indent="1"/>
    </xf>
    <xf numFmtId="4" fontId="97" fillId="6" borderId="52" applyNumberFormat="0" applyProtection="0">
      <alignment horizontal="right" vertical="center"/>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98" fillId="0" borderId="0" applyNumberFormat="0" applyFill="0" applyBorder="0" applyAlignment="0" applyProtection="0"/>
    <xf numFmtId="0" fontId="99" fillId="0" borderId="53">
      <alignment horizontal="center" vertical="center" wrapText="1"/>
    </xf>
    <xf numFmtId="0" fontId="100" fillId="0" borderId="0" applyNumberFormat="0" applyFill="0" applyBorder="0" applyAlignment="0" applyProtection="0"/>
    <xf numFmtId="0" fontId="101" fillId="0" borderId="0" applyNumberFormat="0" applyFill="0" applyBorder="0" applyAlignment="0" applyProtection="0"/>
    <xf numFmtId="0" fontId="102" fillId="0" borderId="54" applyNumberFormat="0" applyFill="0" applyAlignment="0" applyProtection="0"/>
    <xf numFmtId="0" fontId="102" fillId="0" borderId="55" applyNumberFormat="0" applyFill="0" applyAlignment="0" applyProtection="0"/>
    <xf numFmtId="0" fontId="72" fillId="0" borderId="41" applyNumberFormat="0" applyFill="0" applyAlignment="0" applyProtection="0"/>
    <xf numFmtId="0" fontId="102" fillId="0" borderId="54" applyNumberFormat="0" applyFill="0" applyAlignment="0" applyProtection="0"/>
    <xf numFmtId="0" fontId="103" fillId="0" borderId="0" applyNumberFormat="0" applyFill="0" applyBorder="0" applyAlignment="0" applyProtection="0"/>
    <xf numFmtId="0" fontId="70" fillId="0" borderId="0" applyNumberFormat="0" applyFill="0" applyBorder="0" applyAlignment="0" applyProtection="0"/>
    <xf numFmtId="0" fontId="103" fillId="0" borderId="0" applyNumberFormat="0" applyFill="0" applyBorder="0" applyAlignment="0" applyProtection="0"/>
    <xf numFmtId="0" fontId="16" fillId="0" borderId="0"/>
    <xf numFmtId="0" fontId="16"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9" fillId="0" borderId="0" applyFont="0" applyFill="0" applyBorder="0" applyAlignment="0" applyProtection="0"/>
    <xf numFmtId="0" fontId="16" fillId="0" borderId="0"/>
    <xf numFmtId="0" fontId="16" fillId="0" borderId="0"/>
    <xf numFmtId="0" fontId="16" fillId="0" borderId="0"/>
    <xf numFmtId="0" fontId="16"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16"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56" fillId="0" borderId="0" applyFont="0" applyFill="0" applyBorder="0" applyAlignment="0" applyProtection="0"/>
    <xf numFmtId="0" fontId="1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7" borderId="40" applyNumberFormat="0" applyFont="0" applyAlignment="0" applyProtection="0"/>
    <xf numFmtId="0" fontId="6" fillId="17" borderId="40" applyNumberFormat="0" applyFont="0" applyAlignment="0" applyProtection="0"/>
    <xf numFmtId="0" fontId="6" fillId="17" borderId="40" applyNumberFormat="0" applyFont="0" applyAlignment="0" applyProtection="0"/>
    <xf numFmtId="0" fontId="6" fillId="17" borderId="40" applyNumberFormat="0" applyFont="0" applyAlignment="0" applyProtection="0"/>
    <xf numFmtId="0" fontId="1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5" fillId="0" borderId="0"/>
    <xf numFmtId="169" fontId="22" fillId="0" borderId="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30"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16" fillId="0" borderId="0"/>
    <xf numFmtId="41" fontId="16" fillId="0" borderId="0" applyFont="0" applyFill="0" applyBorder="0" applyAlignment="0" applyProtection="0"/>
    <xf numFmtId="0" fontId="4" fillId="0" borderId="0"/>
    <xf numFmtId="44" fontId="4" fillId="0" borderId="0" applyFont="0" applyFill="0" applyBorder="0" applyAlignment="0" applyProtection="0"/>
    <xf numFmtId="43" fontId="16" fillId="0" borderId="0" applyFont="0" applyFill="0" applyBorder="0" applyAlignment="0" applyProtection="0"/>
    <xf numFmtId="0" fontId="16" fillId="0" borderId="0"/>
    <xf numFmtId="0" fontId="4" fillId="0" borderId="0"/>
    <xf numFmtId="43" fontId="4" fillId="0" borderId="0" applyFont="0" applyFill="0" applyBorder="0" applyAlignment="0" applyProtection="0"/>
    <xf numFmtId="41" fontId="16"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22" fillId="0" borderId="0" applyFont="0" applyFill="0" applyBorder="0" applyAlignment="0" applyProtection="0"/>
    <xf numFmtId="9" fontId="4" fillId="0" borderId="0" applyFont="0" applyFill="0" applyBorder="0" applyAlignment="0" applyProtection="0"/>
    <xf numFmtId="169" fontId="22" fillId="0" borderId="0" applyProtection="0"/>
    <xf numFmtId="0" fontId="19" fillId="0" borderId="0">
      <alignment vertical="top"/>
    </xf>
    <xf numFmtId="44" fontId="4" fillId="0" borderId="0" applyFont="0" applyFill="0" applyBorder="0" applyAlignment="0" applyProtection="0"/>
    <xf numFmtId="0" fontId="4" fillId="0" borderId="0"/>
    <xf numFmtId="169" fontId="22" fillId="0" borderId="0" applyProtection="0"/>
    <xf numFmtId="43" fontId="22" fillId="0" borderId="0" applyFont="0" applyFill="0" applyBorder="0" applyAlignment="0" applyProtection="0"/>
    <xf numFmtId="43" fontId="22" fillId="0" borderId="0" applyFont="0" applyFill="0" applyBorder="0" applyAlignment="0" applyProtection="0"/>
    <xf numFmtId="169" fontId="22" fillId="0" borderId="0" applyProtection="0"/>
    <xf numFmtId="43" fontId="22" fillId="0" borderId="0" applyFont="0" applyFill="0" applyBorder="0" applyAlignment="0" applyProtection="0"/>
    <xf numFmtId="169" fontId="22" fillId="0" borderId="0" applyProtection="0"/>
    <xf numFmtId="169" fontId="22" fillId="0" borderId="0" applyProtection="0"/>
    <xf numFmtId="0" fontId="16" fillId="0" borderId="0"/>
    <xf numFmtId="188" fontId="137" fillId="0" borderId="0" applyFont="0" applyFill="0" applyBorder="0" applyAlignment="0" applyProtection="0"/>
    <xf numFmtId="189" fontId="137" fillId="0" borderId="0" applyFont="0" applyFill="0" applyBorder="0" applyAlignment="0" applyProtection="0"/>
    <xf numFmtId="190" fontId="137" fillId="0" borderId="0" applyFont="0" applyFill="0" applyBorder="0" applyAlignment="0" applyProtection="0"/>
    <xf numFmtId="191" fontId="137" fillId="0" borderId="0" applyFont="0" applyFill="0" applyBorder="0" applyAlignment="0" applyProtection="0"/>
    <xf numFmtId="192" fontId="137" fillId="0" borderId="0" applyFont="0" applyFill="0" applyBorder="0" applyAlignment="0" applyProtection="0"/>
    <xf numFmtId="193" fontId="137" fillId="0" borderId="0" applyFont="0" applyFill="0" applyBorder="0" applyAlignment="0" applyProtection="0"/>
    <xf numFmtId="0" fontId="28" fillId="0" borderId="0"/>
    <xf numFmtId="194" fontId="16" fillId="71" borderId="0" applyNumberFormat="0" applyFill="0" applyBorder="0" applyAlignment="0" applyProtection="0">
      <alignment horizontal="right" vertical="center"/>
    </xf>
    <xf numFmtId="194" fontId="133" fillId="0" borderId="0" applyNumberFormat="0" applyFill="0" applyBorder="0" applyAlignment="0" applyProtection="0"/>
    <xf numFmtId="0" fontId="16" fillId="0" borderId="4" applyNumberFormat="0" applyFont="0" applyFill="0" applyAlignment="0" applyProtection="0"/>
    <xf numFmtId="195" fontId="132" fillId="0" borderId="0" applyFont="0" applyFill="0" applyBorder="0" applyAlignment="0" applyProtection="0"/>
    <xf numFmtId="196" fontId="137" fillId="0" borderId="0" applyFont="0" applyFill="0" applyBorder="0" applyProtection="0">
      <alignment horizontal="left"/>
    </xf>
    <xf numFmtId="197" fontId="137" fillId="0" borderId="0" applyFont="0" applyFill="0" applyBorder="0" applyProtection="0">
      <alignment horizontal="left"/>
    </xf>
    <xf numFmtId="198" fontId="137" fillId="0" borderId="0" applyFont="0" applyFill="0" applyBorder="0" applyProtection="0">
      <alignment horizontal="left"/>
    </xf>
    <xf numFmtId="37" fontId="138" fillId="0" borderId="0" applyFont="0" applyFill="0" applyBorder="0" applyAlignment="0" applyProtection="0">
      <alignment vertical="center"/>
      <protection locked="0"/>
    </xf>
    <xf numFmtId="199" fontId="79" fillId="0" borderId="0" applyFont="0" applyFill="0" applyBorder="0" applyAlignment="0" applyProtection="0"/>
    <xf numFmtId="0" fontId="139" fillId="0" borderId="0"/>
    <xf numFmtId="0" fontId="139" fillId="0" borderId="0"/>
    <xf numFmtId="169" fontId="34" fillId="0" borderId="0" applyFill="0"/>
    <xf numFmtId="169" fontId="34" fillId="0" borderId="0">
      <alignment horizontal="center"/>
    </xf>
    <xf numFmtId="0" fontId="34" fillId="0" borderId="0" applyFill="0">
      <alignment horizontal="center"/>
    </xf>
    <xf numFmtId="169" fontId="23" fillId="0" borderId="70" applyFill="0"/>
    <xf numFmtId="0" fontId="16" fillId="0" borderId="0" applyFont="0" applyAlignment="0"/>
    <xf numFmtId="0" fontId="49" fillId="0" borderId="0" applyFill="0">
      <alignment vertical="top"/>
    </xf>
    <xf numFmtId="0" fontId="23" fillId="0" borderId="0" applyFill="0">
      <alignment horizontal="left" vertical="top"/>
    </xf>
    <xf numFmtId="169" fontId="18" fillId="0" borderId="3" applyFill="0"/>
    <xf numFmtId="0" fontId="16" fillId="0" borderId="0" applyNumberFormat="0" applyFont="0" applyAlignment="0"/>
    <xf numFmtId="0" fontId="49" fillId="0" borderId="0" applyFill="0">
      <alignment wrapText="1"/>
    </xf>
    <xf numFmtId="0" fontId="23" fillId="0" borderId="0" applyFill="0">
      <alignment horizontal="left" vertical="top" wrapText="1"/>
    </xf>
    <xf numFmtId="169" fontId="116" fillId="0" borderId="0" applyFill="0"/>
    <xf numFmtId="0" fontId="117" fillId="0" borderId="0" applyNumberFormat="0" applyFont="0" applyAlignment="0">
      <alignment horizontal="center"/>
    </xf>
    <xf numFmtId="0" fontId="25" fillId="0" borderId="0" applyFill="0">
      <alignment vertical="top" wrapText="1"/>
    </xf>
    <xf numFmtId="0" fontId="18" fillId="0" borderId="0" applyFill="0">
      <alignment horizontal="left" vertical="top" wrapText="1"/>
    </xf>
    <xf numFmtId="169" fontId="16" fillId="0" borderId="0" applyFill="0"/>
    <xf numFmtId="0" fontId="117" fillId="0" borderId="0" applyNumberFormat="0" applyFont="0" applyAlignment="0">
      <alignment horizontal="center"/>
    </xf>
    <xf numFmtId="0" fontId="118" fillId="0" borderId="0" applyFill="0">
      <alignment vertical="center" wrapText="1"/>
    </xf>
    <xf numFmtId="0" fontId="19" fillId="0" borderId="0">
      <alignment horizontal="left" vertical="center" wrapText="1"/>
    </xf>
    <xf numFmtId="169" fontId="28" fillId="0" borderId="0" applyFill="0"/>
    <xf numFmtId="0" fontId="117" fillId="0" borderId="0" applyNumberFormat="0" applyFont="0" applyAlignment="0">
      <alignment horizontal="center"/>
    </xf>
    <xf numFmtId="0" fontId="119" fillId="0" borderId="0" applyFill="0">
      <alignment horizontal="center" vertical="center" wrapText="1"/>
    </xf>
    <xf numFmtId="0" fontId="16" fillId="0" borderId="0" applyFill="0">
      <alignment horizontal="center" vertical="center" wrapText="1"/>
    </xf>
    <xf numFmtId="0" fontId="16" fillId="0" borderId="0" applyFill="0">
      <alignment horizontal="center" vertical="center" wrapText="1"/>
    </xf>
    <xf numFmtId="169" fontId="120" fillId="0" borderId="0" applyFill="0"/>
    <xf numFmtId="0" fontId="117" fillId="0" borderId="0" applyNumberFormat="0" applyFont="0" applyAlignment="0">
      <alignment horizontal="center"/>
    </xf>
    <xf numFmtId="0" fontId="121" fillId="0" borderId="0" applyFill="0">
      <alignment horizontal="center" vertical="center" wrapText="1"/>
    </xf>
    <xf numFmtId="0" fontId="122" fillId="0" borderId="0" applyFill="0">
      <alignment horizontal="center" vertical="center" wrapText="1"/>
    </xf>
    <xf numFmtId="169" fontId="123" fillId="0" borderId="0" applyFill="0"/>
    <xf numFmtId="0" fontId="117" fillId="0" borderId="0" applyNumberFormat="0" applyFont="0" applyAlignment="0">
      <alignment horizontal="center"/>
    </xf>
    <xf numFmtId="0" fontId="124" fillId="0" borderId="0">
      <alignment horizontal="center" wrapText="1"/>
    </xf>
    <xf numFmtId="0" fontId="120" fillId="0" borderId="0" applyFill="0">
      <alignment horizontal="center" wrapText="1"/>
    </xf>
    <xf numFmtId="184" fontId="140" fillId="0" borderId="0" applyFont="0" applyFill="0" applyBorder="0" applyAlignment="0" applyProtection="0">
      <protection locked="0"/>
    </xf>
    <xf numFmtId="200" fontId="140" fillId="0" borderId="0" applyFont="0" applyFill="0" applyBorder="0" applyAlignment="0" applyProtection="0">
      <protection locked="0"/>
    </xf>
    <xf numFmtId="39" fontId="16" fillId="0" borderId="0" applyFont="0" applyFill="0" applyBorder="0" applyAlignment="0" applyProtection="0"/>
    <xf numFmtId="201" fontId="141" fillId="0" borderId="0" applyFont="0" applyFill="0" applyBorder="0" applyAlignment="0" applyProtection="0"/>
    <xf numFmtId="187" fontId="79" fillId="0" borderId="0" applyFont="0" applyFill="0" applyBorder="0" applyAlignment="0" applyProtection="0"/>
    <xf numFmtId="0" fontId="16" fillId="0" borderId="4" applyNumberFormat="0" applyFont="0" applyFill="0" applyBorder="0" applyProtection="0">
      <alignment horizontal="centerContinuous" vertical="center"/>
    </xf>
    <xf numFmtId="0" fontId="61" fillId="0" borderId="0" applyFill="0" applyBorder="0" applyProtection="0">
      <alignment horizontal="center"/>
      <protection locked="0"/>
    </xf>
    <xf numFmtId="0" fontId="16"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202" fontId="137" fillId="0" borderId="0" applyFont="0" applyFill="0" applyBorder="0" applyAlignment="0" applyProtection="0"/>
    <xf numFmtId="203" fontId="137" fillId="0" borderId="0" applyFont="0" applyFill="0" applyBorder="0" applyAlignment="0" applyProtection="0"/>
    <xf numFmtId="204" fontId="137" fillId="0" borderId="0" applyFont="0" applyFill="0" applyBorder="0" applyAlignment="0" applyProtection="0"/>
    <xf numFmtId="205" fontId="135" fillId="0" borderId="0" applyFont="0" applyFill="0" applyBorder="0" applyAlignment="0" applyProtection="0"/>
    <xf numFmtId="206" fontId="143" fillId="0" borderId="0" applyFont="0" applyFill="0" applyBorder="0" applyAlignment="0" applyProtection="0"/>
    <xf numFmtId="207" fontId="143" fillId="0" borderId="0" applyFont="0" applyFill="0" applyBorder="0" applyAlignment="0" applyProtection="0"/>
    <xf numFmtId="208" fontId="116" fillId="0" borderId="0" applyFont="0" applyFill="0" applyBorder="0" applyAlignment="0" applyProtection="0">
      <protection locked="0"/>
    </xf>
    <xf numFmtId="43" fontId="22" fillId="0" borderId="0" applyFont="0" applyFill="0" applyBorder="0" applyAlignment="0" applyProtection="0"/>
    <xf numFmtId="43" fontId="1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96" fillId="0" borderId="0" applyFont="0" applyFill="0" applyBorder="0" applyAlignment="0" applyProtection="0"/>
    <xf numFmtId="37" fontId="144" fillId="0" borderId="0" applyFill="0" applyBorder="0" applyAlignment="0" applyProtection="0"/>
    <xf numFmtId="3" fontId="16" fillId="0" borderId="0" applyFont="0" applyFill="0" applyBorder="0" applyAlignment="0" applyProtection="0"/>
    <xf numFmtId="0" fontId="23" fillId="0" borderId="0" applyFill="0" applyBorder="0" applyAlignment="0" applyProtection="0">
      <protection locked="0"/>
    </xf>
    <xf numFmtId="209" fontId="137" fillId="0" borderId="0" applyFont="0" applyFill="0" applyBorder="0" applyAlignment="0" applyProtection="0"/>
    <xf numFmtId="210" fontId="137" fillId="0" borderId="0" applyFont="0" applyFill="0" applyBorder="0" applyAlignment="0" applyProtection="0"/>
    <xf numFmtId="211" fontId="137" fillId="0" borderId="0" applyFont="0" applyFill="0" applyBorder="0" applyAlignment="0" applyProtection="0"/>
    <xf numFmtId="212" fontId="143" fillId="0" borderId="0" applyFont="0" applyFill="0" applyBorder="0" applyAlignment="0" applyProtection="0"/>
    <xf numFmtId="213" fontId="143" fillId="0" borderId="0" applyFont="0" applyFill="0" applyBorder="0" applyAlignment="0" applyProtection="0"/>
    <xf numFmtId="214" fontId="143" fillId="0" borderId="0" applyFont="0" applyFill="0" applyBorder="0" applyAlignment="0" applyProtection="0"/>
    <xf numFmtId="215" fontId="116" fillId="0" borderId="0" applyFont="0" applyFill="0" applyBorder="0" applyAlignment="0" applyProtection="0">
      <protection locked="0"/>
    </xf>
    <xf numFmtId="5" fontId="144" fillId="0" borderId="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216" fontId="79" fillId="0" borderId="0" applyFont="0" applyFill="0" applyBorder="0" applyAlignment="0" applyProtection="0"/>
    <xf numFmtId="186" fontId="16" fillId="0" borderId="0" applyFont="0" applyFill="0" applyBorder="0" applyAlignment="0" applyProtection="0"/>
    <xf numFmtId="217" fontId="140" fillId="0" borderId="0" applyFont="0" applyFill="0" applyBorder="0" applyAlignment="0" applyProtection="0">
      <protection locked="0"/>
    </xf>
    <xf numFmtId="7" fontId="34" fillId="0" borderId="0" applyFont="0" applyFill="0" applyBorder="0" applyAlignment="0" applyProtection="0"/>
    <xf numFmtId="218" fontId="141" fillId="0" borderId="0" applyFont="0" applyFill="0" applyBorder="0" applyAlignment="0" applyProtection="0"/>
    <xf numFmtId="185" fontId="145" fillId="0" borderId="0" applyFont="0" applyFill="0" applyBorder="0" applyAlignment="0" applyProtection="0"/>
    <xf numFmtId="0" fontId="146" fillId="72" borderId="71" applyNumberFormat="0" applyFont="0" applyFill="0" applyAlignment="0" applyProtection="0">
      <alignment horizontal="left" indent="1"/>
    </xf>
    <xf numFmtId="14" fontId="16" fillId="0" borderId="0" applyFont="0" applyFill="0" applyBorder="0" applyAlignment="0" applyProtection="0"/>
    <xf numFmtId="219" fontId="137" fillId="0" borderId="0" applyFont="0" applyFill="0" applyBorder="0" applyProtection="0"/>
    <xf numFmtId="220" fontId="137" fillId="0" borderId="0" applyFont="0" applyFill="0" applyBorder="0" applyProtection="0"/>
    <xf numFmtId="221" fontId="137" fillId="0" borderId="0" applyFont="0" applyFill="0" applyBorder="0" applyAlignment="0" applyProtection="0"/>
    <xf numFmtId="222" fontId="137" fillId="0" borderId="0" applyFont="0" applyFill="0" applyBorder="0" applyAlignment="0" applyProtection="0"/>
    <xf numFmtId="223" fontId="137" fillId="0" borderId="0" applyFont="0" applyFill="0" applyBorder="0" applyAlignment="0" applyProtection="0"/>
    <xf numFmtId="224" fontId="147" fillId="0" borderId="0" applyFont="0" applyFill="0" applyBorder="0" applyAlignment="0" applyProtection="0"/>
    <xf numFmtId="5" fontId="148" fillId="0" borderId="0" applyBorder="0"/>
    <xf numFmtId="186" fontId="148" fillId="0" borderId="0" applyBorder="0"/>
    <xf numFmtId="7" fontId="148" fillId="0" borderId="0" applyBorder="0"/>
    <xf numFmtId="37" fontId="148" fillId="0" borderId="0" applyBorder="0"/>
    <xf numFmtId="184" fontId="148" fillId="0" borderId="0" applyBorder="0"/>
    <xf numFmtId="225" fontId="148" fillId="0" borderId="0" applyBorder="0"/>
    <xf numFmtId="39" fontId="148" fillId="0" borderId="0" applyBorder="0"/>
    <xf numFmtId="226" fontId="148" fillId="0" borderId="0" applyBorder="0"/>
    <xf numFmtId="7" fontId="16" fillId="0" borderId="0" applyFont="0" applyFill="0" applyBorder="0" applyAlignment="0" applyProtection="0"/>
    <xf numFmtId="227" fontId="79" fillId="0" borderId="0" applyFont="0" applyFill="0" applyBorder="0" applyAlignment="0" applyProtection="0"/>
    <xf numFmtId="228" fontId="79" fillId="0" borderId="0" applyFont="0" applyFill="0" applyAlignment="0" applyProtection="0"/>
    <xf numFmtId="227" fontId="79" fillId="0" borderId="0" applyFont="0" applyFill="0" applyBorder="0" applyAlignment="0" applyProtection="0"/>
    <xf numFmtId="175" fontId="34" fillId="0" borderId="0" applyFont="0" applyFill="0" applyBorder="0" applyAlignment="0" applyProtection="0"/>
    <xf numFmtId="2" fontId="16" fillId="0" borderId="0" applyFont="0" applyFill="0" applyBorder="0" applyAlignment="0" applyProtection="0"/>
    <xf numFmtId="0" fontId="149" fillId="0" borderId="0"/>
    <xf numFmtId="184" fontId="150" fillId="0" borderId="0" applyNumberFormat="0" applyFill="0" applyBorder="0" applyAlignment="0" applyProtection="0"/>
    <xf numFmtId="0" fontId="34" fillId="0" borderId="0" applyFont="0" applyFill="0" applyBorder="0" applyAlignment="0" applyProtection="0"/>
    <xf numFmtId="0" fontId="137" fillId="0" borderId="0" applyFont="0" applyFill="0" applyBorder="0" applyProtection="0">
      <alignment horizontal="center" wrapText="1"/>
    </xf>
    <xf numFmtId="229" fontId="137" fillId="0" borderId="0" applyFont="0" applyFill="0" applyBorder="0" applyProtection="0">
      <alignment horizontal="right"/>
    </xf>
    <xf numFmtId="0" fontId="150" fillId="0" borderId="0" applyNumberFormat="0" applyFill="0" applyBorder="0" applyAlignment="0" applyProtection="0"/>
    <xf numFmtId="0" fontId="151" fillId="73" borderId="0" applyNumberFormat="0" applyFill="0" applyBorder="0" applyAlignment="0" applyProtection="0"/>
    <xf numFmtId="0" fontId="18" fillId="0" borderId="12" applyNumberFormat="0" applyAlignment="0" applyProtection="0">
      <alignment horizontal="left" vertical="center"/>
    </xf>
    <xf numFmtId="0" fontId="18" fillId="0" borderId="22">
      <alignment horizontal="left" vertical="center"/>
    </xf>
    <xf numFmtId="14" fontId="17" fillId="74" borderId="2">
      <alignment horizontal="center" vertical="center" wrapText="1"/>
    </xf>
    <xf numFmtId="0" fontId="12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61" fillId="0" borderId="0" applyFill="0" applyAlignment="0" applyProtection="0">
      <protection locked="0"/>
    </xf>
    <xf numFmtId="0" fontId="61" fillId="0" borderId="4" applyFill="0" applyAlignment="0" applyProtection="0">
      <protection locked="0"/>
    </xf>
    <xf numFmtId="0" fontId="126" fillId="0" borderId="2"/>
    <xf numFmtId="0" fontId="127" fillId="0" borderId="0"/>
    <xf numFmtId="0" fontId="152" fillId="0" borderId="4" applyNumberFormat="0" applyFill="0" applyAlignment="0" applyProtection="0"/>
    <xf numFmtId="0" fontId="147" fillId="75" borderId="0" applyNumberFormat="0" applyFont="0" applyBorder="0" applyAlignment="0" applyProtection="0"/>
    <xf numFmtId="0" fontId="134" fillId="10" borderId="13" applyNumberFormat="0" applyAlignment="0" applyProtection="0"/>
    <xf numFmtId="230" fontId="137" fillId="0" borderId="0" applyFont="0" applyFill="0" applyBorder="0" applyProtection="0">
      <alignment horizontal="left"/>
    </xf>
    <xf numFmtId="231" fontId="137" fillId="0" borderId="0" applyFont="0" applyFill="0" applyBorder="0" applyProtection="0">
      <alignment horizontal="left"/>
    </xf>
    <xf numFmtId="232" fontId="137" fillId="0" borderId="0" applyFont="0" applyFill="0" applyBorder="0" applyProtection="0">
      <alignment horizontal="left"/>
    </xf>
    <xf numFmtId="233" fontId="137" fillId="0" borderId="0" applyFont="0" applyFill="0" applyBorder="0" applyProtection="0">
      <alignment horizontal="left"/>
    </xf>
    <xf numFmtId="10" fontId="34" fillId="76" borderId="13" applyNumberFormat="0" applyBorder="0" applyAlignment="0" applyProtection="0"/>
    <xf numFmtId="5" fontId="153" fillId="0" borderId="0" applyBorder="0"/>
    <xf numFmtId="186" fontId="153" fillId="0" borderId="0" applyBorder="0"/>
    <xf numFmtId="7" fontId="153" fillId="0" borderId="0" applyBorder="0"/>
    <xf numFmtId="37" fontId="153" fillId="0" borderId="0" applyBorder="0"/>
    <xf numFmtId="184" fontId="153" fillId="0" borderId="0" applyBorder="0"/>
    <xf numFmtId="225" fontId="153" fillId="0" borderId="0" applyBorder="0"/>
    <xf numFmtId="39" fontId="153" fillId="0" borderId="0" applyBorder="0"/>
    <xf numFmtId="226" fontId="153" fillId="0" borderId="0" applyBorder="0"/>
    <xf numFmtId="0" fontId="147" fillId="0" borderId="66" applyNumberFormat="0" applyFont="0" applyFill="0" applyAlignment="0" applyProtection="0"/>
    <xf numFmtId="0" fontId="154" fillId="0" borderId="0"/>
    <xf numFmtId="0" fontId="34" fillId="4" borderId="0"/>
    <xf numFmtId="234" fontId="16" fillId="0" borderId="0" applyFont="0" applyFill="0" applyBorder="0" applyAlignment="0" applyProtection="0"/>
    <xf numFmtId="235" fontId="16" fillId="0" borderId="0" applyFont="0" applyFill="0" applyBorder="0" applyAlignment="0" applyProtection="0"/>
    <xf numFmtId="236" fontId="16" fillId="0" borderId="0" applyFont="0" applyFill="0" applyBorder="0" applyAlignment="0" applyProtection="0"/>
    <xf numFmtId="237" fontId="16" fillId="0" borderId="0" applyFont="0" applyFill="0" applyBorder="0" applyAlignment="0" applyProtection="0"/>
    <xf numFmtId="0" fontId="16" fillId="0" borderId="0" applyFont="0" applyFill="0" applyBorder="0" applyAlignment="0" applyProtection="0">
      <alignment horizontal="right"/>
    </xf>
    <xf numFmtId="238" fontId="16" fillId="0" borderId="0" applyFont="0" applyFill="0" applyBorder="0" applyAlignment="0" applyProtection="0"/>
    <xf numFmtId="37" fontId="155" fillId="0" borderId="0"/>
    <xf numFmtId="0" fontId="79" fillId="0" borderId="0"/>
    <xf numFmtId="0" fontId="3" fillId="0" borderId="0"/>
    <xf numFmtId="7" fontId="165" fillId="0" borderId="0"/>
    <xf numFmtId="0" fontId="135"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2" fillId="0" borderId="0" applyProtection="0"/>
    <xf numFmtId="0" fontId="3" fillId="0" borderId="0"/>
    <xf numFmtId="0" fontId="3" fillId="0" borderId="0"/>
    <xf numFmtId="0" fontId="3" fillId="0" borderId="0"/>
    <xf numFmtId="0" fontId="3" fillId="0" borderId="0"/>
    <xf numFmtId="0" fontId="132" fillId="77" borderId="0" applyNumberFormat="0" applyFont="0" applyBorder="0" applyAlignment="0"/>
    <xf numFmtId="239" fontId="16" fillId="0" borderId="0" applyFont="0" applyFill="0" applyBorder="0" applyAlignment="0" applyProtection="0"/>
    <xf numFmtId="240" fontId="156" fillId="0" borderId="0"/>
    <xf numFmtId="239" fontId="16" fillId="0" borderId="0" applyFont="0" applyFill="0" applyBorder="0" applyAlignment="0" applyProtection="0"/>
    <xf numFmtId="239" fontId="16" fillId="0" borderId="0" applyFont="0" applyFill="0" applyBorder="0" applyAlignment="0" applyProtection="0"/>
    <xf numFmtId="239" fontId="16" fillId="0" borderId="0" applyFont="0" applyFill="0" applyBorder="0" applyAlignment="0" applyProtection="0"/>
    <xf numFmtId="241" fontId="16" fillId="0" borderId="0"/>
    <xf numFmtId="242" fontId="79" fillId="0" borderId="0"/>
    <xf numFmtId="242" fontId="79" fillId="0" borderId="0"/>
    <xf numFmtId="240" fontId="156" fillId="0" borderId="0"/>
    <xf numFmtId="0" fontId="79" fillId="0" borderId="0"/>
    <xf numFmtId="240" fontId="144" fillId="0" borderId="0"/>
    <xf numFmtId="241" fontId="16" fillId="0" borderId="0"/>
    <xf numFmtId="242" fontId="79" fillId="0" borderId="0"/>
    <xf numFmtId="242" fontId="79" fillId="0" borderId="0"/>
    <xf numFmtId="0" fontId="79" fillId="0" borderId="0"/>
    <xf numFmtId="0" fontId="79" fillId="0" borderId="0"/>
    <xf numFmtId="243" fontId="79" fillId="0" borderId="0"/>
    <xf numFmtId="173" fontId="79" fillId="0" borderId="0"/>
    <xf numFmtId="244" fontId="79" fillId="0" borderId="0"/>
    <xf numFmtId="243" fontId="79" fillId="0" borderId="0"/>
    <xf numFmtId="173" fontId="79" fillId="0" borderId="0"/>
    <xf numFmtId="245" fontId="79" fillId="0" borderId="0"/>
    <xf numFmtId="245" fontId="79" fillId="0" borderId="0"/>
    <xf numFmtId="183" fontId="79" fillId="0" borderId="0"/>
    <xf numFmtId="244" fontId="79" fillId="0" borderId="0"/>
    <xf numFmtId="165" fontId="79" fillId="0" borderId="0"/>
    <xf numFmtId="183" fontId="79" fillId="0" borderId="0"/>
    <xf numFmtId="183" fontId="79" fillId="0" borderId="0"/>
    <xf numFmtId="0" fontId="79" fillId="0" borderId="0"/>
    <xf numFmtId="239" fontId="16" fillId="0" borderId="0" applyFont="0" applyFill="0" applyBorder="0" applyAlignment="0" applyProtection="0"/>
    <xf numFmtId="239" fontId="16" fillId="0" borderId="0" applyFont="0" applyFill="0" applyBorder="0" applyAlignment="0" applyProtection="0"/>
    <xf numFmtId="239" fontId="16" fillId="0" borderId="0" applyFont="0" applyFill="0" applyBorder="0" applyAlignment="0" applyProtection="0"/>
    <xf numFmtId="240" fontId="156" fillId="0" borderId="0"/>
    <xf numFmtId="240" fontId="156" fillId="0" borderId="0"/>
    <xf numFmtId="239" fontId="16" fillId="0" borderId="0" applyFont="0" applyFill="0" applyBorder="0" applyAlignment="0" applyProtection="0"/>
    <xf numFmtId="240" fontId="156" fillId="0" borderId="0"/>
    <xf numFmtId="240" fontId="156" fillId="0" borderId="0"/>
    <xf numFmtId="243" fontId="79" fillId="0" borderId="0"/>
    <xf numFmtId="173" fontId="79" fillId="0" borderId="0"/>
    <xf numFmtId="244" fontId="79" fillId="0" borderId="0"/>
    <xf numFmtId="243" fontId="79" fillId="0" borderId="0"/>
    <xf numFmtId="173" fontId="79" fillId="0" borderId="0"/>
    <xf numFmtId="245" fontId="79" fillId="0" borderId="0"/>
    <xf numFmtId="245" fontId="79" fillId="0" borderId="0"/>
    <xf numFmtId="183" fontId="79" fillId="0" borderId="0"/>
    <xf numFmtId="244" fontId="79" fillId="0" borderId="0"/>
    <xf numFmtId="165" fontId="79" fillId="0" borderId="0"/>
    <xf numFmtId="183" fontId="79" fillId="0" borderId="0"/>
    <xf numFmtId="183" fontId="79" fillId="0" borderId="0"/>
    <xf numFmtId="246" fontId="28" fillId="7" borderId="0" applyFont="0" applyFill="0" applyBorder="0" applyAlignment="0" applyProtection="0"/>
    <xf numFmtId="247" fontId="28" fillId="7" borderId="0" applyFont="0" applyFill="0" applyBorder="0" applyAlignment="0" applyProtection="0"/>
    <xf numFmtId="248" fontId="16" fillId="0" borderId="0" applyFont="0" applyFill="0" applyBorder="0" applyAlignment="0" applyProtection="0"/>
    <xf numFmtId="249" fontId="143" fillId="0" borderId="0" applyFont="0" applyFill="0" applyBorder="0" applyAlignment="0" applyProtection="0"/>
    <xf numFmtId="250" fontId="135" fillId="0" borderId="0" applyFont="0" applyFill="0" applyBorder="0" applyAlignment="0" applyProtection="0"/>
    <xf numFmtId="251" fontId="16" fillId="0" borderId="0" applyFont="0" applyFill="0" applyBorder="0" applyAlignment="0" applyProtection="0"/>
    <xf numFmtId="252" fontId="137" fillId="0" borderId="0" applyFont="0" applyFill="0" applyBorder="0" applyAlignment="0" applyProtection="0"/>
    <xf numFmtId="253" fontId="137" fillId="0" borderId="0" applyFont="0" applyFill="0" applyBorder="0" applyAlignment="0" applyProtection="0"/>
    <xf numFmtId="254" fontId="137" fillId="0" borderId="0" applyFont="0" applyFill="0" applyBorder="0" applyAlignment="0" applyProtection="0"/>
    <xf numFmtId="255" fontId="137" fillId="0" borderId="0" applyFont="0" applyFill="0" applyBorder="0" applyAlignment="0" applyProtection="0"/>
    <xf numFmtId="256" fontId="143" fillId="0" borderId="0" applyFont="0" applyFill="0" applyBorder="0" applyAlignment="0" applyProtection="0"/>
    <xf numFmtId="257" fontId="135" fillId="0" borderId="0" applyFont="0" applyFill="0" applyBorder="0" applyAlignment="0" applyProtection="0"/>
    <xf numFmtId="258" fontId="143" fillId="0" borderId="0" applyFont="0" applyFill="0" applyBorder="0" applyAlignment="0" applyProtection="0"/>
    <xf numFmtId="259" fontId="135" fillId="0" borderId="0" applyFont="0" applyFill="0" applyBorder="0" applyAlignment="0" applyProtection="0"/>
    <xf numFmtId="260" fontId="143" fillId="0" borderId="0" applyFont="0" applyFill="0" applyBorder="0" applyAlignment="0" applyProtection="0"/>
    <xf numFmtId="261" fontId="135" fillId="0" borderId="0" applyFont="0" applyFill="0" applyBorder="0" applyAlignment="0" applyProtection="0"/>
    <xf numFmtId="262" fontId="116" fillId="0" borderId="0" applyFont="0" applyFill="0" applyBorder="0" applyAlignment="0" applyProtection="0">
      <protection locked="0"/>
    </xf>
    <xf numFmtId="263" fontId="135" fillId="0" borderId="0" applyFont="0" applyFill="0" applyBorder="0" applyAlignment="0" applyProtection="0"/>
    <xf numFmtId="9" fontId="56" fillId="0" borderId="0" applyFont="0" applyFill="0" applyBorder="0" applyAlignment="0" applyProtection="0"/>
    <xf numFmtId="194" fontId="144" fillId="0" borderId="0" applyFill="0" applyBorder="0" applyAlignment="0" applyProtection="0"/>
    <xf numFmtId="9" fontId="148" fillId="0" borderId="0" applyBorder="0"/>
    <xf numFmtId="170" fontId="148" fillId="0" borderId="0" applyBorder="0"/>
    <xf numFmtId="10" fontId="148" fillId="0" borderId="0" applyBorder="0"/>
    <xf numFmtId="3" fontId="16" fillId="0" borderId="0">
      <alignment horizontal="left" vertical="top"/>
    </xf>
    <xf numFmtId="169" fontId="22" fillId="0" borderId="0" applyProtection="0"/>
    <xf numFmtId="3" fontId="16" fillId="0" borderId="0">
      <alignment horizontal="right" vertical="top"/>
    </xf>
    <xf numFmtId="41" fontId="19" fillId="4" borderId="72" applyFill="0"/>
    <xf numFmtId="0" fontId="128" fillId="0" borderId="0">
      <alignment horizontal="left" indent="7"/>
    </xf>
    <xf numFmtId="41" fontId="19" fillId="0" borderId="72" applyFill="0">
      <alignment horizontal="left" indent="2"/>
    </xf>
    <xf numFmtId="169" fontId="61" fillId="0" borderId="4" applyFill="0">
      <alignment horizontal="right"/>
    </xf>
    <xf numFmtId="0" fontId="17" fillId="0" borderId="13" applyNumberFormat="0" applyFont="0" applyBorder="0">
      <alignment horizontal="right"/>
    </xf>
    <xf numFmtId="0" fontId="129" fillId="0" borderId="0" applyFill="0"/>
    <xf numFmtId="0" fontId="18" fillId="0" borderId="0" applyFill="0"/>
    <xf numFmtId="4" fontId="61" fillId="0" borderId="4" applyFill="0"/>
    <xf numFmtId="0" fontId="16" fillId="0" borderId="0" applyNumberFormat="0" applyFont="0" applyBorder="0" applyAlignment="0"/>
    <xf numFmtId="0" fontId="25" fillId="0" borderId="0" applyFill="0">
      <alignment horizontal="left" indent="1"/>
    </xf>
    <xf numFmtId="0" fontId="130" fillId="0" borderId="0" applyFill="0">
      <alignment horizontal="left" indent="1"/>
    </xf>
    <xf numFmtId="4" fontId="28" fillId="0" borderId="0" applyFill="0"/>
    <xf numFmtId="0" fontId="16" fillId="0" borderId="0" applyNumberFormat="0" applyFont="0" applyFill="0" applyBorder="0" applyAlignment="0"/>
    <xf numFmtId="0" fontId="25" fillId="0" borderId="0" applyFill="0">
      <alignment horizontal="left" indent="2"/>
    </xf>
    <xf numFmtId="0" fontId="18" fillId="0" borderId="0" applyFill="0">
      <alignment horizontal="left" indent="2"/>
    </xf>
    <xf numFmtId="4" fontId="28" fillId="0" borderId="0" applyFill="0"/>
    <xf numFmtId="0" fontId="16" fillId="0" borderId="0" applyNumberFormat="0" applyFont="0" applyBorder="0" applyAlignment="0"/>
    <xf numFmtId="0" fontId="131" fillId="0" borderId="0">
      <alignment horizontal="left" indent="3"/>
    </xf>
    <xf numFmtId="0" fontId="26" fillId="0" borderId="0" applyFill="0">
      <alignment horizontal="left" indent="3"/>
    </xf>
    <xf numFmtId="4" fontId="28" fillId="0" borderId="0" applyFill="0"/>
    <xf numFmtId="0" fontId="16" fillId="0" borderId="0" applyNumberFormat="0" applyFont="0" applyBorder="0" applyAlignment="0"/>
    <xf numFmtId="0" fontId="119" fillId="0" borderId="0">
      <alignment horizontal="left" indent="4"/>
    </xf>
    <xf numFmtId="0" fontId="16" fillId="0" borderId="0" applyFill="0">
      <alignment horizontal="left" indent="4"/>
    </xf>
    <xf numFmtId="0" fontId="16" fillId="0" borderId="0" applyFill="0">
      <alignment horizontal="left" indent="4"/>
    </xf>
    <xf numFmtId="4" fontId="120" fillId="0" borderId="0" applyFill="0"/>
    <xf numFmtId="0" fontId="16" fillId="0" borderId="0" applyNumberFormat="0" applyFont="0" applyBorder="0" applyAlignment="0"/>
    <xf numFmtId="0" fontId="121" fillId="0" borderId="0">
      <alignment horizontal="left" indent="5"/>
    </xf>
    <xf numFmtId="0" fontId="122" fillId="0" borderId="0" applyFill="0">
      <alignment horizontal="left" indent="5"/>
    </xf>
    <xf numFmtId="4" fontId="123" fillId="0" borderId="0" applyFill="0"/>
    <xf numFmtId="0" fontId="16" fillId="0" borderId="0" applyNumberFormat="0" applyFont="0" applyFill="0" applyBorder="0" applyAlignment="0"/>
    <xf numFmtId="0" fontId="124" fillId="0" borderId="0" applyFill="0">
      <alignment horizontal="left" indent="6"/>
    </xf>
    <xf numFmtId="0" fontId="120" fillId="0" borderId="0" applyFill="0">
      <alignment horizontal="left" indent="6"/>
    </xf>
    <xf numFmtId="0" fontId="147" fillId="0" borderId="73" applyNumberFormat="0" applyFont="0" applyFill="0" applyAlignment="0" applyProtection="0"/>
    <xf numFmtId="0" fontId="157" fillId="0" borderId="0" applyNumberFormat="0" applyFill="0" applyBorder="0" applyAlignment="0" applyProtection="0"/>
    <xf numFmtId="0" fontId="158" fillId="0" borderId="0"/>
    <xf numFmtId="0" fontId="158" fillId="0" borderId="0"/>
    <xf numFmtId="0" fontId="136" fillId="0" borderId="2">
      <alignment horizontal="right"/>
    </xf>
    <xf numFmtId="264" fontId="145" fillId="0" borderId="0">
      <alignment horizontal="center"/>
    </xf>
    <xf numFmtId="265" fontId="159" fillId="0" borderId="0">
      <alignment horizontal="center"/>
    </xf>
    <xf numFmtId="0" fontId="160" fillId="0" borderId="0" applyNumberFormat="0" applyFill="0" applyBorder="0" applyAlignment="0" applyProtection="0"/>
    <xf numFmtId="0" fontId="96" fillId="0" borderId="0" applyNumberFormat="0" applyBorder="0" applyAlignment="0"/>
    <xf numFmtId="0" fontId="95" fillId="0" borderId="0" applyNumberFormat="0" applyBorder="0" applyAlignment="0"/>
    <xf numFmtId="0" fontId="147" fillId="72" borderId="0" applyNumberFormat="0" applyFont="0" applyBorder="0" applyAlignment="0" applyProtection="0"/>
    <xf numFmtId="246" fontId="161" fillId="0" borderId="22" applyNumberFormat="0" applyFont="0" applyFill="0" applyAlignment="0" applyProtection="0"/>
    <xf numFmtId="0" fontId="21" fillId="0" borderId="0" applyFill="0" applyBorder="0" applyProtection="0">
      <alignment horizontal="left" vertical="top"/>
    </xf>
    <xf numFmtId="0" fontId="162" fillId="0" borderId="0" applyAlignment="0">
      <alignment horizontal="centerContinuous"/>
    </xf>
    <xf numFmtId="0" fontId="16" fillId="0" borderId="3" applyNumberFormat="0" applyFont="0" applyFill="0" applyAlignment="0" applyProtection="0"/>
    <xf numFmtId="0" fontId="16" fillId="0" borderId="0" applyFont="0" applyFill="0" applyBorder="0" applyAlignment="0" applyProtection="0"/>
    <xf numFmtId="0" fontId="163" fillId="0" borderId="0" applyNumberFormat="0" applyFill="0" applyBorder="0" applyAlignment="0" applyProtection="0"/>
    <xf numFmtId="266" fontId="135" fillId="0" borderId="0" applyFont="0" applyFill="0" applyBorder="0" applyAlignment="0" applyProtection="0"/>
    <xf numFmtId="267" fontId="135" fillId="0" borderId="0" applyFont="0" applyFill="0" applyBorder="0" applyAlignment="0" applyProtection="0"/>
    <xf numFmtId="268" fontId="135" fillId="0" borderId="0" applyFont="0" applyFill="0" applyBorder="0" applyAlignment="0" applyProtection="0"/>
    <xf numFmtId="269" fontId="135" fillId="0" borderId="0" applyFont="0" applyFill="0" applyBorder="0" applyAlignment="0" applyProtection="0"/>
    <xf numFmtId="270" fontId="135" fillId="0" borderId="0" applyFont="0" applyFill="0" applyBorder="0" applyAlignment="0" applyProtection="0"/>
    <xf numFmtId="271" fontId="135" fillId="0" borderId="0" applyFont="0" applyFill="0" applyBorder="0" applyAlignment="0" applyProtection="0"/>
    <xf numFmtId="272" fontId="135" fillId="0" borderId="0" applyFont="0" applyFill="0" applyBorder="0" applyAlignment="0" applyProtection="0"/>
    <xf numFmtId="273" fontId="135" fillId="0" borderId="0" applyFont="0" applyFill="0" applyBorder="0" applyAlignment="0" applyProtection="0"/>
    <xf numFmtId="274" fontId="164" fillId="72" borderId="74" applyFont="0" applyFill="0" applyBorder="0" applyAlignment="0" applyProtection="0"/>
    <xf numFmtId="274" fontId="79" fillId="0" borderId="0" applyFont="0" applyFill="0" applyBorder="0" applyAlignment="0" applyProtection="0"/>
    <xf numFmtId="275" fontId="141" fillId="0" borderId="0" applyFont="0" applyFill="0" applyBorder="0" applyAlignment="0" applyProtection="0"/>
    <xf numFmtId="276" fontId="145" fillId="0" borderId="22" applyFont="0" applyFill="0" applyBorder="0" applyAlignment="0" applyProtection="0">
      <alignment horizontal="right"/>
      <protection locked="0"/>
    </xf>
    <xf numFmtId="43" fontId="56" fillId="0" borderId="0" applyFont="0" applyFill="0" applyBorder="0" applyAlignment="0" applyProtection="0"/>
    <xf numFmtId="0" fontId="19" fillId="0" borderId="0"/>
    <xf numFmtId="43" fontId="9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0" borderId="0"/>
    <xf numFmtId="0" fontId="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6" fillId="0" borderId="0"/>
    <xf numFmtId="0" fontId="30" fillId="0" borderId="0"/>
    <xf numFmtId="0" fontId="114" fillId="0" borderId="0"/>
    <xf numFmtId="0" fontId="114" fillId="0" borderId="0"/>
    <xf numFmtId="0" fontId="114" fillId="0" borderId="0"/>
    <xf numFmtId="0" fontId="114" fillId="0" borderId="0"/>
    <xf numFmtId="0" fontId="16"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6" fillId="0" borderId="0"/>
    <xf numFmtId="0" fontId="16" fillId="0" borderId="0"/>
    <xf numFmtId="0" fontId="16" fillId="0" borderId="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7" fillId="43" borderId="0" applyNumberFormat="0" applyBorder="0" applyAlignment="0" applyProtection="0"/>
    <xf numFmtId="0" fontId="167" fillId="45" borderId="0" applyNumberFormat="0" applyBorder="0" applyAlignment="0" applyProtection="0"/>
    <xf numFmtId="0" fontId="167" fillId="47" borderId="0" applyNumberFormat="0" applyBorder="0" applyAlignment="0" applyProtection="0"/>
    <xf numFmtId="0" fontId="167" fillId="48" borderId="0" applyNumberFormat="0" applyBorder="0" applyAlignment="0" applyProtection="0"/>
    <xf numFmtId="0" fontId="167" fillId="50" borderId="0" applyNumberFormat="0" applyBorder="0" applyAlignment="0" applyProtection="0"/>
    <xf numFmtId="0" fontId="167" fillId="44" borderId="0" applyNumberFormat="0" applyBorder="0" applyAlignment="0" applyProtection="0"/>
    <xf numFmtId="0" fontId="167" fillId="52"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48" borderId="0" applyNumberFormat="0" applyBorder="0" applyAlignment="0" applyProtection="0"/>
    <xf numFmtId="0" fontId="167" fillId="52" borderId="0" applyNumberFormat="0" applyBorder="0" applyAlignment="0" applyProtection="0"/>
    <xf numFmtId="0" fontId="167" fillId="56" borderId="0" applyNumberFormat="0" applyBorder="0" applyAlignment="0" applyProtection="0"/>
    <xf numFmtId="0" fontId="168" fillId="58" borderId="0" applyNumberFormat="0" applyBorder="0" applyAlignment="0" applyProtection="0"/>
    <xf numFmtId="0" fontId="168" fillId="53" borderId="0" applyNumberFormat="0" applyBorder="0" applyAlignment="0" applyProtection="0"/>
    <xf numFmtId="0" fontId="168" fillId="55" borderId="0" applyNumberFormat="0" applyBorder="0" applyAlignment="0" applyProtection="0"/>
    <xf numFmtId="0" fontId="168" fillId="59" borderId="0" applyNumberFormat="0" applyBorder="0" applyAlignment="0" applyProtection="0"/>
    <xf numFmtId="0" fontId="168" fillId="57" borderId="0" applyNumberFormat="0" applyBorder="0" applyAlignment="0" applyProtection="0"/>
    <xf numFmtId="0" fontId="168" fillId="60" borderId="0" applyNumberFormat="0" applyBorder="0" applyAlignment="0" applyProtection="0"/>
    <xf numFmtId="0" fontId="168" fillId="61" borderId="0" applyNumberFormat="0" applyBorder="0" applyAlignment="0" applyProtection="0"/>
    <xf numFmtId="0" fontId="168" fillId="62" borderId="0" applyNumberFormat="0" applyBorder="0" applyAlignment="0" applyProtection="0"/>
    <xf numFmtId="0" fontId="168" fillId="63" borderId="0" applyNumberFormat="0" applyBorder="0" applyAlignment="0" applyProtection="0"/>
    <xf numFmtId="0" fontId="168" fillId="59" borderId="0" applyNumberFormat="0" applyBorder="0" applyAlignment="0" applyProtection="0"/>
    <xf numFmtId="0" fontId="168" fillId="57" borderId="0" applyNumberFormat="0" applyBorder="0" applyAlignment="0" applyProtection="0"/>
    <xf numFmtId="0" fontId="168" fillId="65" borderId="0" applyNumberFormat="0" applyBorder="0" applyAlignment="0" applyProtection="0"/>
    <xf numFmtId="0" fontId="169" fillId="45" borderId="0" applyNumberFormat="0" applyBorder="0" applyAlignment="0" applyProtection="0"/>
    <xf numFmtId="0" fontId="170" fillId="51" borderId="42" applyNumberFormat="0" applyAlignment="0" applyProtection="0"/>
    <xf numFmtId="0" fontId="171" fillId="66" borderId="43" applyNumberFormat="0" applyAlignment="0" applyProtection="0"/>
    <xf numFmtId="9" fontId="22"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72" fillId="0" borderId="0" applyNumberFormat="0" applyFill="0" applyBorder="0" applyAlignment="0" applyProtection="0"/>
    <xf numFmtId="0" fontId="173" fillId="47" borderId="0" applyNumberFormat="0" applyBorder="0" applyAlignment="0" applyProtection="0"/>
    <xf numFmtId="43" fontId="30" fillId="0" borderId="0" applyFont="0" applyFill="0" applyBorder="0" applyAlignment="0" applyProtection="0"/>
    <xf numFmtId="0" fontId="174" fillId="0" borderId="48" applyNumberFormat="0" applyFill="0" applyAlignment="0" applyProtection="0"/>
    <xf numFmtId="0" fontId="174" fillId="0" borderId="0" applyNumberFormat="0" applyFill="0" applyBorder="0" applyAlignment="0" applyProtection="0"/>
    <xf numFmtId="0" fontId="175" fillId="44" borderId="42" applyNumberFormat="0" applyAlignment="0" applyProtection="0"/>
    <xf numFmtId="0" fontId="176" fillId="0" borderId="49" applyNumberFormat="0" applyFill="0" applyAlignment="0" applyProtection="0"/>
    <xf numFmtId="0" fontId="177" fillId="54" borderId="0" applyNumberFormat="0" applyBorder="0" applyAlignment="0" applyProtection="0"/>
    <xf numFmtId="43" fontId="3" fillId="0" borderId="0" applyFont="0" applyFill="0" applyBorder="0" applyAlignment="0" applyProtection="0"/>
    <xf numFmtId="0" fontId="16" fillId="0" borderId="0"/>
    <xf numFmtId="0" fontId="16" fillId="0" borderId="0"/>
    <xf numFmtId="43" fontId="3" fillId="0" borderId="0" applyFont="0" applyFill="0" applyBorder="0" applyAlignment="0" applyProtection="0"/>
    <xf numFmtId="0" fontId="22" fillId="46" borderId="50" applyNumberFormat="0" applyFont="0" applyAlignment="0" applyProtection="0"/>
    <xf numFmtId="0" fontId="178" fillId="51" borderId="5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22" fillId="0" borderId="0" applyFont="0" applyFill="0" applyBorder="0" applyAlignment="0" applyProtection="0"/>
    <xf numFmtId="0" fontId="179" fillId="0" borderId="0" applyNumberFormat="0" applyFill="0" applyBorder="0" applyAlignment="0" applyProtection="0"/>
    <xf numFmtId="0" fontId="3" fillId="0" borderId="0"/>
    <xf numFmtId="0" fontId="3" fillId="0" borderId="0"/>
    <xf numFmtId="0" fontId="16" fillId="0" borderId="0"/>
    <xf numFmtId="0" fontId="166" fillId="0" borderId="0">
      <alignment vertical="top"/>
    </xf>
    <xf numFmtId="0" fontId="3" fillId="0" borderId="0"/>
    <xf numFmtId="169" fontId="22" fillId="0" borderId="0" applyProtection="0"/>
    <xf numFmtId="169" fontId="22" fillId="0" borderId="0" applyProtection="0"/>
    <xf numFmtId="0" fontId="16" fillId="0" borderId="0"/>
    <xf numFmtId="44" fontId="2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2" fillId="0" borderId="0" applyFont="0" applyFill="0" applyBorder="0" applyAlignment="0" applyProtection="0"/>
    <xf numFmtId="0" fontId="3" fillId="0" borderId="0"/>
    <xf numFmtId="0" fontId="3" fillId="0" borderId="0"/>
    <xf numFmtId="0" fontId="3" fillId="0" borderId="0"/>
    <xf numFmtId="0" fontId="3" fillId="0" borderId="0"/>
    <xf numFmtId="9" fontId="22" fillId="0" borderId="0" applyFont="0" applyFill="0" applyBorder="0" applyAlignment="0" applyProtection="0"/>
    <xf numFmtId="9" fontId="16" fillId="0" borderId="0" applyFont="0" applyFill="0" applyBorder="0" applyAlignment="0" applyProtection="0"/>
    <xf numFmtId="0" fontId="175" fillId="44" borderId="42"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75" fillId="44" borderId="42" applyNumberFormat="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3" fillId="0" borderId="0"/>
    <xf numFmtId="0" fontId="3" fillId="0" borderId="0"/>
    <xf numFmtId="0" fontId="3" fillId="0" borderId="0"/>
    <xf numFmtId="44" fontId="22" fillId="0" borderId="0" applyFont="0" applyFill="0" applyBorder="0" applyAlignment="0" applyProtection="0"/>
    <xf numFmtId="0" fontId="3"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56" fillId="43" borderId="0" applyNumberFormat="0" applyBorder="0" applyAlignment="0" applyProtection="0"/>
    <xf numFmtId="0" fontId="167"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56" fillId="45" borderId="0" applyNumberFormat="0" applyBorder="0" applyAlignment="0" applyProtection="0"/>
    <xf numFmtId="0" fontId="167" fillId="45"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56" fillId="47" borderId="0" applyNumberFormat="0" applyBorder="0" applyAlignment="0" applyProtection="0"/>
    <xf numFmtId="0" fontId="167" fillId="4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56" fillId="48" borderId="0" applyNumberFormat="0" applyBorder="0" applyAlignment="0" applyProtection="0"/>
    <xf numFmtId="0" fontId="167"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56" fillId="50" borderId="0" applyNumberFormat="0" applyBorder="0" applyAlignment="0" applyProtection="0"/>
    <xf numFmtId="0" fontId="167" fillId="5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67" fillId="4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56" fillId="52" borderId="0" applyNumberFormat="0" applyBorder="0" applyAlignment="0" applyProtection="0"/>
    <xf numFmtId="0" fontId="167" fillId="5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167" fillId="5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56" fillId="55" borderId="0" applyNumberFormat="0" applyBorder="0" applyAlignment="0" applyProtection="0"/>
    <xf numFmtId="0" fontId="167"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56" fillId="48" borderId="0" applyNumberFormat="0" applyBorder="0" applyAlignment="0" applyProtection="0"/>
    <xf numFmtId="0" fontId="167" fillId="4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67" fillId="5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56" fillId="56" borderId="0" applyNumberFormat="0" applyBorder="0" applyAlignment="0" applyProtection="0"/>
    <xf numFmtId="0" fontId="167" fillId="5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67" fillId="56" borderId="0" applyNumberFormat="0" applyBorder="0" applyAlignment="0" applyProtection="0"/>
    <xf numFmtId="0" fontId="167" fillId="56" borderId="0" applyNumberFormat="0" applyBorder="0" applyAlignment="0" applyProtection="0"/>
    <xf numFmtId="0" fontId="167" fillId="56" borderId="0" applyNumberFormat="0" applyBorder="0" applyAlignment="0" applyProtection="0"/>
    <xf numFmtId="0" fontId="167" fillId="56" borderId="0" applyNumberFormat="0" applyBorder="0" applyAlignment="0" applyProtection="0"/>
    <xf numFmtId="0" fontId="74" fillId="58" borderId="0" applyNumberFormat="0" applyBorder="0" applyAlignment="0" applyProtection="0"/>
    <xf numFmtId="0" fontId="168" fillId="58" borderId="0" applyNumberFormat="0" applyBorder="0" applyAlignment="0" applyProtection="0"/>
    <xf numFmtId="0" fontId="73" fillId="21" borderId="0" applyNumberFormat="0" applyBorder="0" applyAlignment="0" applyProtection="0"/>
    <xf numFmtId="0" fontId="168" fillId="58" borderId="0" applyNumberFormat="0" applyBorder="0" applyAlignment="0" applyProtection="0"/>
    <xf numFmtId="0" fontId="168" fillId="58" borderId="0" applyNumberFormat="0" applyBorder="0" applyAlignment="0" applyProtection="0"/>
    <xf numFmtId="0" fontId="168" fillId="58" borderId="0" applyNumberFormat="0" applyBorder="0" applyAlignment="0" applyProtection="0"/>
    <xf numFmtId="0" fontId="168" fillId="58"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168" fillId="53" borderId="0" applyNumberFormat="0" applyBorder="0" applyAlignment="0" applyProtection="0"/>
    <xf numFmtId="0" fontId="73" fillId="25"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74" fillId="55" borderId="0" applyNumberFormat="0" applyBorder="0" applyAlignment="0" applyProtection="0"/>
    <xf numFmtId="0" fontId="168" fillId="55" borderId="0" applyNumberFormat="0" applyBorder="0" applyAlignment="0" applyProtection="0"/>
    <xf numFmtId="0" fontId="73" fillId="29"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74" fillId="59" borderId="0" applyNumberFormat="0" applyBorder="0" applyAlignment="0" applyProtection="0"/>
    <xf numFmtId="0" fontId="168" fillId="59" borderId="0" applyNumberFormat="0" applyBorder="0" applyAlignment="0" applyProtection="0"/>
    <xf numFmtId="0" fontId="73" fillId="33"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68" fillId="57" borderId="0" applyNumberFormat="0" applyBorder="0" applyAlignment="0" applyProtection="0"/>
    <xf numFmtId="0" fontId="73" fillId="3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74" fillId="60" borderId="0" applyNumberFormat="0" applyBorder="0" applyAlignment="0" applyProtection="0"/>
    <xf numFmtId="0" fontId="168" fillId="60" borderId="0" applyNumberFormat="0" applyBorder="0" applyAlignment="0" applyProtection="0"/>
    <xf numFmtId="0" fontId="73" fillId="41" borderId="0" applyNumberFormat="0" applyBorder="0" applyAlignment="0" applyProtection="0"/>
    <xf numFmtId="0" fontId="168" fillId="60" borderId="0" applyNumberFormat="0" applyBorder="0" applyAlignment="0" applyProtection="0"/>
    <xf numFmtId="0" fontId="168" fillId="60" borderId="0" applyNumberFormat="0" applyBorder="0" applyAlignment="0" applyProtection="0"/>
    <xf numFmtId="0" fontId="168" fillId="60" borderId="0" applyNumberFormat="0" applyBorder="0" applyAlignment="0" applyProtection="0"/>
    <xf numFmtId="0" fontId="168" fillId="60" borderId="0" applyNumberFormat="0" applyBorder="0" applyAlignment="0" applyProtection="0"/>
    <xf numFmtId="0" fontId="74" fillId="61" borderId="0" applyNumberFormat="0" applyBorder="0" applyAlignment="0" applyProtection="0"/>
    <xf numFmtId="0" fontId="168" fillId="61" borderId="0" applyNumberFormat="0" applyBorder="0" applyAlignment="0" applyProtection="0"/>
    <xf numFmtId="0" fontId="73" fillId="18"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168" fillId="62" borderId="0" applyNumberFormat="0" applyBorder="0" applyAlignment="0" applyProtection="0"/>
    <xf numFmtId="0" fontId="73" fillId="22" borderId="0" applyNumberFormat="0" applyBorder="0" applyAlignment="0" applyProtection="0"/>
    <xf numFmtId="0" fontId="168" fillId="62" borderId="0" applyNumberFormat="0" applyBorder="0" applyAlignment="0" applyProtection="0"/>
    <xf numFmtId="0" fontId="168" fillId="62" borderId="0" applyNumberFormat="0" applyBorder="0" applyAlignment="0" applyProtection="0"/>
    <xf numFmtId="0" fontId="168" fillId="62" borderId="0" applyNumberFormat="0" applyBorder="0" applyAlignment="0" applyProtection="0"/>
    <xf numFmtId="0" fontId="168" fillId="62"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168" fillId="63" borderId="0" applyNumberFormat="0" applyBorder="0" applyAlignment="0" applyProtection="0"/>
    <xf numFmtId="0" fontId="73" fillId="26" borderId="0" applyNumberFormat="0" applyBorder="0" applyAlignment="0" applyProtection="0"/>
    <xf numFmtId="0" fontId="168" fillId="63" borderId="0" applyNumberFormat="0" applyBorder="0" applyAlignment="0" applyProtection="0"/>
    <xf numFmtId="0" fontId="168" fillId="63" borderId="0" applyNumberFormat="0" applyBorder="0" applyAlignment="0" applyProtection="0"/>
    <xf numFmtId="0" fontId="168" fillId="63" borderId="0" applyNumberFormat="0" applyBorder="0" applyAlignment="0" applyProtection="0"/>
    <xf numFmtId="0" fontId="168" fillId="63" borderId="0" applyNumberFormat="0" applyBorder="0" applyAlignment="0" applyProtection="0"/>
    <xf numFmtId="0" fontId="74" fillId="59" borderId="0" applyNumberFormat="0" applyBorder="0" applyAlignment="0" applyProtection="0"/>
    <xf numFmtId="0" fontId="168" fillId="59" borderId="0" applyNumberFormat="0" applyBorder="0" applyAlignment="0" applyProtection="0"/>
    <xf numFmtId="0" fontId="73" fillId="30"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68" fillId="57" borderId="0" applyNumberFormat="0" applyBorder="0" applyAlignment="0" applyProtection="0"/>
    <xf numFmtId="0" fontId="73" fillId="34"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168" fillId="65" borderId="0" applyNumberFormat="0" applyBorder="0" applyAlignment="0" applyProtection="0"/>
    <xf numFmtId="0" fontId="73" fillId="38" borderId="0" applyNumberFormat="0" applyBorder="0" applyAlignment="0" applyProtection="0"/>
    <xf numFmtId="0" fontId="168" fillId="65" borderId="0" applyNumberFormat="0" applyBorder="0" applyAlignment="0" applyProtection="0"/>
    <xf numFmtId="0" fontId="168" fillId="65" borderId="0" applyNumberFormat="0" applyBorder="0" applyAlignment="0" applyProtection="0"/>
    <xf numFmtId="0" fontId="168" fillId="65" borderId="0" applyNumberFormat="0" applyBorder="0" applyAlignment="0" applyProtection="0"/>
    <xf numFmtId="0" fontId="168" fillId="6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69" fillId="45" borderId="0" applyNumberFormat="0" applyBorder="0" applyAlignment="0" applyProtection="0"/>
    <xf numFmtId="0" fontId="65" fillId="13"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76" fillId="51" borderId="42" applyNumberFormat="0" applyAlignment="0" applyProtection="0"/>
    <xf numFmtId="0" fontId="170" fillId="51" borderId="42" applyNumberFormat="0" applyAlignment="0" applyProtection="0"/>
    <xf numFmtId="0" fontId="68" fillId="15" borderId="37" applyNumberFormat="0" applyAlignment="0" applyProtection="0"/>
    <xf numFmtId="0" fontId="170" fillId="51" borderId="42" applyNumberFormat="0" applyAlignment="0" applyProtection="0"/>
    <xf numFmtId="0" fontId="170" fillId="51" borderId="42" applyNumberFormat="0" applyAlignment="0" applyProtection="0"/>
    <xf numFmtId="0" fontId="170" fillId="51" borderId="42" applyNumberFormat="0" applyAlignment="0" applyProtection="0"/>
    <xf numFmtId="0" fontId="170" fillId="51" borderId="42" applyNumberFormat="0" applyAlignment="0" applyProtection="0"/>
    <xf numFmtId="0" fontId="77" fillId="66" borderId="43" applyNumberFormat="0" applyAlignment="0" applyProtection="0"/>
    <xf numFmtId="0" fontId="77" fillId="66" borderId="43" applyNumberFormat="0" applyAlignment="0" applyProtection="0"/>
    <xf numFmtId="0" fontId="171" fillId="66" borderId="43" applyNumberFormat="0" applyAlignment="0" applyProtection="0"/>
    <xf numFmtId="0" fontId="69" fillId="16" borderId="39" applyNumberFormat="0" applyAlignment="0" applyProtection="0"/>
    <xf numFmtId="0" fontId="171" fillId="66" borderId="43" applyNumberFormat="0" applyAlignment="0" applyProtection="0"/>
    <xf numFmtId="0" fontId="171" fillId="66" borderId="43" applyNumberFormat="0" applyAlignment="0" applyProtection="0"/>
    <xf numFmtId="0" fontId="171" fillId="66" borderId="43" applyNumberFormat="0" applyAlignment="0" applyProtection="0"/>
    <xf numFmtId="0" fontId="171" fillId="66" borderId="43" applyNumberFormat="0" applyAlignment="0" applyProtection="0"/>
    <xf numFmtId="40" fontId="30" fillId="0" borderId="0" applyFont="0" applyFill="0" applyBorder="0" applyAlignment="0" applyProtection="0"/>
    <xf numFmtId="40"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30" fillId="0" borderId="0" applyFont="0" applyFill="0" applyBorder="0" applyAlignment="0" applyProtection="0"/>
    <xf numFmtId="40" fontId="30" fillId="0" borderId="0" applyFont="0" applyFill="0" applyBorder="0" applyAlignment="0" applyProtection="0"/>
    <xf numFmtId="43" fontId="114" fillId="0" borderId="0" applyFont="0" applyFill="0" applyBorder="0" applyAlignment="0" applyProtection="0"/>
    <xf numFmtId="40" fontId="30" fillId="0" borderId="0" applyFont="0" applyFill="0" applyBorder="0" applyAlignment="0" applyProtection="0"/>
    <xf numFmtId="40" fontId="30" fillId="0" borderId="0" applyFont="0" applyFill="0" applyBorder="0" applyAlignment="0" applyProtection="0"/>
    <xf numFmtId="3" fontId="18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77" fontId="183" fillId="0" borderId="0" applyFont="0" applyFill="0" applyBorder="0" applyAlignment="0" applyProtection="0"/>
    <xf numFmtId="0" fontId="183"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2" fillId="0" borderId="0" applyNumberFormat="0" applyFill="0" applyBorder="0" applyAlignment="0" applyProtection="0"/>
    <xf numFmtId="0" fontId="71"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2" fontId="183" fillId="0" borderId="0" applyFont="0" applyFill="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73" fillId="47" borderId="0" applyNumberFormat="0" applyBorder="0" applyAlignment="0" applyProtection="0"/>
    <xf numFmtId="0" fontId="64" fillId="12"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25"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25" fillId="0" borderId="0" applyFont="0" applyFill="0" applyBorder="0" applyAlignment="0" applyProtection="0"/>
    <xf numFmtId="0" fontId="112" fillId="0" borderId="68" applyNumberFormat="0" applyFill="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 fillId="0" borderId="0" applyFont="0" applyFill="0" applyBorder="0" applyAlignment="0" applyProtection="0"/>
    <xf numFmtId="0" fontId="62" fillId="0" borderId="35"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87" fillId="0" borderId="48" applyNumberFormat="0" applyFill="0" applyAlignment="0" applyProtection="0"/>
    <xf numFmtId="0" fontId="174" fillId="0" borderId="48" applyNumberFormat="0" applyFill="0" applyAlignment="0" applyProtection="0"/>
    <xf numFmtId="0" fontId="63" fillId="0" borderId="36" applyNumberFormat="0" applyFill="0" applyAlignment="0" applyProtection="0"/>
    <xf numFmtId="0" fontId="174" fillId="0" borderId="48" applyNumberFormat="0" applyFill="0" applyAlignment="0" applyProtection="0"/>
    <xf numFmtId="0" fontId="174" fillId="0" borderId="48" applyNumberFormat="0" applyFill="0" applyAlignment="0" applyProtection="0"/>
    <xf numFmtId="0" fontId="174" fillId="0" borderId="48" applyNumberFormat="0" applyFill="0" applyAlignment="0" applyProtection="0"/>
    <xf numFmtId="0" fontId="174" fillId="0" borderId="48" applyNumberFormat="0" applyFill="0" applyAlignment="0" applyProtection="0"/>
    <xf numFmtId="0" fontId="87" fillId="0" borderId="0" applyNumberFormat="0" applyFill="0" applyBorder="0" applyAlignment="0" applyProtection="0"/>
    <xf numFmtId="0" fontId="174" fillId="0" borderId="0" applyNumberFormat="0" applyFill="0" applyBorder="0" applyAlignment="0" applyProtection="0"/>
    <xf numFmtId="0" fontId="63"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89" fillId="44" borderId="42" applyNumberFormat="0" applyAlignment="0" applyProtection="0"/>
    <xf numFmtId="0" fontId="66" fillId="14" borderId="37" applyNumberFormat="0" applyAlignment="0" applyProtection="0"/>
    <xf numFmtId="0" fontId="175" fillId="44" borderId="42" applyNumberFormat="0" applyAlignment="0" applyProtection="0"/>
    <xf numFmtId="0" fontId="175" fillId="44" borderId="42" applyNumberFormat="0" applyAlignment="0" applyProtection="0"/>
    <xf numFmtId="0" fontId="175" fillId="44" borderId="42" applyNumberFormat="0" applyAlignment="0" applyProtection="0"/>
    <xf numFmtId="0" fontId="175" fillId="44" borderId="42" applyNumberFormat="0" applyAlignment="0" applyProtection="0"/>
    <xf numFmtId="0" fontId="90" fillId="0" borderId="49" applyNumberFormat="0" applyFill="0" applyAlignment="0" applyProtection="0"/>
    <xf numFmtId="0" fontId="90" fillId="0" borderId="49" applyNumberFormat="0" applyFill="0" applyAlignment="0" applyProtection="0"/>
    <xf numFmtId="0" fontId="176" fillId="0" borderId="49" applyNumberFormat="0" applyFill="0" applyAlignment="0" applyProtection="0"/>
    <xf numFmtId="0" fontId="113" fillId="0" borderId="69" applyNumberFormat="0" applyFill="0" applyAlignment="0" applyProtection="0"/>
    <xf numFmtId="0" fontId="176" fillId="0" borderId="49" applyNumberFormat="0" applyFill="0" applyAlignment="0" applyProtection="0"/>
    <xf numFmtId="0" fontId="176" fillId="0" borderId="49" applyNumberFormat="0" applyFill="0" applyAlignment="0" applyProtection="0"/>
    <xf numFmtId="0" fontId="176" fillId="0" borderId="49" applyNumberFormat="0" applyFill="0" applyAlignment="0" applyProtection="0"/>
    <xf numFmtId="0" fontId="176" fillId="0" borderId="49" applyNumberFormat="0" applyFill="0" applyAlignment="0" applyProtection="0"/>
    <xf numFmtId="0" fontId="91" fillId="54" borderId="0" applyNumberFormat="0" applyBorder="0" applyAlignment="0" applyProtection="0"/>
    <xf numFmtId="0" fontId="91" fillId="54" borderId="0" applyNumberFormat="0" applyBorder="0" applyAlignment="0" applyProtection="0"/>
    <xf numFmtId="0" fontId="177" fillId="54" borderId="0" applyNumberFormat="0" applyBorder="0" applyAlignment="0" applyProtection="0"/>
    <xf numFmtId="0" fontId="182" fillId="70"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16" fillId="0" borderId="0"/>
    <xf numFmtId="0" fontId="30" fillId="0" borderId="0"/>
    <xf numFmtId="0" fontId="16" fillId="0" borderId="0"/>
    <xf numFmtId="0" fontId="30" fillId="0" borderId="0"/>
    <xf numFmtId="169" fontId="22" fillId="0" borderId="0" applyProtection="0"/>
    <xf numFmtId="0" fontId="30" fillId="0" borderId="0"/>
    <xf numFmtId="0" fontId="30" fillId="0" borderId="0"/>
    <xf numFmtId="169" fontId="22" fillId="0" borderId="0" applyProtection="0"/>
    <xf numFmtId="169" fontId="22" fillId="0" borderId="0" applyProtection="0"/>
    <xf numFmtId="0" fontId="30" fillId="0" borderId="0"/>
    <xf numFmtId="0" fontId="30" fillId="0" borderId="0"/>
    <xf numFmtId="0" fontId="30" fillId="0" borderId="0"/>
    <xf numFmtId="0" fontId="16" fillId="0" borderId="0"/>
    <xf numFmtId="0" fontId="16" fillId="0" borderId="0"/>
    <xf numFmtId="0" fontId="30" fillId="0" borderId="0"/>
    <xf numFmtId="0" fontId="30" fillId="0" borderId="0"/>
    <xf numFmtId="0" fontId="30" fillId="0" borderId="0"/>
    <xf numFmtId="0" fontId="30"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78" fontId="16" fillId="0" borderId="0"/>
    <xf numFmtId="278"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78" fontId="16" fillId="0" borderId="0"/>
    <xf numFmtId="278"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16" fillId="46" borderId="50" applyNumberFormat="0" applyFont="0" applyAlignment="0" applyProtection="0"/>
    <xf numFmtId="0" fontId="22" fillId="46" borderId="5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22" fillId="46" borderId="50" applyNumberFormat="0" applyFont="0" applyAlignment="0" applyProtection="0"/>
    <xf numFmtId="0" fontId="22" fillId="46" borderId="50" applyNumberFormat="0" applyFont="0" applyAlignment="0" applyProtection="0"/>
    <xf numFmtId="0" fontId="22" fillId="46" borderId="50" applyNumberFormat="0" applyFont="0" applyAlignment="0" applyProtection="0"/>
    <xf numFmtId="0" fontId="22" fillId="46" borderId="50" applyNumberFormat="0" applyFont="0" applyAlignment="0" applyProtection="0"/>
    <xf numFmtId="0" fontId="93" fillId="51" borderId="51" applyNumberFormat="0" applyAlignment="0" applyProtection="0"/>
    <xf numFmtId="0" fontId="178" fillId="51" borderId="51" applyNumberFormat="0" applyAlignment="0" applyProtection="0"/>
    <xf numFmtId="0" fontId="67" fillId="15" borderId="38" applyNumberFormat="0" applyAlignment="0" applyProtection="0"/>
    <xf numFmtId="0" fontId="178" fillId="51" borderId="51" applyNumberFormat="0" applyAlignment="0" applyProtection="0"/>
    <xf numFmtId="0" fontId="178" fillId="51" borderId="51" applyNumberFormat="0" applyAlignment="0" applyProtection="0"/>
    <xf numFmtId="0" fontId="178" fillId="51" borderId="51" applyNumberFormat="0" applyAlignment="0" applyProtection="0"/>
    <xf numFmtId="0" fontId="178" fillId="51" borderId="51" applyNumberFormat="0" applyAlignment="0" applyProtection="0"/>
    <xf numFmtId="9" fontId="5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101" fillId="0" borderId="0" applyNumberFormat="0" applyFill="0" applyBorder="0" applyAlignment="0" applyProtection="0"/>
    <xf numFmtId="0" fontId="18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6" fillId="0" borderId="0" applyFont="0" applyFill="0" applyBorder="0" applyAlignment="0" applyProtection="0"/>
    <xf numFmtId="0" fontId="183" fillId="0" borderId="70" applyNumberFormat="0" applyFont="0" applyFill="0" applyAlignment="0" applyProtection="0"/>
    <xf numFmtId="0" fontId="183" fillId="0" borderId="70" applyNumberFormat="0" applyFont="0" applyFill="0" applyAlignment="0" applyProtection="0"/>
    <xf numFmtId="0" fontId="16" fillId="0" borderId="0" applyFont="0" applyFill="0" applyBorder="0" applyAlignment="0" applyProtection="0"/>
    <xf numFmtId="0" fontId="72" fillId="0" borderId="41" applyNumberFormat="0" applyFill="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79" fillId="0" borderId="0" applyNumberFormat="0" applyFill="0" applyBorder="0" applyAlignment="0" applyProtection="0"/>
    <xf numFmtId="0" fontId="70"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3" fontId="16" fillId="0" borderId="0"/>
    <xf numFmtId="14" fontId="17" fillId="74" borderId="75">
      <alignment horizontal="center" vertical="center" wrapText="1"/>
    </xf>
    <xf numFmtId="0" fontId="126" fillId="0" borderId="7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75">
      <alignment horizontal="center"/>
    </xf>
    <xf numFmtId="0" fontId="136" fillId="0" borderId="75">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6" fillId="0" borderId="0"/>
    <xf numFmtId="14" fontId="16" fillId="0" borderId="0" applyFont="0" applyFill="0" applyBorder="0" applyAlignment="0" applyProtection="0"/>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6"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911">
    <xf numFmtId="0" fontId="0" fillId="0" borderId="0" xfId="0"/>
    <xf numFmtId="0" fontId="19" fillId="0" borderId="0" xfId="1" applyFont="1"/>
    <xf numFmtId="0" fontId="19" fillId="0" borderId="0" xfId="1" applyFont="1" applyAlignment="1">
      <alignment horizontal="left"/>
    </xf>
    <xf numFmtId="0" fontId="19" fillId="0" borderId="0" xfId="1" applyFont="1" applyAlignment="1">
      <alignment horizontal="right"/>
    </xf>
    <xf numFmtId="0" fontId="19" fillId="0" borderId="0" xfId="1" applyFont="1" applyAlignment="1">
      <alignment horizontal="center"/>
    </xf>
    <xf numFmtId="164" fontId="19" fillId="0" borderId="0" xfId="2" applyNumberFormat="1" applyFont="1"/>
    <xf numFmtId="0" fontId="19" fillId="0" borderId="4" xfId="1" applyFont="1" applyBorder="1"/>
    <xf numFmtId="0" fontId="25" fillId="0" borderId="0" xfId="1" applyFont="1" applyAlignment="1">
      <alignment horizontal="center"/>
    </xf>
    <xf numFmtId="0" fontId="32" fillId="0" borderId="0" xfId="1" applyFont="1"/>
    <xf numFmtId="0" fontId="29" fillId="0" borderId="0" xfId="1" applyFont="1"/>
    <xf numFmtId="164" fontId="19" fillId="0" borderId="0" xfId="2" applyNumberFormat="1" applyFont="1" applyFill="1" applyAlignment="1"/>
    <xf numFmtId="0" fontId="42" fillId="0" borderId="0" xfId="1" applyFont="1"/>
    <xf numFmtId="164" fontId="19" fillId="0" borderId="0" xfId="2" applyNumberFormat="1" applyFont="1" applyFill="1" applyBorder="1" applyAlignment="1"/>
    <xf numFmtId="0" fontId="20" fillId="0" borderId="0" xfId="1" applyFont="1"/>
    <xf numFmtId="164" fontId="19" fillId="0" borderId="0" xfId="2" applyNumberFormat="1" applyFont="1" applyAlignment="1"/>
    <xf numFmtId="0" fontId="19" fillId="0" borderId="0" xfId="1" applyFont="1" applyAlignment="1">
      <alignment horizontal="left" wrapText="1"/>
    </xf>
    <xf numFmtId="0" fontId="19" fillId="9" borderId="0" xfId="1" applyFont="1" applyFill="1"/>
    <xf numFmtId="164" fontId="19" fillId="0" borderId="0" xfId="2" applyNumberFormat="1" applyFont="1" applyFill="1" applyBorder="1"/>
    <xf numFmtId="0" fontId="24" fillId="0" borderId="0" xfId="1" applyFont="1"/>
    <xf numFmtId="3" fontId="19" fillId="0" borderId="0" xfId="1" applyNumberFormat="1" applyFont="1"/>
    <xf numFmtId="171" fontId="28" fillId="0" borderId="0" xfId="10" applyNumberFormat="1" applyFont="1" applyFill="1"/>
    <xf numFmtId="164" fontId="19" fillId="0" borderId="2" xfId="2" applyNumberFormat="1" applyFont="1" applyFill="1" applyBorder="1"/>
    <xf numFmtId="0" fontId="41" fillId="0" borderId="0" xfId="1" applyFont="1"/>
    <xf numFmtId="0" fontId="43" fillId="0" borderId="0" xfId="1" applyFont="1" applyAlignment="1">
      <alignment horizontal="center"/>
    </xf>
    <xf numFmtId="0" fontId="50" fillId="0" borderId="0" xfId="1" applyFont="1" applyAlignment="1">
      <alignment horizontal="center"/>
    </xf>
    <xf numFmtId="0" fontId="25" fillId="0" borderId="0" xfId="1" applyFont="1"/>
    <xf numFmtId="0" fontId="19" fillId="0" borderId="0" xfId="1" applyFont="1" applyAlignment="1">
      <alignment horizontal="right" wrapText="1"/>
    </xf>
    <xf numFmtId="164" fontId="19" fillId="0" borderId="0" xfId="2" applyNumberFormat="1" applyFont="1" applyAlignment="1">
      <alignment horizontal="left" wrapText="1"/>
    </xf>
    <xf numFmtId="0" fontId="41" fillId="0" borderId="0" xfId="1" applyFont="1" applyAlignment="1">
      <alignment horizontal="right"/>
    </xf>
    <xf numFmtId="37" fontId="19" fillId="0" borderId="0" xfId="1" applyNumberFormat="1" applyFont="1" applyAlignment="1">
      <alignment horizontal="right" wrapText="1"/>
    </xf>
    <xf numFmtId="41" fontId="19" fillId="0" borderId="0" xfId="1" applyNumberFormat="1" applyFont="1" applyAlignment="1">
      <alignment horizontal="right"/>
    </xf>
    <xf numFmtId="0" fontId="24" fillId="0" borderId="0" xfId="1" applyFont="1" applyAlignment="1">
      <alignment horizontal="center"/>
    </xf>
    <xf numFmtId="164" fontId="24" fillId="0" borderId="0" xfId="2" applyNumberFormat="1" applyFont="1" applyAlignment="1"/>
    <xf numFmtId="0" fontId="24" fillId="0" borderId="0" xfId="1" applyFont="1" applyAlignment="1">
      <alignment horizontal="right"/>
    </xf>
    <xf numFmtId="164" fontId="19" fillId="0" borderId="0" xfId="2" applyNumberFormat="1" applyFont="1" applyBorder="1"/>
    <xf numFmtId="3" fontId="19" fillId="0" borderId="0" xfId="2" applyNumberFormat="1" applyFont="1" applyFill="1"/>
    <xf numFmtId="167" fontId="19" fillId="0" borderId="0" xfId="9" applyNumberFormat="1" applyFont="1"/>
    <xf numFmtId="166" fontId="19" fillId="0" borderId="0" xfId="6" applyNumberFormat="1" applyFont="1" applyFill="1" applyBorder="1"/>
    <xf numFmtId="164" fontId="19" fillId="0" borderId="0" xfId="2" applyNumberFormat="1" applyFont="1" applyFill="1" applyBorder="1" applyAlignment="1">
      <alignment horizontal="left"/>
    </xf>
    <xf numFmtId="164" fontId="19" fillId="10" borderId="12" xfId="2" applyNumberFormat="1" applyFont="1" applyFill="1" applyBorder="1"/>
    <xf numFmtId="164" fontId="19" fillId="0" borderId="2" xfId="2" applyNumberFormat="1" applyFont="1" applyBorder="1"/>
    <xf numFmtId="3" fontId="19" fillId="0" borderId="0" xfId="6" applyNumberFormat="1" applyFont="1" applyFill="1" applyBorder="1"/>
    <xf numFmtId="167" fontId="19" fillId="0" borderId="0" xfId="9" applyNumberFormat="1" applyFont="1" applyFill="1" applyBorder="1"/>
    <xf numFmtId="10" fontId="19" fillId="0" borderId="0" xfId="9" applyNumberFormat="1" applyFont="1"/>
    <xf numFmtId="0" fontId="17" fillId="0" borderId="0" xfId="0" applyFont="1" applyAlignment="1">
      <alignment horizontal="center"/>
    </xf>
    <xf numFmtId="0" fontId="19" fillId="0" borderId="0" xfId="0" applyFont="1"/>
    <xf numFmtId="0" fontId="32" fillId="0" borderId="0" xfId="0" applyFont="1"/>
    <xf numFmtId="164" fontId="29" fillId="0" borderId="0" xfId="2" applyNumberFormat="1" applyFont="1" applyFill="1" applyAlignment="1"/>
    <xf numFmtId="3" fontId="19" fillId="0" borderId="22" xfId="1" applyNumberFormat="1" applyFont="1" applyBorder="1"/>
    <xf numFmtId="0" fontId="55" fillId="0" borderId="0" xfId="0" applyFont="1" applyAlignment="1">
      <alignment horizontal="center"/>
    </xf>
    <xf numFmtId="0" fontId="17" fillId="0" borderId="0" xfId="0" applyFont="1" applyAlignment="1">
      <alignment horizontal="center" wrapText="1"/>
    </xf>
    <xf numFmtId="0" fontId="17" fillId="0" borderId="15" xfId="0" applyFont="1" applyBorder="1" applyAlignment="1">
      <alignment horizontal="center" wrapText="1"/>
    </xf>
    <xf numFmtId="0" fontId="46" fillId="0" borderId="0" xfId="0" applyFont="1"/>
    <xf numFmtId="0" fontId="46" fillId="0" borderId="0" xfId="0" applyFont="1" applyAlignment="1">
      <alignment horizontal="center"/>
    </xf>
    <xf numFmtId="0" fontId="46" fillId="0" borderId="16" xfId="0" applyFont="1" applyBorder="1" applyAlignment="1">
      <alignment horizontal="left"/>
    </xf>
    <xf numFmtId="0" fontId="46" fillId="0" borderId="0" xfId="0" applyFont="1" applyAlignment="1">
      <alignment horizontal="left"/>
    </xf>
    <xf numFmtId="0" fontId="19" fillId="0" borderId="2" xfId="0" applyFont="1" applyBorder="1"/>
    <xf numFmtId="0" fontId="46" fillId="0" borderId="0" xfId="0" applyFont="1" applyAlignment="1">
      <alignment wrapText="1"/>
    </xf>
    <xf numFmtId="0" fontId="18" fillId="0" borderId="0" xfId="0" applyFont="1"/>
    <xf numFmtId="0" fontId="19" fillId="0" borderId="0" xfId="0" applyFont="1" applyAlignment="1">
      <alignment horizontal="center"/>
    </xf>
    <xf numFmtId="0" fontId="54" fillId="0" borderId="0" xfId="0" applyFont="1" applyAlignment="1">
      <alignment horizontal="center"/>
    </xf>
    <xf numFmtId="0" fontId="18" fillId="0" borderId="0" xfId="0" applyFont="1" applyAlignment="1">
      <alignment horizontal="center" wrapText="1"/>
    </xf>
    <xf numFmtId="0" fontId="53" fillId="0" borderId="0" xfId="0" applyFont="1"/>
    <xf numFmtId="0" fontId="18" fillId="0" borderId="15" xfId="0" applyFont="1" applyBorder="1" applyAlignment="1">
      <alignment horizontal="center" wrapText="1"/>
    </xf>
    <xf numFmtId="0" fontId="19" fillId="0" borderId="15" xfId="0" applyFont="1" applyBorder="1"/>
    <xf numFmtId="0" fontId="19" fillId="0" borderId="2" xfId="0" applyFont="1" applyBorder="1" applyAlignment="1">
      <alignment horizontal="center"/>
    </xf>
    <xf numFmtId="166" fontId="19" fillId="0" borderId="2" xfId="0" applyNumberFormat="1" applyFont="1" applyBorder="1" applyAlignment="1">
      <alignment horizontal="center"/>
    </xf>
    <xf numFmtId="0" fontId="20" fillId="0" borderId="2" xfId="0" applyFont="1" applyBorder="1"/>
    <xf numFmtId="0" fontId="19" fillId="0" borderId="9" xfId="0" applyFont="1" applyBorder="1"/>
    <xf numFmtId="0" fontId="16" fillId="0" borderId="0" xfId="20" applyAlignment="1">
      <alignment horizontal="center"/>
    </xf>
    <xf numFmtId="0" fontId="17" fillId="0" borderId="0" xfId="20" applyFont="1"/>
    <xf numFmtId="0" fontId="19" fillId="0" borderId="0" xfId="20" applyFont="1"/>
    <xf numFmtId="0" fontId="19" fillId="0" borderId="0" xfId="20" applyFont="1" applyAlignment="1">
      <alignment horizontal="center"/>
    </xf>
    <xf numFmtId="0" fontId="18" fillId="0" borderId="0" xfId="20" applyFont="1"/>
    <xf numFmtId="0" fontId="24" fillId="0" borderId="0" xfId="20" applyFont="1"/>
    <xf numFmtId="0" fontId="18" fillId="0" borderId="0" xfId="20" applyFont="1" applyAlignment="1">
      <alignment horizontal="centerContinuous"/>
    </xf>
    <xf numFmtId="37" fontId="19" fillId="0" borderId="0" xfId="20" applyNumberFormat="1" applyFont="1" applyAlignment="1">
      <alignment horizontal="left"/>
    </xf>
    <xf numFmtId="37" fontId="42" fillId="0" borderId="0" xfId="20" applyNumberFormat="1" applyFont="1" applyAlignment="1">
      <alignment horizontal="left"/>
    </xf>
    <xf numFmtId="0" fontId="18" fillId="0" borderId="0" xfId="20" applyFont="1" applyAlignment="1">
      <alignment horizontal="left"/>
    </xf>
    <xf numFmtId="0" fontId="18" fillId="0" borderId="0" xfId="20" applyFont="1" applyAlignment="1">
      <alignment horizontal="center"/>
    </xf>
    <xf numFmtId="0" fontId="18" fillId="10" borderId="11" xfId="20" applyFont="1" applyFill="1" applyBorder="1"/>
    <xf numFmtId="0" fontId="18" fillId="10" borderId="12" xfId="20" applyFont="1" applyFill="1" applyBorder="1"/>
    <xf numFmtId="0" fontId="18" fillId="10" borderId="12" xfId="20" applyFont="1" applyFill="1" applyBorder="1" applyAlignment="1">
      <alignment horizontal="center"/>
    </xf>
    <xf numFmtId="0" fontId="18" fillId="10" borderId="12" xfId="20" applyFont="1" applyFill="1" applyBorder="1" applyAlignment="1">
      <alignment wrapText="1"/>
    </xf>
    <xf numFmtId="0" fontId="19" fillId="0" borderId="7" xfId="20" applyFont="1" applyBorder="1" applyAlignment="1">
      <alignment horizontal="center"/>
    </xf>
    <xf numFmtId="0" fontId="18" fillId="0" borderId="8" xfId="20" applyFont="1" applyBorder="1"/>
    <xf numFmtId="0" fontId="19" fillId="0" borderId="8" xfId="20" applyFont="1" applyBorder="1"/>
    <xf numFmtId="0" fontId="19" fillId="0" borderId="8" xfId="20" applyFont="1" applyBorder="1" applyAlignment="1">
      <alignment horizontal="center"/>
    </xf>
    <xf numFmtId="0" fontId="19" fillId="0" borderId="24" xfId="20" applyFont="1" applyBorder="1"/>
    <xf numFmtId="0" fontId="19" fillId="0" borderId="16" xfId="20" applyFont="1" applyBorder="1" applyAlignment="1">
      <alignment horizontal="center"/>
    </xf>
    <xf numFmtId="0" fontId="19" fillId="0" borderId="0" xfId="20" applyFont="1" applyAlignment="1">
      <alignment horizontal="left"/>
    </xf>
    <xf numFmtId="3" fontId="19" fillId="0" borderId="0" xfId="20" applyNumberFormat="1" applyFont="1"/>
    <xf numFmtId="3" fontId="19" fillId="0" borderId="0" xfId="20" applyNumberFormat="1" applyFont="1" applyAlignment="1">
      <alignment horizontal="center"/>
    </xf>
    <xf numFmtId="3" fontId="19" fillId="0" borderId="0" xfId="20" applyNumberFormat="1" applyFont="1" applyAlignment="1">
      <alignment horizontal="left"/>
    </xf>
    <xf numFmtId="0" fontId="19" fillId="0" borderId="15" xfId="20" applyFont="1" applyBorder="1"/>
    <xf numFmtId="0" fontId="18" fillId="0" borderId="2" xfId="20" applyFont="1" applyBorder="1" applyAlignment="1">
      <alignment horizontal="left"/>
    </xf>
    <xf numFmtId="0" fontId="19" fillId="0" borderId="2" xfId="20" applyFont="1" applyBorder="1" applyAlignment="1">
      <alignment horizontal="left"/>
    </xf>
    <xf numFmtId="0" fontId="19" fillId="0" borderId="2" xfId="20" applyFont="1" applyBorder="1"/>
    <xf numFmtId="0" fontId="19" fillId="0" borderId="2" xfId="20" applyFont="1" applyBorder="1" applyAlignment="1">
      <alignment horizontal="center"/>
    </xf>
    <xf numFmtId="0" fontId="19" fillId="0" borderId="9" xfId="20" applyFont="1" applyBorder="1"/>
    <xf numFmtId="37" fontId="18" fillId="0" borderId="0" xfId="20" applyNumberFormat="1" applyFont="1" applyAlignment="1">
      <alignment horizontal="left"/>
    </xf>
    <xf numFmtId="0" fontId="19" fillId="10" borderId="12" xfId="20" applyFont="1" applyFill="1" applyBorder="1"/>
    <xf numFmtId="0" fontId="19" fillId="10" borderId="14" xfId="20" applyFont="1" applyFill="1" applyBorder="1"/>
    <xf numFmtId="0" fontId="18" fillId="0" borderId="16" xfId="20" applyFont="1" applyBorder="1"/>
    <xf numFmtId="0" fontId="18" fillId="0" borderId="0" xfId="20" applyFont="1" applyAlignment="1">
      <alignment wrapText="1"/>
    </xf>
    <xf numFmtId="0" fontId="19" fillId="0" borderId="6" xfId="20" applyFont="1" applyBorder="1" applyAlignment="1">
      <alignment horizontal="center"/>
    </xf>
    <xf numFmtId="3" fontId="18" fillId="10" borderId="12" xfId="20" applyNumberFormat="1" applyFont="1" applyFill="1" applyBorder="1" applyAlignment="1">
      <alignment horizontal="center" wrapText="1"/>
    </xf>
    <xf numFmtId="0" fontId="19" fillId="0" borderId="7" xfId="20" applyFont="1" applyBorder="1"/>
    <xf numFmtId="0" fontId="18" fillId="0" borderId="8" xfId="20" applyFont="1" applyBorder="1" applyAlignment="1">
      <alignment horizontal="left"/>
    </xf>
    <xf numFmtId="0" fontId="19" fillId="0" borderId="8" xfId="20" applyFont="1" applyBorder="1" applyAlignment="1">
      <alignment horizontal="left"/>
    </xf>
    <xf numFmtId="3" fontId="18" fillId="0" borderId="8" xfId="20" applyNumberFormat="1" applyFont="1" applyBorder="1" applyAlignment="1">
      <alignment horizontal="center"/>
    </xf>
    <xf numFmtId="167" fontId="19" fillId="0" borderId="8" xfId="20" applyNumberFormat="1" applyFont="1" applyBorder="1"/>
    <xf numFmtId="0" fontId="19" fillId="0" borderId="15" xfId="20" applyFont="1" applyBorder="1" applyAlignment="1">
      <alignment horizontal="center" wrapText="1"/>
    </xf>
    <xf numFmtId="167" fontId="18" fillId="0" borderId="0" xfId="2" applyNumberFormat="1" applyFont="1" applyFill="1" applyBorder="1"/>
    <xf numFmtId="0" fontId="18" fillId="0" borderId="2" xfId="20" applyFont="1" applyBorder="1"/>
    <xf numFmtId="3" fontId="19" fillId="0" borderId="8" xfId="20" applyNumberFormat="1" applyFont="1" applyBorder="1" applyAlignment="1">
      <alignment horizontal="center"/>
    </xf>
    <xf numFmtId="167" fontId="19" fillId="0" borderId="0" xfId="20" applyNumberFormat="1" applyFont="1"/>
    <xf numFmtId="166" fontId="19" fillId="0" borderId="2" xfId="6" applyNumberFormat="1" applyFont="1" applyFill="1" applyBorder="1"/>
    <xf numFmtId="0" fontId="18" fillId="10" borderId="7" xfId="20" applyFont="1" applyFill="1" applyBorder="1"/>
    <xf numFmtId="0" fontId="18" fillId="10" borderId="8" xfId="20" applyFont="1" applyFill="1" applyBorder="1"/>
    <xf numFmtId="0" fontId="18" fillId="10" borderId="8" xfId="20" applyFont="1" applyFill="1" applyBorder="1" applyAlignment="1">
      <alignment horizontal="center"/>
    </xf>
    <xf numFmtId="0" fontId="18" fillId="10" borderId="8" xfId="20" applyFont="1" applyFill="1" applyBorder="1" applyAlignment="1">
      <alignment wrapText="1"/>
    </xf>
    <xf numFmtId="3" fontId="19" fillId="0" borderId="15" xfId="20" applyNumberFormat="1" applyFont="1" applyBorder="1" applyAlignment="1">
      <alignment horizontal="center"/>
    </xf>
    <xf numFmtId="3" fontId="19" fillId="0" borderId="9" xfId="20" applyNumberFormat="1" applyFont="1" applyBorder="1" applyAlignment="1">
      <alignment horizontal="center"/>
    </xf>
    <xf numFmtId="0" fontId="18" fillId="0" borderId="7" xfId="20" applyFont="1" applyBorder="1"/>
    <xf numFmtId="0" fontId="18" fillId="0" borderId="8" xfId="20" applyFont="1" applyBorder="1" applyAlignment="1">
      <alignment horizontal="center"/>
    </xf>
    <xf numFmtId="0" fontId="18" fillId="0" borderId="8" xfId="20" applyFont="1" applyBorder="1" applyAlignment="1">
      <alignment wrapText="1"/>
    </xf>
    <xf numFmtId="0" fontId="18" fillId="0" borderId="8" xfId="20" applyFont="1" applyBorder="1" applyAlignment="1">
      <alignment horizontal="center" wrapText="1"/>
    </xf>
    <xf numFmtId="0" fontId="18" fillId="0" borderId="24" xfId="20" applyFont="1" applyBorder="1" applyAlignment="1">
      <alignment horizontal="center" wrapText="1"/>
    </xf>
    <xf numFmtId="3" fontId="19" fillId="0" borderId="15" xfId="20" applyNumberFormat="1" applyFont="1" applyBorder="1" applyAlignment="1">
      <alignment horizontal="right"/>
    </xf>
    <xf numFmtId="0" fontId="18" fillId="0" borderId="15" xfId="20" applyFont="1" applyBorder="1" applyAlignment="1">
      <alignment horizontal="center"/>
    </xf>
    <xf numFmtId="0" fontId="19" fillId="0" borderId="6" xfId="20" applyFont="1" applyBorder="1"/>
    <xf numFmtId="0" fontId="19" fillId="0" borderId="15" xfId="20" applyFont="1" applyBorder="1" applyAlignment="1">
      <alignment horizontal="center"/>
    </xf>
    <xf numFmtId="164" fontId="19" fillId="0" borderId="2" xfId="20" applyNumberFormat="1" applyFont="1" applyBorder="1" applyAlignment="1">
      <alignment horizontal="center"/>
    </xf>
    <xf numFmtId="0" fontId="19" fillId="0" borderId="9" xfId="20" applyFont="1" applyBorder="1" applyAlignment="1">
      <alignment horizontal="center"/>
    </xf>
    <xf numFmtId="0" fontId="19" fillId="0" borderId="0" xfId="20" applyFont="1" applyAlignment="1">
      <alignment horizontal="right"/>
    </xf>
    <xf numFmtId="0" fontId="19" fillId="0" borderId="2" xfId="20" applyFont="1" applyBorder="1" applyAlignment="1">
      <alignment horizontal="right"/>
    </xf>
    <xf numFmtId="0" fontId="19" fillId="0" borderId="0" xfId="20" applyFont="1" applyAlignment="1">
      <alignment horizontal="left" wrapText="1"/>
    </xf>
    <xf numFmtId="164" fontId="18" fillId="0" borderId="0" xfId="2" applyNumberFormat="1" applyFont="1" applyFill="1" applyBorder="1"/>
    <xf numFmtId="3" fontId="19" fillId="0" borderId="2" xfId="20" applyNumberFormat="1" applyFont="1" applyBorder="1"/>
    <xf numFmtId="3" fontId="19" fillId="0" borderId="2" xfId="20" applyNumberFormat="1" applyFont="1" applyBorder="1" applyAlignment="1">
      <alignment horizontal="left"/>
    </xf>
    <xf numFmtId="167" fontId="18" fillId="0" borderId="0" xfId="20" applyNumberFormat="1" applyFont="1" applyAlignment="1">
      <alignment horizontal="left"/>
    </xf>
    <xf numFmtId="169" fontId="19" fillId="0" borderId="0" xfId="20" applyNumberFormat="1" applyFont="1"/>
    <xf numFmtId="167" fontId="19" fillId="0" borderId="0" xfId="9" applyNumberFormat="1" applyFont="1" applyFill="1" applyBorder="1" applyAlignment="1">
      <alignment horizontal="center"/>
    </xf>
    <xf numFmtId="10" fontId="19" fillId="0" borderId="15" xfId="9" applyNumberFormat="1" applyFont="1" applyFill="1" applyBorder="1" applyAlignment="1">
      <alignment horizontal="center"/>
    </xf>
    <xf numFmtId="0" fontId="18" fillId="0" borderId="24" xfId="20" applyFont="1" applyBorder="1" applyAlignment="1">
      <alignment wrapText="1"/>
    </xf>
    <xf numFmtId="2" fontId="19" fillId="0" borderId="0" xfId="20" applyNumberFormat="1" applyFont="1" applyAlignment="1">
      <alignment horizontal="center"/>
    </xf>
    <xf numFmtId="164" fontId="28" fillId="0" borderId="0" xfId="4" applyNumberFormat="1" applyFont="1" applyFill="1"/>
    <xf numFmtId="3" fontId="19" fillId="0" borderId="8" xfId="2" applyNumberFormat="1" applyFont="1" applyFill="1" applyBorder="1"/>
    <xf numFmtId="0" fontId="49" fillId="0" borderId="0" xfId="0" applyFont="1"/>
    <xf numFmtId="43" fontId="28" fillId="0" borderId="0" xfId="2" applyFont="1" applyFill="1"/>
    <xf numFmtId="0" fontId="24" fillId="0" borderId="0" xfId="0" applyFont="1"/>
    <xf numFmtId="0" fontId="0" fillId="0" borderId="0" xfId="0" applyAlignment="1">
      <alignment vertical="center" wrapText="1"/>
    </xf>
    <xf numFmtId="0" fontId="25" fillId="0" borderId="0" xfId="0" applyFont="1" applyAlignment="1">
      <alignment horizontal="center"/>
    </xf>
    <xf numFmtId="0" fontId="19" fillId="0" borderId="0" xfId="0" applyFont="1" applyAlignment="1">
      <alignment horizontal="left"/>
    </xf>
    <xf numFmtId="0" fontId="25" fillId="0" borderId="0" xfId="0" applyFont="1"/>
    <xf numFmtId="37" fontId="19" fillId="0" borderId="0" xfId="0" applyNumberFormat="1" applyFont="1"/>
    <xf numFmtId="37" fontId="18" fillId="0" borderId="0" xfId="0" applyNumberFormat="1" applyFont="1"/>
    <xf numFmtId="37" fontId="19" fillId="0" borderId="0" xfId="0" applyNumberFormat="1" applyFont="1" applyAlignment="1">
      <alignment horizontal="left"/>
    </xf>
    <xf numFmtId="0" fontId="18" fillId="0" borderId="0" xfId="0" applyFont="1" applyAlignment="1">
      <alignment horizontal="center"/>
    </xf>
    <xf numFmtId="0" fontId="25" fillId="0" borderId="0" xfId="0" applyFont="1" applyAlignment="1">
      <alignment horizontal="left"/>
    </xf>
    <xf numFmtId="37" fontId="19" fillId="0" borderId="34" xfId="0" applyNumberFormat="1" applyFont="1" applyBorder="1" applyAlignment="1">
      <alignment wrapText="1"/>
    </xf>
    <xf numFmtId="37" fontId="18" fillId="0" borderId="0" xfId="0" applyNumberFormat="1" applyFont="1" applyAlignment="1">
      <alignment horizontal="center"/>
    </xf>
    <xf numFmtId="0" fontId="24" fillId="0" borderId="0" xfId="0" applyFont="1" applyAlignment="1">
      <alignment horizontal="left"/>
    </xf>
    <xf numFmtId="0" fontId="24" fillId="0" borderId="0" xfId="0" applyFont="1" applyAlignment="1">
      <alignment wrapText="1"/>
    </xf>
    <xf numFmtId="41" fontId="18" fillId="0" borderId="0" xfId="0" applyNumberFormat="1" applyFont="1" applyAlignment="1">
      <alignment horizontal="center" wrapText="1"/>
    </xf>
    <xf numFmtId="0" fontId="18" fillId="0" borderId="17" xfId="0" applyFont="1" applyBorder="1"/>
    <xf numFmtId="0" fontId="19" fillId="0" borderId="25" xfId="0" applyFont="1" applyBorder="1" applyAlignment="1">
      <alignment wrapText="1"/>
    </xf>
    <xf numFmtId="164" fontId="19" fillId="0" borderId="0" xfId="0" applyNumberFormat="1" applyFont="1" applyAlignment="1">
      <alignment wrapText="1"/>
    </xf>
    <xf numFmtId="0" fontId="18" fillId="0" borderId="0" xfId="0" applyFont="1" applyAlignment="1">
      <alignment horizontal="centerContinuous"/>
    </xf>
    <xf numFmtId="0" fontId="19" fillId="0" borderId="0" xfId="0" applyFont="1" applyAlignment="1">
      <alignment horizontal="centerContinuous"/>
    </xf>
    <xf numFmtId="41" fontId="18" fillId="0" borderId="0" xfId="0" applyNumberFormat="1" applyFont="1" applyAlignment="1">
      <alignment horizontal="center"/>
    </xf>
    <xf numFmtId="0" fontId="23" fillId="0" borderId="0" xfId="0" applyFont="1" applyAlignment="1">
      <alignment horizontal="centerContinuous"/>
    </xf>
    <xf numFmtId="0" fontId="24" fillId="0" borderId="0" xfId="0" applyFont="1" applyAlignment="1">
      <alignment horizontal="centerContinuous"/>
    </xf>
    <xf numFmtId="0" fontId="18" fillId="0" borderId="23" xfId="0" applyFont="1" applyBorder="1"/>
    <xf numFmtId="0" fontId="19" fillId="0" borderId="29" xfId="0" applyFont="1" applyBorder="1" applyAlignment="1">
      <alignment wrapText="1"/>
    </xf>
    <xf numFmtId="0" fontId="24" fillId="0" borderId="0" xfId="20" applyFont="1" applyAlignment="1">
      <alignment horizontal="center"/>
    </xf>
    <xf numFmtId="0" fontId="25" fillId="0" borderId="0" xfId="20" applyFont="1" applyAlignment="1">
      <alignment horizontal="center"/>
    </xf>
    <xf numFmtId="0" fontId="23" fillId="0" borderId="0" xfId="20" applyFont="1" applyAlignment="1">
      <alignment horizontal="center"/>
    </xf>
    <xf numFmtId="43" fontId="19" fillId="0" borderId="0" xfId="2" applyFont="1"/>
    <xf numFmtId="164" fontId="16" fillId="0" borderId="0" xfId="2" applyNumberFormat="1" applyFont="1"/>
    <xf numFmtId="10" fontId="16" fillId="0" borderId="0" xfId="9" applyNumberFormat="1" applyFont="1"/>
    <xf numFmtId="3" fontId="19" fillId="11" borderId="0" xfId="2" applyNumberFormat="1" applyFont="1" applyFill="1" applyBorder="1"/>
    <xf numFmtId="0" fontId="19" fillId="7" borderId="0" xfId="20" applyFont="1" applyFill="1"/>
    <xf numFmtId="0" fontId="19" fillId="0" borderId="31" xfId="20" applyFont="1" applyBorder="1"/>
    <xf numFmtId="0" fontId="18" fillId="0" borderId="0" xfId="0" applyFont="1" applyAlignment="1">
      <alignment horizontal="right"/>
    </xf>
    <xf numFmtId="43" fontId="19" fillId="0" borderId="0" xfId="2" applyFont="1" applyFill="1" applyBorder="1" applyAlignment="1"/>
    <xf numFmtId="0" fontId="18" fillId="10" borderId="31" xfId="20" applyFont="1" applyFill="1" applyBorder="1" applyAlignment="1">
      <alignment horizontal="center" wrapText="1"/>
    </xf>
    <xf numFmtId="3" fontId="19" fillId="0" borderId="20" xfId="20" applyNumberFormat="1" applyFont="1" applyBorder="1" applyAlignment="1">
      <alignment horizontal="center"/>
    </xf>
    <xf numFmtId="37" fontId="18" fillId="0" borderId="1" xfId="20" applyNumberFormat="1" applyFont="1" applyBorder="1" applyAlignment="1">
      <alignment horizontal="center"/>
    </xf>
    <xf numFmtId="164" fontId="19" fillId="0" borderId="0" xfId="20" applyNumberFormat="1" applyFont="1"/>
    <xf numFmtId="0" fontId="28" fillId="0" borderId="0" xfId="20" applyFont="1" applyAlignment="1">
      <alignment horizontal="center"/>
    </xf>
    <xf numFmtId="0" fontId="16" fillId="0" borderId="0" xfId="20"/>
    <xf numFmtId="43" fontId="16" fillId="0" borderId="0" xfId="2" applyFont="1" applyFill="1"/>
    <xf numFmtId="164" fontId="19" fillId="0" borderId="0" xfId="1" applyNumberFormat="1" applyFont="1"/>
    <xf numFmtId="0" fontId="19" fillId="0" borderId="0" xfId="20" applyFont="1" applyProtection="1">
      <protection locked="0"/>
    </xf>
    <xf numFmtId="3" fontId="19" fillId="0" borderId="20" xfId="20" applyNumberFormat="1" applyFont="1" applyBorder="1"/>
    <xf numFmtId="0" fontId="32" fillId="0" borderId="0" xfId="20" applyFont="1"/>
    <xf numFmtId="0" fontId="29" fillId="0" borderId="0" xfId="20" applyFont="1" applyAlignment="1">
      <alignment horizontal="center" wrapText="1"/>
    </xf>
    <xf numFmtId="0" fontId="32" fillId="5" borderId="0" xfId="20" applyFont="1" applyFill="1" applyAlignment="1">
      <alignment horizontal="center" wrapText="1"/>
    </xf>
    <xf numFmtId="0" fontId="32" fillId="0" borderId="0" xfId="20" applyFont="1" applyAlignment="1">
      <alignment horizontal="center" wrapText="1"/>
    </xf>
    <xf numFmtId="3" fontId="32" fillId="0" borderId="0" xfId="20" applyNumberFormat="1" applyFont="1"/>
    <xf numFmtId="3" fontId="32" fillId="0" borderId="3" xfId="20" applyNumberFormat="1" applyFont="1" applyBorder="1"/>
    <xf numFmtId="171" fontId="29" fillId="0" borderId="0" xfId="9" applyNumberFormat="1" applyFont="1" applyAlignment="1" applyProtection="1"/>
    <xf numFmtId="3" fontId="32" fillId="0" borderId="4" xfId="20" applyNumberFormat="1" applyFont="1" applyBorder="1"/>
    <xf numFmtId="3" fontId="32" fillId="0" borderId="0" xfId="20" applyNumberFormat="1" applyFont="1" applyAlignment="1">
      <alignment horizontal="center"/>
    </xf>
    <xf numFmtId="0" fontId="32" fillId="5" borderId="0" xfId="20" applyFont="1" applyFill="1"/>
    <xf numFmtId="3" fontId="32" fillId="0" borderId="0" xfId="20" applyNumberFormat="1" applyFont="1" applyAlignment="1">
      <alignment horizontal="right"/>
    </xf>
    <xf numFmtId="171" fontId="32" fillId="0" borderId="0" xfId="20" applyNumberFormat="1" applyFont="1" applyAlignment="1">
      <alignment horizontal="right"/>
    </xf>
    <xf numFmtId="3" fontId="32" fillId="0" borderId="3" xfId="20" applyNumberFormat="1" applyFont="1" applyBorder="1" applyAlignment="1">
      <alignment horizontal="right"/>
    </xf>
    <xf numFmtId="3" fontId="32" fillId="0" borderId="4" xfId="20" applyNumberFormat="1" applyFont="1" applyBorder="1" applyAlignment="1">
      <alignment horizontal="right"/>
    </xf>
    <xf numFmtId="170" fontId="32" fillId="0" borderId="4" xfId="9" applyNumberFormat="1" applyFont="1" applyBorder="1" applyAlignment="1" applyProtection="1">
      <alignment horizontal="right"/>
    </xf>
    <xf numFmtId="3" fontId="29" fillId="0" borderId="0" xfId="20" applyNumberFormat="1" applyFont="1" applyAlignment="1">
      <alignment horizontal="right"/>
    </xf>
    <xf numFmtId="3" fontId="29" fillId="0" borderId="3" xfId="20" applyNumberFormat="1" applyFont="1" applyBorder="1"/>
    <xf numFmtId="171" fontId="29" fillId="0" borderId="0" xfId="9" applyNumberFormat="1" applyFont="1" applyFill="1" applyAlignment="1" applyProtection="1"/>
    <xf numFmtId="3" fontId="35" fillId="0" borderId="0" xfId="20" applyNumberFormat="1" applyFont="1" applyAlignment="1">
      <alignment horizontal="right"/>
    </xf>
    <xf numFmtId="3" fontId="29" fillId="0" borderId="3" xfId="20" applyNumberFormat="1" applyFont="1" applyBorder="1" applyAlignment="1">
      <alignment horizontal="right"/>
    </xf>
    <xf numFmtId="3" fontId="29" fillId="0" borderId="10" xfId="20" applyNumberFormat="1" applyFont="1" applyBorder="1"/>
    <xf numFmtId="171" fontId="35" fillId="0" borderId="0" xfId="20" applyNumberFormat="1" applyFont="1" applyAlignment="1">
      <alignment horizontal="right"/>
    </xf>
    <xf numFmtId="164" fontId="32" fillId="0" borderId="0" xfId="2" applyNumberFormat="1" applyFont="1" applyAlignment="1" applyProtection="1">
      <alignment horizontal="right"/>
    </xf>
    <xf numFmtId="165" fontId="32" fillId="0" borderId="0" xfId="20" applyNumberFormat="1" applyFont="1"/>
    <xf numFmtId="10" fontId="32" fillId="8" borderId="0" xfId="20" applyNumberFormat="1" applyFont="1" applyFill="1"/>
    <xf numFmtId="10" fontId="32" fillId="0" borderId="0" xfId="20" applyNumberFormat="1" applyFont="1" applyAlignment="1">
      <alignment horizontal="right"/>
    </xf>
    <xf numFmtId="10" fontId="32" fillId="0" borderId="0" xfId="20" applyNumberFormat="1" applyFont="1"/>
    <xf numFmtId="10" fontId="32" fillId="0" borderId="0" xfId="9" applyNumberFormat="1" applyFont="1" applyAlignment="1" applyProtection="1"/>
    <xf numFmtId="3" fontId="29" fillId="0" borderId="12" xfId="20" applyNumberFormat="1" applyFont="1" applyBorder="1"/>
    <xf numFmtId="37" fontId="29" fillId="0" borderId="0" xfId="20" applyNumberFormat="1" applyFont="1" applyAlignment="1">
      <alignment horizontal="right"/>
    </xf>
    <xf numFmtId="0" fontId="29" fillId="0" borderId="0" xfId="20" applyFont="1" applyAlignment="1">
      <alignment horizontal="center"/>
    </xf>
    <xf numFmtId="0" fontId="32" fillId="0" borderId="0" xfId="20" applyFont="1" applyAlignment="1">
      <alignment horizontal="left"/>
    </xf>
    <xf numFmtId="37" fontId="32" fillId="0" borderId="0" xfId="20" applyNumberFormat="1" applyFont="1" applyAlignment="1">
      <alignment horizontal="left"/>
    </xf>
    <xf numFmtId="0" fontId="32" fillId="0" borderId="0" xfId="20" applyFont="1" applyAlignment="1">
      <alignment horizontal="center"/>
    </xf>
    <xf numFmtId="0" fontId="27" fillId="0" borderId="0" xfId="20" applyFont="1"/>
    <xf numFmtId="0" fontId="29" fillId="6" borderId="7" xfId="20" applyFont="1" applyFill="1" applyBorder="1" applyAlignment="1">
      <alignment horizontal="left"/>
    </xf>
    <xf numFmtId="0" fontId="32" fillId="6" borderId="8" xfId="20" applyFont="1" applyFill="1" applyBorder="1"/>
    <xf numFmtId="0" fontId="29" fillId="6" borderId="16" xfId="20" applyFont="1" applyFill="1" applyBorder="1" applyAlignment="1">
      <alignment horizontal="left"/>
    </xf>
    <xf numFmtId="0" fontId="32" fillId="6" borderId="0" xfId="20" applyFont="1" applyFill="1"/>
    <xf numFmtId="0" fontId="32" fillId="6" borderId="0" xfId="20" applyFont="1" applyFill="1" applyAlignment="1">
      <alignment horizontal="center"/>
    </xf>
    <xf numFmtId="0" fontId="32" fillId="6" borderId="15" xfId="20" applyFont="1" applyFill="1" applyBorder="1" applyAlignment="1">
      <alignment horizontal="center"/>
    </xf>
    <xf numFmtId="0" fontId="29" fillId="6" borderId="6" xfId="20" applyFont="1" applyFill="1" applyBorder="1" applyAlignment="1">
      <alignment horizontal="left"/>
    </xf>
    <xf numFmtId="0" fontId="29" fillId="6" borderId="2" xfId="20" applyFont="1" applyFill="1" applyBorder="1"/>
    <xf numFmtId="0" fontId="29" fillId="6" borderId="2" xfId="20" applyFont="1" applyFill="1" applyBorder="1" applyAlignment="1">
      <alignment horizontal="center"/>
    </xf>
    <xf numFmtId="0" fontId="29" fillId="6" borderId="9" xfId="20" applyFont="1" applyFill="1" applyBorder="1" applyAlignment="1">
      <alignment horizontal="center" wrapText="1"/>
    </xf>
    <xf numFmtId="0" fontId="29" fillId="0" borderId="0" xfId="20" applyFont="1"/>
    <xf numFmtId="0" fontId="29" fillId="0" borderId="0" xfId="20" applyFont="1" applyAlignment="1">
      <alignment horizontal="left"/>
    </xf>
    <xf numFmtId="0" fontId="33" fillId="5" borderId="0" xfId="20" applyFont="1" applyFill="1" applyAlignment="1">
      <alignment horizontal="left"/>
    </xf>
    <xf numFmtId="0" fontId="33" fillId="5" borderId="0" xfId="20" applyFont="1" applyFill="1"/>
    <xf numFmtId="0" fontId="29" fillId="5" borderId="0" xfId="20" applyFont="1" applyFill="1" applyAlignment="1">
      <alignment horizontal="center"/>
    </xf>
    <xf numFmtId="0" fontId="35" fillId="0" borderId="0" xfId="20" applyFont="1" applyAlignment="1">
      <alignment horizontal="left"/>
    </xf>
    <xf numFmtId="0" fontId="35" fillId="0" borderId="0" xfId="20" applyFont="1" applyAlignment="1">
      <alignment horizontal="center"/>
    </xf>
    <xf numFmtId="0" fontId="32" fillId="0" borderId="3" xfId="20" applyFont="1" applyBorder="1"/>
    <xf numFmtId="3" fontId="32" fillId="0" borderId="3" xfId="20" applyNumberFormat="1" applyFont="1" applyBorder="1" applyAlignment="1">
      <alignment horizontal="center"/>
    </xf>
    <xf numFmtId="0" fontId="29" fillId="0" borderId="5" xfId="20" applyFont="1" applyBorder="1"/>
    <xf numFmtId="0" fontId="32" fillId="0" borderId="5" xfId="20" applyFont="1" applyBorder="1"/>
    <xf numFmtId="3" fontId="32" fillId="0" borderId="5" xfId="20" applyNumberFormat="1" applyFont="1" applyBorder="1" applyAlignment="1">
      <alignment horizontal="center"/>
    </xf>
    <xf numFmtId="3" fontId="32" fillId="0" borderId="5" xfId="20" applyNumberFormat="1" applyFont="1" applyBorder="1"/>
    <xf numFmtId="0" fontId="32" fillId="0" borderId="4" xfId="20" applyFont="1" applyBorder="1"/>
    <xf numFmtId="0" fontId="35" fillId="0" borderId="4" xfId="20" applyFont="1" applyBorder="1" applyAlignment="1">
      <alignment horizontal="center"/>
    </xf>
    <xf numFmtId="0" fontId="32" fillId="0" borderId="3" xfId="20" applyFont="1" applyBorder="1" applyAlignment="1">
      <alignment horizontal="center"/>
    </xf>
    <xf numFmtId="0" fontId="32" fillId="0" borderId="5" xfId="20" applyFont="1" applyBorder="1" applyAlignment="1">
      <alignment horizontal="center"/>
    </xf>
    <xf numFmtId="0" fontId="36" fillId="0" borderId="0" xfId="20" applyFont="1" applyAlignment="1">
      <alignment horizontal="center"/>
    </xf>
    <xf numFmtId="0" fontId="33" fillId="0" borderId="0" xfId="20" applyFont="1"/>
    <xf numFmtId="0" fontId="32" fillId="0" borderId="4" xfId="20" applyFont="1" applyBorder="1" applyAlignment="1">
      <alignment horizontal="left"/>
    </xf>
    <xf numFmtId="0" fontId="29" fillId="0" borderId="0" xfId="20" applyFont="1" applyAlignment="1">
      <alignment horizontal="right"/>
    </xf>
    <xf numFmtId="0" fontId="29" fillId="0" borderId="5" xfId="20" applyFont="1" applyBorder="1" applyAlignment="1">
      <alignment horizontal="center"/>
    </xf>
    <xf numFmtId="167" fontId="32" fillId="0" borderId="0" xfId="20" applyNumberFormat="1" applyFont="1" applyAlignment="1">
      <alignment horizontal="center"/>
    </xf>
    <xf numFmtId="0" fontId="32" fillId="0" borderId="5" xfId="20" applyFont="1" applyBorder="1" applyAlignment="1">
      <alignment horizontal="left"/>
    </xf>
    <xf numFmtId="0" fontId="37" fillId="0" borderId="0" xfId="20" applyFont="1" applyAlignment="1">
      <alignment horizontal="left"/>
    </xf>
    <xf numFmtId="0" fontId="37" fillId="0" borderId="0" xfId="20" applyFont="1"/>
    <xf numFmtId="0" fontId="32" fillId="0" borderId="0" xfId="20" applyFont="1" applyAlignment="1">
      <alignment horizontal="right"/>
    </xf>
    <xf numFmtId="0" fontId="35" fillId="0" borderId="0" xfId="20" applyFont="1"/>
    <xf numFmtId="4" fontId="35" fillId="0" borderId="0" xfId="20" applyNumberFormat="1" applyFont="1" applyAlignment="1">
      <alignment horizontal="right"/>
    </xf>
    <xf numFmtId="0" fontId="38" fillId="0" borderId="0" xfId="20" applyFont="1" applyAlignment="1">
      <alignment horizontal="left"/>
    </xf>
    <xf numFmtId="0" fontId="39" fillId="0" borderId="0" xfId="20" applyFont="1" applyAlignment="1">
      <alignment horizontal="center"/>
    </xf>
    <xf numFmtId="0" fontId="32" fillId="0" borderId="4" xfId="20" applyFont="1" applyBorder="1" applyAlignment="1">
      <alignment horizontal="center"/>
    </xf>
    <xf numFmtId="0" fontId="32" fillId="0" borderId="3" xfId="20" applyFont="1" applyBorder="1" applyAlignment="1">
      <alignment horizontal="left"/>
    </xf>
    <xf numFmtId="0" fontId="29" fillId="0" borderId="3" xfId="20" applyFont="1" applyBorder="1" applyAlignment="1">
      <alignment horizontal="center"/>
    </xf>
    <xf numFmtId="0" fontId="29" fillId="0" borderId="3" xfId="20" applyFont="1" applyBorder="1"/>
    <xf numFmtId="0" fontId="32" fillId="0" borderId="10" xfId="20" applyFont="1" applyBorder="1" applyAlignment="1">
      <alignment horizontal="center"/>
    </xf>
    <xf numFmtId="0" fontId="29" fillId="0" borderId="10" xfId="20" applyFont="1" applyBorder="1"/>
    <xf numFmtId="0" fontId="29" fillId="0" borderId="10" xfId="20" applyFont="1" applyBorder="1" applyAlignment="1">
      <alignment horizontal="center"/>
    </xf>
    <xf numFmtId="3" fontId="32" fillId="0" borderId="10" xfId="20" applyNumberFormat="1" applyFont="1" applyBorder="1"/>
    <xf numFmtId="0" fontId="29" fillId="5" borderId="0" xfId="20" applyFont="1" applyFill="1" applyAlignment="1">
      <alignment horizontal="left"/>
    </xf>
    <xf numFmtId="0" fontId="35" fillId="0" borderId="4" xfId="20" applyFont="1" applyBorder="1"/>
    <xf numFmtId="0" fontId="32" fillId="0" borderId="10" xfId="20" applyFont="1" applyBorder="1"/>
    <xf numFmtId="3" fontId="32" fillId="0" borderId="10" xfId="20" applyNumberFormat="1" applyFont="1" applyBorder="1" applyAlignment="1">
      <alignment horizontal="center"/>
    </xf>
    <xf numFmtId="0" fontId="39" fillId="0" borderId="0" xfId="20" applyFont="1"/>
    <xf numFmtId="0" fontId="29" fillId="0" borderId="10" xfId="20" applyFont="1" applyBorder="1" applyAlignment="1">
      <alignment horizontal="left"/>
    </xf>
    <xf numFmtId="0" fontId="33" fillId="5" borderId="0" xfId="20" applyFont="1" applyFill="1" applyAlignment="1">
      <alignment horizontal="center"/>
    </xf>
    <xf numFmtId="3" fontId="29" fillId="0" borderId="0" xfId="20" applyNumberFormat="1" applyFont="1"/>
    <xf numFmtId="3" fontId="32" fillId="0" borderId="0" xfId="20" applyNumberFormat="1" applyFont="1" applyAlignment="1">
      <alignment horizontal="left"/>
    </xf>
    <xf numFmtId="167" fontId="29" fillId="0" borderId="10" xfId="20" applyNumberFormat="1" applyFont="1" applyBorder="1" applyAlignment="1">
      <alignment horizontal="left"/>
    </xf>
    <xf numFmtId="3" fontId="29" fillId="0" borderId="10" xfId="20" applyNumberFormat="1" applyFont="1" applyBorder="1" applyAlignment="1">
      <alignment horizontal="center"/>
    </xf>
    <xf numFmtId="167" fontId="29" fillId="0" borderId="0" xfId="20" applyNumberFormat="1" applyFont="1" applyAlignment="1">
      <alignment horizontal="left"/>
    </xf>
    <xf numFmtId="169" fontId="32" fillId="0" borderId="0" xfId="20" applyNumberFormat="1" applyFont="1"/>
    <xf numFmtId="167" fontId="32" fillId="0" borderId="0" xfId="20" applyNumberFormat="1" applyFont="1" applyAlignment="1">
      <alignment horizontal="left"/>
    </xf>
    <xf numFmtId="0" fontId="29" fillId="0" borderId="3" xfId="20" applyFont="1" applyBorder="1" applyAlignment="1">
      <alignment horizontal="left"/>
    </xf>
    <xf numFmtId="167" fontId="29" fillId="0" borderId="5" xfId="20" applyNumberFormat="1" applyFont="1" applyBorder="1" applyAlignment="1">
      <alignment horizontal="left"/>
    </xf>
    <xf numFmtId="3" fontId="29" fillId="0" borderId="5" xfId="20" applyNumberFormat="1" applyFont="1" applyBorder="1"/>
    <xf numFmtId="3" fontId="29" fillId="0" borderId="3" xfId="20" applyNumberFormat="1" applyFont="1" applyBorder="1" applyAlignment="1">
      <alignment horizontal="center"/>
    </xf>
    <xf numFmtId="0" fontId="29" fillId="0" borderId="17" xfId="20" applyFont="1" applyBorder="1" applyAlignment="1">
      <alignment horizontal="center"/>
    </xf>
    <xf numFmtId="0" fontId="32" fillId="0" borderId="22" xfId="20" applyFont="1" applyBorder="1" applyAlignment="1">
      <alignment horizontal="center"/>
    </xf>
    <xf numFmtId="0" fontId="29" fillId="0" borderId="22" xfId="20" applyFont="1" applyBorder="1"/>
    <xf numFmtId="3" fontId="29" fillId="0" borderId="22" xfId="20" applyNumberFormat="1" applyFont="1" applyBorder="1"/>
    <xf numFmtId="3" fontId="29" fillId="0" borderId="0" xfId="20" applyNumberFormat="1" applyFont="1" applyAlignment="1">
      <alignment horizontal="center"/>
    </xf>
    <xf numFmtId="0" fontId="29" fillId="0" borderId="4" xfId="20" applyFont="1" applyBorder="1"/>
    <xf numFmtId="3" fontId="29" fillId="0" borderId="4" xfId="20" applyNumberFormat="1" applyFont="1" applyBorder="1" applyAlignment="1">
      <alignment horizontal="center"/>
    </xf>
    <xf numFmtId="43" fontId="32" fillId="0" borderId="0" xfId="20" applyNumberFormat="1" applyFont="1"/>
    <xf numFmtId="0" fontId="29" fillId="0" borderId="11" xfId="20" applyFont="1" applyBorder="1" applyAlignment="1">
      <alignment horizontal="center"/>
    </xf>
    <xf numFmtId="0" fontId="29" fillId="0" borderId="12" xfId="20" applyFont="1" applyBorder="1"/>
    <xf numFmtId="0" fontId="29" fillId="0" borderId="12" xfId="20" applyFont="1" applyBorder="1" applyAlignment="1">
      <alignment horizontal="left"/>
    </xf>
    <xf numFmtId="0" fontId="29" fillId="0" borderId="12" xfId="20" applyFont="1" applyBorder="1" applyAlignment="1">
      <alignment horizontal="center"/>
    </xf>
    <xf numFmtId="0" fontId="27" fillId="0" borderId="0" xfId="20" applyFont="1" applyAlignment="1">
      <alignment horizontal="center"/>
    </xf>
    <xf numFmtId="0" fontId="33" fillId="0" borderId="0" xfId="20" applyFont="1" applyAlignment="1">
      <alignment horizontal="left"/>
    </xf>
    <xf numFmtId="37" fontId="19" fillId="0" borderId="0" xfId="1" applyNumberFormat="1" applyFont="1" applyAlignment="1" applyProtection="1">
      <alignment horizontal="right" wrapText="1"/>
      <protection locked="0"/>
    </xf>
    <xf numFmtId="43" fontId="19" fillId="0" borderId="15" xfId="2" applyFont="1" applyFill="1" applyBorder="1"/>
    <xf numFmtId="41" fontId="19" fillId="68" borderId="0" xfId="0" applyNumberFormat="1" applyFont="1" applyFill="1"/>
    <xf numFmtId="0" fontId="45" fillId="0" borderId="0" xfId="20" applyFont="1" applyAlignment="1">
      <alignment horizontal="left"/>
    </xf>
    <xf numFmtId="174" fontId="16" fillId="0" borderId="0" xfId="2" applyNumberFormat="1" applyFont="1"/>
    <xf numFmtId="167" fontId="16" fillId="0" borderId="0" xfId="9" applyNumberFormat="1" applyFont="1" applyFill="1"/>
    <xf numFmtId="0" fontId="48" fillId="0" borderId="0" xfId="20" applyFont="1" applyAlignment="1">
      <alignment horizontal="center"/>
    </xf>
    <xf numFmtId="0" fontId="47" fillId="0" borderId="0" xfId="20" applyFont="1" applyAlignment="1">
      <alignment horizontal="center"/>
    </xf>
    <xf numFmtId="164" fontId="28" fillId="0" borderId="0" xfId="20" applyNumberFormat="1" applyFont="1"/>
    <xf numFmtId="0" fontId="28" fillId="0" borderId="0" xfId="20" applyFont="1"/>
    <xf numFmtId="164" fontId="19" fillId="0" borderId="0" xfId="20" applyNumberFormat="1" applyFont="1" applyAlignment="1">
      <alignment horizontal="center"/>
    </xf>
    <xf numFmtId="171" fontId="28" fillId="0" borderId="0" xfId="20" applyNumberFormat="1" applyFont="1"/>
    <xf numFmtId="171" fontId="19" fillId="8" borderId="0" xfId="20" applyNumberFormat="1" applyFont="1" applyFill="1" applyProtection="1">
      <protection locked="0"/>
    </xf>
    <xf numFmtId="171" fontId="19" fillId="0" borderId="0" xfId="20" applyNumberFormat="1" applyFont="1"/>
    <xf numFmtId="0" fontId="23" fillId="0" borderId="0" xfId="20" applyFont="1"/>
    <xf numFmtId="0" fontId="24" fillId="0" borderId="0" xfId="20" applyFont="1" applyAlignment="1">
      <alignment horizontal="left"/>
    </xf>
    <xf numFmtId="0" fontId="18" fillId="0" borderId="59" xfId="0" applyFont="1" applyBorder="1" applyAlignment="1">
      <alignment wrapText="1"/>
    </xf>
    <xf numFmtId="0" fontId="18" fillId="0" borderId="58" xfId="0" applyFont="1" applyBorder="1"/>
    <xf numFmtId="0" fontId="18" fillId="0" borderId="19" xfId="20" applyFont="1" applyBorder="1"/>
    <xf numFmtId="0" fontId="19" fillId="8" borderId="28" xfId="20" applyFont="1" applyFill="1" applyBorder="1" applyAlignment="1">
      <alignment wrapText="1"/>
    </xf>
    <xf numFmtId="0" fontId="19" fillId="8" borderId="19" xfId="20" applyFont="1" applyFill="1" applyBorder="1" applyAlignment="1">
      <alignment wrapText="1"/>
    </xf>
    <xf numFmtId="0" fontId="18" fillId="0" borderId="18" xfId="20" applyFont="1" applyBorder="1"/>
    <xf numFmtId="164" fontId="19" fillId="8" borderId="25" xfId="3" applyNumberFormat="1" applyFont="1" applyFill="1" applyBorder="1" applyAlignment="1">
      <alignment wrapText="1"/>
    </xf>
    <xf numFmtId="37" fontId="19" fillId="8" borderId="0" xfId="2" applyNumberFormat="1" applyFont="1" applyFill="1" applyBorder="1"/>
    <xf numFmtId="3" fontId="19" fillId="0" borderId="8" xfId="20" applyNumberFormat="1" applyFont="1" applyBorder="1"/>
    <xf numFmtId="0" fontId="59" fillId="0" borderId="0" xfId="20" applyFont="1" applyAlignment="1">
      <alignment horizontal="left"/>
    </xf>
    <xf numFmtId="0" fontId="59" fillId="0" borderId="0" xfId="20" applyFont="1"/>
    <xf numFmtId="0" fontId="19" fillId="8" borderId="25" xfId="3" applyNumberFormat="1" applyFont="1" applyFill="1" applyBorder="1" applyAlignment="1">
      <alignment wrapText="1"/>
    </xf>
    <xf numFmtId="4" fontId="19" fillId="0" borderId="0" xfId="20" applyNumberFormat="1" applyFont="1"/>
    <xf numFmtId="182" fontId="19" fillId="0" borderId="0" xfId="20" applyNumberFormat="1" applyFont="1" applyAlignment="1">
      <alignment horizontal="center"/>
    </xf>
    <xf numFmtId="3" fontId="19" fillId="0" borderId="0" xfId="0" applyNumberFormat="1" applyFont="1"/>
    <xf numFmtId="0" fontId="59" fillId="0" borderId="0" xfId="0" applyFont="1"/>
    <xf numFmtId="164" fontId="19" fillId="0" borderId="0" xfId="0" applyNumberFormat="1" applyFont="1"/>
    <xf numFmtId="41" fontId="19" fillId="0" borderId="0" xfId="0" applyNumberFormat="1" applyFont="1"/>
    <xf numFmtId="0" fontId="104" fillId="0" borderId="0" xfId="0" applyFont="1"/>
    <xf numFmtId="3" fontId="19" fillId="0" borderId="21" xfId="20" applyNumberFormat="1" applyFont="1" applyBorder="1" applyAlignment="1">
      <alignment horizontal="center"/>
    </xf>
    <xf numFmtId="3" fontId="19" fillId="0" borderId="0" xfId="2" applyNumberFormat="1" applyFont="1" applyFill="1" applyBorder="1"/>
    <xf numFmtId="0" fontId="19" fillId="0" borderId="16" xfId="0" applyFont="1" applyBorder="1" applyAlignment="1">
      <alignment horizontal="left"/>
    </xf>
    <xf numFmtId="0" fontId="19" fillId="0" borderId="6" xfId="0" applyFont="1" applyBorder="1" applyAlignment="1">
      <alignment horizontal="left"/>
    </xf>
    <xf numFmtId="0" fontId="19" fillId="0" borderId="16" xfId="0" applyFont="1" applyBorder="1" applyAlignment="1">
      <alignment horizontal="center"/>
    </xf>
    <xf numFmtId="37" fontId="19" fillId="0" borderId="0" xfId="2" applyNumberFormat="1" applyFont="1" applyFill="1" applyBorder="1"/>
    <xf numFmtId="3" fontId="18" fillId="0" borderId="0" xfId="20" applyNumberFormat="1" applyFont="1" applyAlignment="1">
      <alignment horizontal="center"/>
    </xf>
    <xf numFmtId="10" fontId="32" fillId="0" borderId="0" xfId="9" applyNumberFormat="1" applyFont="1" applyFill="1" applyProtection="1"/>
    <xf numFmtId="0" fontId="16" fillId="0" borderId="0" xfId="0" applyFont="1"/>
    <xf numFmtId="0" fontId="19" fillId="11" borderId="0" xfId="1" applyFont="1" applyFill="1"/>
    <xf numFmtId="0" fontId="19" fillId="11" borderId="0" xfId="1" applyFont="1" applyFill="1" applyAlignment="1">
      <alignment horizontal="left" vertical="center" wrapText="1"/>
    </xf>
    <xf numFmtId="37" fontId="19" fillId="11" borderId="0" xfId="1" applyNumberFormat="1" applyFont="1" applyFill="1"/>
    <xf numFmtId="0" fontId="26" fillId="0" borderId="0" xfId="291" applyFont="1"/>
    <xf numFmtId="10" fontId="26" fillId="0" borderId="0" xfId="291" applyNumberFormat="1" applyFont="1"/>
    <xf numFmtId="0" fontId="26" fillId="0" borderId="0" xfId="291" applyFont="1" applyAlignment="1">
      <alignment horizontal="left"/>
    </xf>
    <xf numFmtId="0" fontId="16" fillId="0" borderId="0" xfId="291" applyFont="1"/>
    <xf numFmtId="0" fontId="26" fillId="0" borderId="0" xfId="0" applyFont="1"/>
    <xf numFmtId="2" fontId="26" fillId="0" borderId="0" xfId="0" applyNumberFormat="1" applyFont="1" applyAlignment="1">
      <alignment horizontal="left"/>
    </xf>
    <xf numFmtId="10" fontId="26" fillId="0" borderId="0" xfId="9" applyNumberFormat="1" applyFont="1" applyAlignment="1">
      <alignment horizontal="center"/>
    </xf>
    <xf numFmtId="0" fontId="24" fillId="0" borderId="0" xfId="0" applyFont="1" applyAlignment="1">
      <alignment horizontal="center"/>
    </xf>
    <xf numFmtId="0" fontId="46" fillId="0" borderId="0" xfId="291" applyFont="1"/>
    <xf numFmtId="0" fontId="46" fillId="0" borderId="0" xfId="291" applyFont="1" applyAlignment="1">
      <alignment horizontal="center"/>
    </xf>
    <xf numFmtId="0" fontId="19" fillId="0" borderId="0" xfId="291" applyFont="1" applyAlignment="1">
      <alignment horizontal="center"/>
    </xf>
    <xf numFmtId="0" fontId="19" fillId="0" borderId="0" xfId="291" applyFont="1"/>
    <xf numFmtId="171" fontId="18" fillId="0" borderId="0" xfId="523" applyNumberFormat="1" applyFont="1" applyAlignment="1">
      <alignment horizontal="center"/>
    </xf>
    <xf numFmtId="177" fontId="19" fillId="0" borderId="0" xfId="2" applyNumberFormat="1" applyFont="1" applyAlignment="1">
      <alignment horizontal="left"/>
    </xf>
    <xf numFmtId="171" fontId="19" fillId="0" borderId="0" xfId="523" applyNumberFormat="1" applyFont="1" applyAlignment="1">
      <alignment horizontal="center"/>
    </xf>
    <xf numFmtId="9" fontId="19" fillId="0" borderId="0" xfId="9" applyFont="1"/>
    <xf numFmtId="177" fontId="46" fillId="0" borderId="0" xfId="2" applyNumberFormat="1" applyFont="1" applyAlignment="1">
      <alignment horizontal="left"/>
    </xf>
    <xf numFmtId="171" fontId="19" fillId="0" borderId="0" xfId="523" applyNumberFormat="1" applyFont="1"/>
    <xf numFmtId="10" fontId="19" fillId="0" borderId="0" xfId="291" applyNumberFormat="1" applyFont="1"/>
    <xf numFmtId="0" fontId="19" fillId="0" borderId="0" xfId="291" quotePrefix="1" applyFont="1"/>
    <xf numFmtId="0" fontId="19" fillId="0" borderId="0" xfId="291" applyFont="1" applyAlignment="1">
      <alignment horizontal="left"/>
    </xf>
    <xf numFmtId="3" fontId="19" fillId="0" borderId="20" xfId="2" applyNumberFormat="1" applyFont="1" applyFill="1" applyBorder="1"/>
    <xf numFmtId="3" fontId="19" fillId="0" borderId="21" xfId="2" applyNumberFormat="1" applyFont="1" applyFill="1" applyBorder="1"/>
    <xf numFmtId="0" fontId="19" fillId="11" borderId="0" xfId="20" applyFont="1" applyFill="1"/>
    <xf numFmtId="0" fontId="19" fillId="11" borderId="0" xfId="20" applyFont="1" applyFill="1" applyAlignment="1">
      <alignment horizontal="left"/>
    </xf>
    <xf numFmtId="172" fontId="19" fillId="0" borderId="0" xfId="9" applyNumberFormat="1" applyFont="1"/>
    <xf numFmtId="0" fontId="46" fillId="0" borderId="0" xfId="20" applyFont="1" applyAlignment="1">
      <alignment horizontal="center"/>
    </xf>
    <xf numFmtId="0" fontId="19" fillId="0" borderId="6" xfId="20" applyFont="1" applyBorder="1" applyAlignment="1">
      <alignment horizontal="left"/>
    </xf>
    <xf numFmtId="0" fontId="29" fillId="0" borderId="4" xfId="20" applyFont="1" applyBorder="1" applyAlignment="1">
      <alignment horizontal="center"/>
    </xf>
    <xf numFmtId="3" fontId="105" fillId="0" borderId="0" xfId="20" applyNumberFormat="1" applyFont="1" applyAlignment="1">
      <alignment horizontal="right"/>
    </xf>
    <xf numFmtId="0" fontId="29" fillId="0" borderId="5" xfId="20" applyFont="1" applyBorder="1" applyAlignment="1">
      <alignment wrapText="1"/>
    </xf>
    <xf numFmtId="171" fontId="32" fillId="0" borderId="0" xfId="9" applyNumberFormat="1" applyFont="1" applyBorder="1" applyAlignment="1" applyProtection="1"/>
    <xf numFmtId="0" fontId="19" fillId="0" borderId="0" xfId="301" applyFont="1"/>
    <xf numFmtId="0" fontId="19" fillId="0" borderId="0" xfId="301" applyFont="1" applyAlignment="1">
      <alignment horizontal="center"/>
    </xf>
    <xf numFmtId="164" fontId="19" fillId="0" borderId="0" xfId="301" applyNumberFormat="1" applyFont="1"/>
    <xf numFmtId="0" fontId="18" fillId="0" borderId="0" xfId="0" applyFont="1" applyAlignment="1">
      <alignment horizontal="left"/>
    </xf>
    <xf numFmtId="0" fontId="18" fillId="0" borderId="60" xfId="0" applyFont="1" applyBorder="1"/>
    <xf numFmtId="0" fontId="19" fillId="0" borderId="32" xfId="0" applyFont="1" applyBorder="1" applyAlignment="1">
      <alignment wrapText="1"/>
    </xf>
    <xf numFmtId="0" fontId="19" fillId="0" borderId="0" xfId="301" applyFont="1" applyAlignment="1">
      <alignment horizontal="left"/>
    </xf>
    <xf numFmtId="0" fontId="19" fillId="0" borderId="4" xfId="301" applyFont="1" applyBorder="1" applyAlignment="1">
      <alignment horizontal="center" vertical="top" wrapText="1"/>
    </xf>
    <xf numFmtId="0" fontId="0" fillId="0" borderId="0" xfId="0" applyAlignment="1">
      <alignment horizontal="center"/>
    </xf>
    <xf numFmtId="0" fontId="18" fillId="0" borderId="0" xfId="0" applyFont="1" applyAlignment="1">
      <alignment wrapText="1"/>
    </xf>
    <xf numFmtId="0" fontId="18" fillId="0" borderId="0" xfId="301" applyFont="1" applyAlignment="1">
      <alignment horizontal="center"/>
    </xf>
    <xf numFmtId="0" fontId="19" fillId="0" borderId="0" xfId="301" applyFont="1" applyAlignment="1">
      <alignment horizontal="left" wrapText="1"/>
    </xf>
    <xf numFmtId="1" fontId="18" fillId="0" borderId="0" xfId="20" applyNumberFormat="1" applyFont="1"/>
    <xf numFmtId="37" fontId="18" fillId="0" borderId="0" xfId="20" applyNumberFormat="1" applyFont="1"/>
    <xf numFmtId="164" fontId="19" fillId="0" borderId="25" xfId="2" applyNumberFormat="1" applyFont="1" applyFill="1" applyBorder="1" applyAlignment="1">
      <alignment wrapText="1"/>
    </xf>
    <xf numFmtId="164" fontId="19" fillId="0" borderId="25" xfId="3" applyNumberFormat="1" applyFont="1" applyFill="1" applyBorder="1" applyAlignment="1">
      <alignment wrapText="1"/>
    </xf>
    <xf numFmtId="0" fontId="19" fillId="0" borderId="29" xfId="20" applyFont="1" applyBorder="1" applyAlignment="1">
      <alignment wrapText="1"/>
    </xf>
    <xf numFmtId="164" fontId="19" fillId="11" borderId="25" xfId="3" applyNumberFormat="1" applyFont="1" applyFill="1" applyBorder="1" applyAlignment="1">
      <alignment wrapText="1"/>
    </xf>
    <xf numFmtId="164" fontId="19" fillId="11" borderId="25" xfId="2" applyNumberFormat="1" applyFont="1" applyFill="1" applyBorder="1" applyAlignment="1">
      <alignment wrapText="1"/>
    </xf>
    <xf numFmtId="164" fontId="106" fillId="0" borderId="0" xfId="34" applyNumberFormat="1" applyFont="1" applyAlignment="1">
      <alignment vertical="center" wrapText="1"/>
    </xf>
    <xf numFmtId="164" fontId="106" fillId="0" borderId="0" xfId="34" applyNumberFormat="1" applyFont="1" applyAlignment="1">
      <alignment horizontal="right" vertical="center" wrapText="1"/>
    </xf>
    <xf numFmtId="164" fontId="106" fillId="11" borderId="0" xfId="34" applyNumberFormat="1" applyFont="1" applyFill="1" applyAlignment="1">
      <alignment vertical="center" wrapText="1"/>
    </xf>
    <xf numFmtId="0" fontId="106" fillId="0" borderId="0" xfId="346" applyFont="1"/>
    <xf numFmtId="0" fontId="107" fillId="0" borderId="0" xfId="346" applyFont="1"/>
    <xf numFmtId="0" fontId="107" fillId="0" borderId="0" xfId="346" applyFont="1" applyAlignment="1">
      <alignment horizontal="center" vertical="center" wrapText="1"/>
    </xf>
    <xf numFmtId="0" fontId="107" fillId="0" borderId="0" xfId="346" applyFont="1" applyAlignment="1">
      <alignment vertical="center"/>
    </xf>
    <xf numFmtId="0" fontId="107" fillId="0" borderId="27" xfId="346" applyFont="1" applyBorder="1" applyAlignment="1">
      <alignment horizontal="center" vertical="center"/>
    </xf>
    <xf numFmtId="0" fontId="107" fillId="0" borderId="0" xfId="346" applyFont="1" applyAlignment="1">
      <alignment horizontal="center" vertical="center"/>
    </xf>
    <xf numFmtId="0" fontId="108" fillId="0" borderId="27" xfId="346" applyFont="1" applyBorder="1" applyAlignment="1">
      <alignment horizontal="center" vertical="center"/>
    </xf>
    <xf numFmtId="0" fontId="106" fillId="0" borderId="33" xfId="346" applyFont="1" applyBorder="1" applyAlignment="1">
      <alignment horizontal="center" vertical="center" wrapText="1"/>
    </xf>
    <xf numFmtId="0" fontId="106" fillId="0" borderId="0" xfId="346" applyFont="1" applyAlignment="1">
      <alignment horizontal="center" vertical="center" wrapText="1"/>
    </xf>
    <xf numFmtId="0" fontId="109" fillId="0" borderId="33" xfId="346" applyFont="1" applyBorder="1" applyAlignment="1">
      <alignment horizontal="center" vertical="center" wrapText="1"/>
    </xf>
    <xf numFmtId="0" fontId="109" fillId="0" borderId="0" xfId="346" applyFont="1"/>
    <xf numFmtId="0" fontId="106" fillId="0" borderId="0" xfId="346" applyFont="1" applyAlignment="1">
      <alignment horizontal="left" vertical="center"/>
    </xf>
    <xf numFmtId="15" fontId="106" fillId="0" borderId="0" xfId="346" applyNumberFormat="1" applyFont="1" applyAlignment="1">
      <alignment vertical="center" wrapText="1"/>
    </xf>
    <xf numFmtId="0" fontId="106" fillId="0" borderId="3" xfId="346" applyFont="1" applyBorder="1" applyAlignment="1">
      <alignment vertical="center" wrapText="1"/>
    </xf>
    <xf numFmtId="164" fontId="106" fillId="0" borderId="3" xfId="346" applyNumberFormat="1" applyFont="1" applyBorder="1" applyAlignment="1">
      <alignment vertical="center" wrapText="1"/>
    </xf>
    <xf numFmtId="0" fontId="106" fillId="0" borderId="3" xfId="346" applyFont="1" applyBorder="1" applyAlignment="1">
      <alignment horizontal="right" vertical="center" wrapText="1"/>
    </xf>
    <xf numFmtId="0" fontId="106" fillId="0" borderId="0" xfId="346" applyFont="1" applyAlignment="1">
      <alignment vertical="center" wrapText="1"/>
    </xf>
    <xf numFmtId="0" fontId="106" fillId="0" borderId="0" xfId="346" applyFont="1" applyAlignment="1">
      <alignment horizontal="right" vertical="center" wrapText="1"/>
    </xf>
    <xf numFmtId="0" fontId="106" fillId="0" borderId="0" xfId="346" applyFont="1" applyAlignment="1">
      <alignment horizontal="justify" vertical="center" wrapText="1"/>
    </xf>
    <xf numFmtId="0" fontId="23" fillId="0" borderId="0" xfId="301" applyFont="1" applyAlignment="1">
      <alignment horizontal="center"/>
    </xf>
    <xf numFmtId="0" fontId="19" fillId="0" borderId="0" xfId="1" applyFont="1" applyAlignment="1">
      <alignment horizontal="center" vertical="top"/>
    </xf>
    <xf numFmtId="0" fontId="18" fillId="0" borderId="0" xfId="1" applyFont="1"/>
    <xf numFmtId="3" fontId="19" fillId="0" borderId="0" xfId="1" applyNumberFormat="1" applyFont="1" applyProtection="1">
      <protection locked="0"/>
    </xf>
    <xf numFmtId="0" fontId="18" fillId="0" borderId="0" xfId="1" applyFont="1" applyAlignment="1">
      <alignment horizontal="left"/>
    </xf>
    <xf numFmtId="0" fontId="19" fillId="0" borderId="0" xfId="20" applyFont="1" applyAlignment="1">
      <alignment horizontal="center" wrapText="1"/>
    </xf>
    <xf numFmtId="0" fontId="29" fillId="0" borderId="0" xfId="0" applyFont="1" applyAlignment="1">
      <alignment horizontal="center"/>
    </xf>
    <xf numFmtId="0" fontId="29" fillId="0" borderId="0" xfId="0" applyFont="1"/>
    <xf numFmtId="3" fontId="19" fillId="0" borderId="0" xfId="2" applyNumberFormat="1" applyFont="1" applyFill="1" applyProtection="1">
      <protection locked="0"/>
    </xf>
    <xf numFmtId="0" fontId="46" fillId="0" borderId="0" xfId="20" applyFont="1"/>
    <xf numFmtId="0" fontId="19" fillId="0" borderId="4" xfId="0" applyFont="1" applyBorder="1" applyAlignment="1">
      <alignment horizontal="center" wrapText="1"/>
    </xf>
    <xf numFmtId="0" fontId="109" fillId="0" borderId="0" xfId="0" applyFont="1" applyAlignment="1">
      <alignment wrapText="1"/>
    </xf>
    <xf numFmtId="41" fontId="19" fillId="0" borderId="0" xfId="3" applyFont="1"/>
    <xf numFmtId="0" fontId="108" fillId="0" borderId="0" xfId="0" applyFont="1" applyAlignment="1">
      <alignment wrapText="1"/>
    </xf>
    <xf numFmtId="0" fontId="19" fillId="0" borderId="0" xfId="0" applyFont="1" applyAlignment="1">
      <alignment wrapText="1"/>
    </xf>
    <xf numFmtId="0" fontId="25" fillId="0" borderId="2" xfId="0" applyFont="1" applyBorder="1" applyAlignment="1">
      <alignment horizontal="center"/>
    </xf>
    <xf numFmtId="0" fontId="18" fillId="0" borderId="0" xfId="20" applyFont="1" applyAlignment="1">
      <alignment horizontal="left" indent="1"/>
    </xf>
    <xf numFmtId="0" fontId="18" fillId="69" borderId="12" xfId="20" applyFont="1" applyFill="1" applyBorder="1" applyAlignment="1">
      <alignment horizontal="center"/>
    </xf>
    <xf numFmtId="3" fontId="19" fillId="0" borderId="0" xfId="20" applyNumberFormat="1" applyFont="1" applyAlignment="1">
      <alignment horizontal="left" wrapText="1"/>
    </xf>
    <xf numFmtId="10" fontId="32" fillId="0" borderId="4" xfId="20" applyNumberFormat="1" applyFont="1" applyBorder="1"/>
    <xf numFmtId="0" fontId="18" fillId="0" borderId="2" xfId="0" applyFont="1" applyBorder="1" applyAlignment="1">
      <alignment horizontal="center"/>
    </xf>
    <xf numFmtId="37" fontId="19" fillId="0" borderId="4" xfId="0" applyNumberFormat="1" applyFont="1" applyBorder="1"/>
    <xf numFmtId="0" fontId="19" fillId="0" borderId="0" xfId="2" applyNumberFormat="1" applyFont="1" applyFill="1" applyAlignment="1">
      <alignment horizontal="center"/>
    </xf>
    <xf numFmtId="0" fontId="106" fillId="0" borderId="0" xfId="559" applyFont="1" applyAlignment="1">
      <alignment horizontal="left" vertical="center" wrapText="1"/>
    </xf>
    <xf numFmtId="0" fontId="111" fillId="0" borderId="0" xfId="0" applyFont="1"/>
    <xf numFmtId="0" fontId="16" fillId="0" borderId="4" xfId="0" applyFont="1" applyBorder="1"/>
    <xf numFmtId="1" fontId="16" fillId="0" borderId="0" xfId="0" applyNumberFormat="1" applyFont="1"/>
    <xf numFmtId="170" fontId="32" fillId="0" borderId="4" xfId="9" applyNumberFormat="1" applyFont="1" applyFill="1" applyBorder="1" applyAlignment="1" applyProtection="1">
      <alignment horizontal="right"/>
    </xf>
    <xf numFmtId="170" fontId="32" fillId="0" borderId="0" xfId="9" applyNumberFormat="1" applyFont="1" applyFill="1" applyAlignment="1" applyProtection="1">
      <alignment horizontal="right"/>
    </xf>
    <xf numFmtId="0" fontId="40" fillId="0" borderId="4" xfId="20" applyFont="1" applyBorder="1"/>
    <xf numFmtId="170" fontId="19" fillId="0" borderId="0" xfId="9" applyNumberFormat="1" applyFont="1" applyFill="1"/>
    <xf numFmtId="170" fontId="19" fillId="0" borderId="0" xfId="9" applyNumberFormat="1" applyFont="1"/>
    <xf numFmtId="0" fontId="25" fillId="0" borderId="4" xfId="0" applyFont="1" applyBorder="1"/>
    <xf numFmtId="0" fontId="18" fillId="0" borderId="19" xfId="20" applyFont="1" applyBorder="1" applyAlignment="1">
      <alignment wrapText="1"/>
    </xf>
    <xf numFmtId="0" fontId="18" fillId="0" borderId="17" xfId="0" applyFont="1" applyBorder="1" applyAlignment="1">
      <alignment wrapText="1"/>
    </xf>
    <xf numFmtId="0" fontId="18" fillId="0" borderId="60" xfId="0" applyFont="1" applyBorder="1" applyAlignment="1">
      <alignment wrapText="1"/>
    </xf>
    <xf numFmtId="37" fontId="19" fillId="0" borderId="0" xfId="0" applyNumberFormat="1" applyFont="1" applyAlignment="1">
      <alignment horizontal="center"/>
    </xf>
    <xf numFmtId="37" fontId="19" fillId="0" borderId="0" xfId="0" applyNumberFormat="1" applyFont="1" applyAlignment="1">
      <alignment wrapText="1"/>
    </xf>
    <xf numFmtId="41" fontId="19" fillId="0" borderId="0" xfId="0" applyNumberFormat="1" applyFont="1" applyAlignment="1">
      <alignment horizontal="center"/>
    </xf>
    <xf numFmtId="170" fontId="111" fillId="0" borderId="0" xfId="9" applyNumberFormat="1" applyFont="1"/>
    <xf numFmtId="0" fontId="39" fillId="0" borderId="4" xfId="20" applyFont="1" applyBorder="1"/>
    <xf numFmtId="170" fontId="32" fillId="0" borderId="5" xfId="9" applyNumberFormat="1" applyFont="1" applyBorder="1" applyAlignment="1" applyProtection="1">
      <alignment horizontal="right"/>
    </xf>
    <xf numFmtId="3" fontId="29" fillId="0" borderId="5" xfId="20" applyNumberFormat="1" applyFont="1" applyBorder="1" applyAlignment="1">
      <alignment horizontal="right"/>
    </xf>
    <xf numFmtId="170" fontId="32" fillId="0" borderId="0" xfId="9" applyNumberFormat="1" applyFont="1" applyFill="1" applyBorder="1" applyAlignment="1" applyProtection="1">
      <alignment horizontal="right"/>
    </xf>
    <xf numFmtId="3" fontId="29" fillId="0" borderId="10" xfId="20" applyNumberFormat="1" applyFont="1" applyBorder="1" applyAlignment="1">
      <alignment horizontal="right"/>
    </xf>
    <xf numFmtId="0" fontId="32" fillId="5" borderId="0" xfId="20" applyFont="1" applyFill="1" applyAlignment="1">
      <alignment horizontal="right" wrapText="1"/>
    </xf>
    <xf numFmtId="171" fontId="29" fillId="0" borderId="0" xfId="9" applyNumberFormat="1" applyFont="1" applyAlignment="1" applyProtection="1">
      <alignment horizontal="right"/>
    </xf>
    <xf numFmtId="10" fontId="32" fillId="0" borderId="0" xfId="9" applyNumberFormat="1" applyFont="1" applyFill="1" applyAlignment="1" applyProtection="1">
      <alignment horizontal="right"/>
    </xf>
    <xf numFmtId="10" fontId="32" fillId="0" borderId="0" xfId="9" applyNumberFormat="1" applyFont="1" applyAlignment="1" applyProtection="1">
      <alignment horizontal="right"/>
    </xf>
    <xf numFmtId="10" fontId="32" fillId="0" borderId="4" xfId="9" applyNumberFormat="1" applyFont="1" applyBorder="1" applyAlignment="1" applyProtection="1">
      <alignment horizontal="right"/>
    </xf>
    <xf numFmtId="10" fontId="29" fillId="0" borderId="0" xfId="9" applyNumberFormat="1" applyFont="1" applyAlignment="1" applyProtection="1">
      <alignment horizontal="right"/>
    </xf>
    <xf numFmtId="165" fontId="29" fillId="0" borderId="0" xfId="20" applyNumberFormat="1" applyFont="1" applyAlignment="1">
      <alignment horizontal="right"/>
    </xf>
    <xf numFmtId="3" fontId="29" fillId="0" borderId="22" xfId="20" applyNumberFormat="1" applyFont="1" applyBorder="1" applyAlignment="1">
      <alignment horizontal="right"/>
    </xf>
    <xf numFmtId="3" fontId="29" fillId="0" borderId="12" xfId="20" applyNumberFormat="1" applyFont="1" applyBorder="1" applyAlignment="1">
      <alignment horizontal="right"/>
    </xf>
    <xf numFmtId="170" fontId="29" fillId="0" borderId="0" xfId="9" applyNumberFormat="1" applyFont="1" applyAlignment="1" applyProtection="1">
      <alignment horizontal="right"/>
    </xf>
    <xf numFmtId="3" fontId="29" fillId="0" borderId="4" xfId="20" applyNumberFormat="1" applyFont="1" applyBorder="1" applyAlignment="1">
      <alignment horizontal="right"/>
    </xf>
    <xf numFmtId="164" fontId="29" fillId="0" borderId="0" xfId="2" applyNumberFormat="1" applyFont="1" applyFill="1" applyAlignment="1" applyProtection="1">
      <alignment horizontal="right"/>
    </xf>
    <xf numFmtId="0" fontId="32" fillId="0" borderId="0" xfId="20" applyFont="1" applyAlignment="1">
      <alignment wrapText="1"/>
    </xf>
    <xf numFmtId="3" fontId="32" fillId="0" borderId="0" xfId="20" applyNumberFormat="1" applyFont="1" applyAlignment="1">
      <alignment wrapText="1"/>
    </xf>
    <xf numFmtId="3" fontId="19" fillId="0" borderId="0" xfId="20" applyNumberFormat="1" applyFont="1" applyAlignment="1">
      <alignment horizontal="right"/>
    </xf>
    <xf numFmtId="0" fontId="19" fillId="7" borderId="0" xfId="20" applyFont="1" applyFill="1" applyAlignment="1">
      <alignment horizontal="right"/>
    </xf>
    <xf numFmtId="3" fontId="19" fillId="0" borderId="2" xfId="20" applyNumberFormat="1" applyFont="1" applyBorder="1" applyAlignment="1">
      <alignment horizontal="right"/>
    </xf>
    <xf numFmtId="0" fontId="111" fillId="0" borderId="0" xfId="0" applyFont="1" applyAlignment="1">
      <alignment horizontal="center"/>
    </xf>
    <xf numFmtId="0" fontId="111" fillId="11" borderId="0" xfId="0" applyFont="1" applyFill="1" applyAlignment="1">
      <alignment horizontal="center"/>
    </xf>
    <xf numFmtId="0" fontId="16" fillId="0" borderId="0" xfId="0" applyFont="1" applyAlignment="1">
      <alignment wrapText="1"/>
    </xf>
    <xf numFmtId="0" fontId="19" fillId="0" borderId="4" xfId="0" applyFont="1" applyBorder="1" applyAlignment="1">
      <alignment horizontal="center"/>
    </xf>
    <xf numFmtId="1" fontId="16" fillId="0" borderId="4" xfId="0" applyNumberFormat="1" applyFont="1" applyBorder="1"/>
    <xf numFmtId="0" fontId="18" fillId="10" borderId="1" xfId="20" applyFont="1" applyFill="1" applyBorder="1" applyAlignment="1">
      <alignment horizontal="center"/>
    </xf>
    <xf numFmtId="10" fontId="16" fillId="11" borderId="0" xfId="9" applyNumberFormat="1" applyFont="1" applyFill="1"/>
    <xf numFmtId="164" fontId="16" fillId="0" borderId="0" xfId="2" applyNumberFormat="1" applyFont="1" applyFill="1" applyBorder="1"/>
    <xf numFmtId="0" fontId="115" fillId="0" borderId="0" xfId="20" applyFont="1"/>
    <xf numFmtId="4" fontId="29" fillId="0" borderId="0" xfId="6" applyNumberFormat="1" applyFont="1" applyBorder="1" applyAlignment="1" applyProtection="1">
      <alignment horizontal="right"/>
    </xf>
    <xf numFmtId="0" fontId="19" fillId="0" borderId="19" xfId="20" applyFont="1" applyBorder="1" applyAlignment="1">
      <alignment wrapText="1"/>
    </xf>
    <xf numFmtId="0" fontId="19" fillId="0" borderId="28" xfId="20" applyFont="1" applyBorder="1"/>
    <xf numFmtId="0" fontId="19" fillId="0" borderId="25" xfId="3" applyNumberFormat="1" applyFont="1" applyFill="1" applyBorder="1" applyAlignment="1">
      <alignment wrapText="1"/>
    </xf>
    <xf numFmtId="0" fontId="16" fillId="11" borderId="4" xfId="0" applyFont="1" applyFill="1" applyBorder="1" applyAlignment="1">
      <alignment horizontal="center" wrapText="1"/>
    </xf>
    <xf numFmtId="0" fontId="16" fillId="0" borderId="4" xfId="0" applyFont="1" applyBorder="1" applyAlignment="1">
      <alignment wrapText="1"/>
    </xf>
    <xf numFmtId="0" fontId="0" fillId="0" borderId="4" xfId="0" applyBorder="1"/>
    <xf numFmtId="10" fontId="16" fillId="0" borderId="4" xfId="9" applyNumberFormat="1" applyFont="1" applyBorder="1"/>
    <xf numFmtId="10" fontId="16" fillId="0" borderId="0" xfId="9" applyNumberFormat="1" applyFont="1" applyFill="1"/>
    <xf numFmtId="10" fontId="16" fillId="0" borderId="4" xfId="9" applyNumberFormat="1" applyFont="1" applyFill="1" applyBorder="1"/>
    <xf numFmtId="0" fontId="19" fillId="0" borderId="0" xfId="0" applyFont="1" applyAlignment="1">
      <alignment horizontal="center" vertical="top"/>
    </xf>
    <xf numFmtId="10" fontId="19" fillId="11" borderId="0" xfId="0" applyNumberFormat="1" applyFont="1" applyFill="1"/>
    <xf numFmtId="164" fontId="186" fillId="11" borderId="0" xfId="2" applyNumberFormat="1" applyFont="1" applyFill="1"/>
    <xf numFmtId="0" fontId="19" fillId="0" borderId="0" xfId="0" quotePrefix="1" applyFont="1"/>
    <xf numFmtId="0" fontId="132" fillId="0" borderId="0" xfId="0" applyFont="1" applyAlignment="1">
      <alignment horizontal="centerContinuous"/>
    </xf>
    <xf numFmtId="0" fontId="132" fillId="0" borderId="0" xfId="0" applyFont="1"/>
    <xf numFmtId="37" fontId="19" fillId="0" borderId="0" xfId="0" applyNumberFormat="1" applyFont="1" applyAlignment="1">
      <alignment horizontal="center" vertical="top"/>
    </xf>
    <xf numFmtId="0" fontId="19" fillId="11" borderId="0" xfId="0" quotePrefix="1" applyFont="1" applyFill="1" applyAlignment="1">
      <alignment horizontal="center"/>
    </xf>
    <xf numFmtId="0" fontId="18" fillId="0" borderId="0" xfId="1065" applyFont="1" applyAlignment="1">
      <alignment horizontal="center"/>
    </xf>
    <xf numFmtId="0" fontId="18" fillId="0" borderId="0" xfId="1065" applyFont="1" applyAlignment="1">
      <alignment horizontal="centerContinuous"/>
    </xf>
    <xf numFmtId="0" fontId="26" fillId="0" borderId="0" xfId="1064" applyFont="1" applyAlignment="1">
      <alignment horizontal="right"/>
    </xf>
    <xf numFmtId="0" fontId="132" fillId="0" borderId="0" xfId="0" applyFont="1" applyAlignment="1">
      <alignment vertical="top" wrapText="1"/>
    </xf>
    <xf numFmtId="0" fontId="180" fillId="0" borderId="0" xfId="1065" applyFont="1" applyAlignment="1">
      <alignment horizontal="centerContinuous"/>
    </xf>
    <xf numFmtId="0" fontId="29" fillId="11" borderId="21" xfId="20" applyFont="1" applyFill="1" applyBorder="1" applyAlignment="1">
      <alignment horizontal="center" wrapText="1"/>
    </xf>
    <xf numFmtId="0" fontId="29" fillId="11" borderId="31" xfId="20" applyFont="1" applyFill="1" applyBorder="1" applyAlignment="1">
      <alignment horizontal="center"/>
    </xf>
    <xf numFmtId="3" fontId="16" fillId="0" borderId="0" xfId="20" applyNumberFormat="1"/>
    <xf numFmtId="3" fontId="16" fillId="0" borderId="4" xfId="20" applyNumberFormat="1" applyBorder="1"/>
    <xf numFmtId="0" fontId="19" fillId="11" borderId="0" xfId="0" applyFont="1" applyFill="1"/>
    <xf numFmtId="0" fontId="16" fillId="11" borderId="0" xfId="0" applyFont="1" applyFill="1"/>
    <xf numFmtId="0" fontId="29" fillId="0" borderId="0" xfId="20" applyFont="1" applyAlignment="1">
      <alignment horizontal="right" wrapText="1"/>
    </xf>
    <xf numFmtId="0" fontId="18" fillId="0" borderId="0" xfId="20" applyFont="1" applyAlignment="1">
      <alignment horizontal="right"/>
    </xf>
    <xf numFmtId="37" fontId="18" fillId="0" borderId="0" xfId="20" applyNumberFormat="1" applyFont="1" applyAlignment="1">
      <alignment horizontal="center"/>
    </xf>
    <xf numFmtId="3" fontId="19" fillId="0" borderId="15" xfId="2" applyNumberFormat="1" applyFont="1" applyFill="1" applyBorder="1"/>
    <xf numFmtId="0" fontId="19" fillId="0" borderId="76" xfId="20" applyFont="1" applyBorder="1"/>
    <xf numFmtId="0" fontId="23" fillId="0" borderId="0" xfId="20" applyFont="1" applyAlignment="1">
      <alignment horizontal="left"/>
    </xf>
    <xf numFmtId="164" fontId="57" fillId="0" borderId="0" xfId="20" applyNumberFormat="1" applyFont="1" applyAlignment="1">
      <alignment horizontal="center"/>
    </xf>
    <xf numFmtId="0" fontId="16" fillId="0" borderId="0" xfId="20" applyAlignment="1">
      <alignment horizontal="left"/>
    </xf>
    <xf numFmtId="0" fontId="111" fillId="0" borderId="0" xfId="20" applyFont="1"/>
    <xf numFmtId="0" fontId="19" fillId="11" borderId="0" xfId="301" applyFont="1" applyFill="1" applyAlignment="1">
      <alignment horizontal="left"/>
    </xf>
    <xf numFmtId="3" fontId="19" fillId="0" borderId="9" xfId="2" applyNumberFormat="1" applyFont="1" applyFill="1" applyBorder="1"/>
    <xf numFmtId="170" fontId="19" fillId="0" borderId="0" xfId="9" applyNumberFormat="1" applyFont="1" applyAlignment="1">
      <alignment horizontal="center"/>
    </xf>
    <xf numFmtId="167" fontId="16" fillId="0" borderId="4" xfId="0" applyNumberFormat="1" applyFont="1" applyBorder="1"/>
    <xf numFmtId="3" fontId="32" fillId="0" borderId="0" xfId="9" applyNumberFormat="1" applyFont="1" applyAlignment="1" applyProtection="1">
      <alignment horizontal="right"/>
    </xf>
    <xf numFmtId="3" fontId="29" fillId="0" borderId="5" xfId="2" applyNumberFormat="1" applyFont="1" applyBorder="1" applyAlignment="1" applyProtection="1">
      <alignment horizontal="right"/>
    </xf>
    <xf numFmtId="3" fontId="29" fillId="0" borderId="5" xfId="2" applyNumberFormat="1" applyFont="1" applyFill="1" applyBorder="1" applyAlignment="1" applyProtection="1">
      <alignment horizontal="right"/>
    </xf>
    <xf numFmtId="3" fontId="19" fillId="8" borderId="56" xfId="20" applyNumberFormat="1" applyFont="1" applyFill="1" applyBorder="1"/>
    <xf numFmtId="3" fontId="19" fillId="8" borderId="26" xfId="2" applyNumberFormat="1" applyFont="1" applyFill="1" applyBorder="1"/>
    <xf numFmtId="3" fontId="19" fillId="8" borderId="57" xfId="20" applyNumberFormat="1" applyFont="1" applyFill="1" applyBorder="1"/>
    <xf numFmtId="3" fontId="19" fillId="8" borderId="13" xfId="2" applyNumberFormat="1" applyFont="1" applyFill="1" applyBorder="1"/>
    <xf numFmtId="3" fontId="19" fillId="11" borderId="57" xfId="20" applyNumberFormat="1" applyFont="1" applyFill="1" applyBorder="1"/>
    <xf numFmtId="3" fontId="18" fillId="0" borderId="33" xfId="20" applyNumberFormat="1" applyFont="1" applyBorder="1"/>
    <xf numFmtId="3" fontId="19" fillId="0" borderId="13" xfId="20" applyNumberFormat="1" applyFont="1" applyBorder="1"/>
    <xf numFmtId="3" fontId="19" fillId="0" borderId="33" xfId="20" applyNumberFormat="1" applyFont="1" applyBorder="1"/>
    <xf numFmtId="3" fontId="19" fillId="0" borderId="13" xfId="20" applyNumberFormat="1" applyFont="1" applyBorder="1" applyAlignment="1">
      <alignment horizontal="right"/>
    </xf>
    <xf numFmtId="3" fontId="18" fillId="0" borderId="30" xfId="20" applyNumberFormat="1" applyFont="1" applyBorder="1"/>
    <xf numFmtId="3" fontId="19" fillId="8" borderId="26" xfId="3" applyNumberFormat="1" applyFont="1" applyFill="1" applyBorder="1"/>
    <xf numFmtId="3" fontId="19" fillId="11" borderId="26" xfId="3" applyNumberFormat="1" applyFont="1" applyFill="1" applyBorder="1"/>
    <xf numFmtId="3" fontId="19" fillId="11" borderId="26" xfId="2" applyNumberFormat="1" applyFont="1" applyFill="1" applyBorder="1"/>
    <xf numFmtId="3" fontId="19" fillId="11" borderId="13" xfId="2" applyNumberFormat="1" applyFont="1" applyFill="1" applyBorder="1"/>
    <xf numFmtId="3" fontId="18" fillId="0" borderId="26" xfId="20" applyNumberFormat="1" applyFont="1" applyBorder="1"/>
    <xf numFmtId="3" fontId="19" fillId="0" borderId="27" xfId="20" applyNumberFormat="1" applyFont="1" applyBorder="1"/>
    <xf numFmtId="3" fontId="19" fillId="0" borderId="0" xfId="2" applyNumberFormat="1" applyFont="1"/>
    <xf numFmtId="3" fontId="19" fillId="11" borderId="0" xfId="2" applyNumberFormat="1" applyFont="1" applyFill="1"/>
    <xf numFmtId="3" fontId="19" fillId="0" borderId="0" xfId="301" applyNumberFormat="1" applyFont="1"/>
    <xf numFmtId="3" fontId="19" fillId="0" borderId="63" xfId="20" applyNumberFormat="1" applyFont="1" applyBorder="1"/>
    <xf numFmtId="3" fontId="19" fillId="0" borderId="61" xfId="20" applyNumberFormat="1" applyFont="1" applyBorder="1"/>
    <xf numFmtId="3" fontId="18" fillId="0" borderId="0" xfId="0" applyNumberFormat="1" applyFont="1"/>
    <xf numFmtId="3" fontId="106" fillId="0" borderId="0" xfId="34" applyNumberFormat="1" applyFont="1" applyAlignment="1">
      <alignment vertical="center" wrapText="1"/>
    </xf>
    <xf numFmtId="3" fontId="106" fillId="11" borderId="0" xfId="34" applyNumberFormat="1" applyFont="1" applyFill="1" applyAlignment="1">
      <alignment vertical="center" wrapText="1"/>
    </xf>
    <xf numFmtId="3" fontId="106" fillId="0" borderId="0" xfId="34" applyNumberFormat="1" applyFont="1" applyAlignment="1">
      <alignment horizontal="left" vertical="center" wrapText="1"/>
    </xf>
    <xf numFmtId="3" fontId="106" fillId="0" borderId="0" xfId="346" applyNumberFormat="1" applyFont="1" applyAlignment="1">
      <alignment horizontal="left" vertical="center"/>
    </xf>
    <xf numFmtId="3" fontId="109" fillId="0" borderId="0" xfId="34" applyNumberFormat="1" applyFont="1" applyAlignment="1">
      <alignment vertical="center" wrapText="1"/>
    </xf>
    <xf numFmtId="3" fontId="109" fillId="0" borderId="0" xfId="34" applyNumberFormat="1" applyFont="1" applyFill="1" applyAlignment="1">
      <alignment vertical="center" wrapText="1"/>
    </xf>
    <xf numFmtId="3" fontId="109" fillId="0" borderId="0" xfId="200" applyNumberFormat="1" applyFont="1" applyFill="1" applyAlignment="1">
      <alignment vertical="center" wrapText="1"/>
    </xf>
    <xf numFmtId="3" fontId="106" fillId="0" borderId="3" xfId="34" applyNumberFormat="1" applyFont="1" applyBorder="1" applyAlignment="1">
      <alignment vertical="center" wrapText="1"/>
    </xf>
    <xf numFmtId="3" fontId="106" fillId="0" borderId="3" xfId="346" applyNumberFormat="1" applyFont="1" applyBorder="1" applyAlignment="1">
      <alignment horizontal="right" vertical="center" wrapText="1"/>
    </xf>
    <xf numFmtId="3" fontId="106" fillId="0" borderId="3" xfId="34" applyNumberFormat="1" applyFont="1" applyFill="1" applyBorder="1" applyAlignment="1">
      <alignment vertical="center" wrapText="1"/>
    </xf>
    <xf numFmtId="3" fontId="109" fillId="0" borderId="3" xfId="346" applyNumberFormat="1" applyFont="1" applyBorder="1"/>
    <xf numFmtId="3" fontId="19" fillId="11" borderId="0" xfId="0" applyNumberFormat="1" applyFont="1" applyFill="1"/>
    <xf numFmtId="3" fontId="19" fillId="0" borderId="0" xfId="1" applyNumberFormat="1" applyFont="1" applyAlignment="1">
      <alignment horizontal="right" wrapText="1"/>
    </xf>
    <xf numFmtId="3" fontId="19" fillId="0" borderId="0" xfId="9" applyNumberFormat="1" applyFont="1" applyFill="1" applyBorder="1" applyAlignment="1">
      <alignment horizontal="center" wrapText="1"/>
    </xf>
    <xf numFmtId="3" fontId="19" fillId="8" borderId="0" xfId="1" applyNumberFormat="1" applyFont="1" applyFill="1" applyAlignment="1">
      <alignment horizontal="right"/>
    </xf>
    <xf numFmtId="3" fontId="19" fillId="0" borderId="0" xfId="1" applyNumberFormat="1" applyFont="1" applyAlignment="1">
      <alignment horizontal="center"/>
    </xf>
    <xf numFmtId="3" fontId="19" fillId="0" borderId="0" xfId="1" applyNumberFormat="1" applyFont="1" applyAlignment="1">
      <alignment horizontal="right"/>
    </xf>
    <xf numFmtId="3" fontId="19" fillId="8" borderId="4" xfId="1" applyNumberFormat="1" applyFont="1" applyFill="1" applyBorder="1" applyAlignment="1">
      <alignment horizontal="right" wrapText="1"/>
    </xf>
    <xf numFmtId="3" fontId="19" fillId="0" borderId="4" xfId="1" applyNumberFormat="1" applyFont="1" applyBorder="1" applyAlignment="1">
      <alignment horizontal="center"/>
    </xf>
    <xf numFmtId="3" fontId="19" fillId="0" borderId="4" xfId="1" applyNumberFormat="1" applyFont="1" applyBorder="1" applyAlignment="1">
      <alignment horizontal="right"/>
    </xf>
    <xf numFmtId="3" fontId="50" fillId="0" borderId="0" xfId="1" applyNumberFormat="1" applyFont="1" applyAlignment="1">
      <alignment horizontal="center"/>
    </xf>
    <xf numFmtId="3" fontId="25" fillId="0" borderId="0" xfId="1" applyNumberFormat="1" applyFont="1" applyAlignment="1">
      <alignment horizontal="center"/>
    </xf>
    <xf numFmtId="3" fontId="25" fillId="0" borderId="0" xfId="1" applyNumberFormat="1" applyFont="1" applyAlignment="1">
      <alignment horizontal="right"/>
    </xf>
    <xf numFmtId="3" fontId="19" fillId="11" borderId="4" xfId="1" applyNumberFormat="1" applyFont="1" applyFill="1" applyBorder="1" applyAlignment="1">
      <alignment horizontal="right" wrapText="1"/>
    </xf>
    <xf numFmtId="3" fontId="19" fillId="0" borderId="4" xfId="9" applyNumberFormat="1" applyFont="1" applyFill="1" applyBorder="1" applyAlignment="1">
      <alignment horizontal="center" wrapText="1"/>
    </xf>
    <xf numFmtId="3" fontId="19" fillId="0" borderId="4" xfId="1" applyNumberFormat="1" applyFont="1" applyBorder="1"/>
    <xf numFmtId="3" fontId="19" fillId="8" borderId="0" xfId="1" applyNumberFormat="1" applyFont="1" applyFill="1" applyAlignment="1">
      <alignment horizontal="right" wrapText="1"/>
    </xf>
    <xf numFmtId="3" fontId="19" fillId="7" borderId="0" xfId="1" applyNumberFormat="1" applyFont="1" applyFill="1" applyAlignment="1">
      <alignment horizontal="right"/>
    </xf>
    <xf numFmtId="3" fontId="19" fillId="0" borderId="0" xfId="2" applyNumberFormat="1" applyFont="1" applyAlignment="1" applyProtection="1">
      <protection locked="0"/>
    </xf>
    <xf numFmtId="3" fontId="19" fillId="0" borderId="0" xfId="2" applyNumberFormat="1" applyFont="1" applyFill="1" applyBorder="1" applyAlignment="1"/>
    <xf numFmtId="3" fontId="19" fillId="0" borderId="0" xfId="2" applyNumberFormat="1" applyFont="1" applyFill="1" applyAlignment="1"/>
    <xf numFmtId="3" fontId="19" fillId="0" borderId="0" xfId="2" applyNumberFormat="1" applyFont="1" applyFill="1" applyAlignment="1">
      <alignment vertical="center" wrapText="1"/>
    </xf>
    <xf numFmtId="3" fontId="19" fillId="0" borderId="0" xfId="0" applyNumberFormat="1" applyFont="1" applyAlignment="1">
      <alignment horizontal="center"/>
    </xf>
    <xf numFmtId="3" fontId="19" fillId="0" borderId="0" xfId="6" applyNumberFormat="1" applyFont="1" applyFill="1" applyBorder="1" applyAlignment="1">
      <alignment horizontal="left"/>
    </xf>
    <xf numFmtId="3" fontId="19" fillId="0" borderId="0" xfId="0" applyNumberFormat="1" applyFont="1" applyAlignment="1">
      <alignment horizontal="left"/>
    </xf>
    <xf numFmtId="3" fontId="19" fillId="11" borderId="0" xfId="6" applyNumberFormat="1" applyFont="1" applyFill="1" applyBorder="1"/>
    <xf numFmtId="3" fontId="19" fillId="11" borderId="0" xfId="20" applyNumberFormat="1" applyFont="1" applyFill="1" applyAlignment="1">
      <alignment horizontal="center"/>
    </xf>
    <xf numFmtId="3" fontId="19" fillId="11" borderId="0" xfId="20" applyNumberFormat="1" applyFont="1" applyFill="1"/>
    <xf numFmtId="3" fontId="19" fillId="0" borderId="73" xfId="6" applyNumberFormat="1" applyFont="1" applyFill="1" applyBorder="1"/>
    <xf numFmtId="3" fontId="19" fillId="0" borderId="73" xfId="20" applyNumberFormat="1" applyFont="1" applyBorder="1"/>
    <xf numFmtId="3" fontId="19" fillId="11" borderId="73" xfId="6" applyNumberFormat="1" applyFont="1" applyFill="1" applyBorder="1"/>
    <xf numFmtId="3" fontId="46" fillId="8" borderId="0" xfId="2" applyNumberFormat="1" applyFont="1" applyFill="1" applyProtection="1">
      <protection locked="0"/>
    </xf>
    <xf numFmtId="165" fontId="46" fillId="0" borderId="0" xfId="2" applyNumberFormat="1" applyFont="1" applyFill="1"/>
    <xf numFmtId="3" fontId="16" fillId="0" borderId="0" xfId="0" applyNumberFormat="1" applyFont="1"/>
    <xf numFmtId="3" fontId="16" fillId="0" borderId="4" xfId="0" applyNumberFormat="1" applyFont="1" applyBorder="1"/>
    <xf numFmtId="3" fontId="16" fillId="0" borderId="0" xfId="9" applyNumberFormat="1" applyFont="1" applyFill="1"/>
    <xf numFmtId="3" fontId="16"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7" fillId="0" borderId="0" xfId="0" applyNumberFormat="1" applyFont="1"/>
    <xf numFmtId="3" fontId="19" fillId="0" borderId="0" xfId="3" applyNumberFormat="1" applyFont="1"/>
    <xf numFmtId="3" fontId="57" fillId="0" borderId="0" xfId="3" applyNumberFormat="1" applyFont="1"/>
    <xf numFmtId="3" fontId="57" fillId="0" borderId="0" xfId="3" applyNumberFormat="1" applyFont="1" applyFill="1"/>
    <xf numFmtId="3" fontId="111" fillId="0" borderId="0" xfId="0" applyNumberFormat="1" applyFont="1"/>
    <xf numFmtId="3" fontId="186" fillId="11" borderId="0" xfId="2" applyNumberFormat="1" applyFont="1" applyFill="1"/>
    <xf numFmtId="3" fontId="19" fillId="0" borderId="3" xfId="2" applyNumberFormat="1" applyFont="1" applyBorder="1"/>
    <xf numFmtId="0" fontId="24" fillId="0" borderId="0" xfId="20" applyFont="1" applyAlignment="1">
      <alignment horizontal="right" wrapText="1"/>
    </xf>
    <xf numFmtId="0" fontId="24" fillId="0" borderId="0" xfId="0" applyFont="1" applyAlignment="1">
      <alignment horizontal="right"/>
    </xf>
    <xf numFmtId="3" fontId="19" fillId="0" borderId="0" xfId="9" applyNumberFormat="1" applyFont="1" applyFill="1"/>
    <xf numFmtId="0" fontId="19" fillId="0" borderId="8" xfId="20" applyFont="1" applyBorder="1" applyAlignment="1">
      <alignment wrapText="1"/>
    </xf>
    <xf numFmtId="10" fontId="32" fillId="11" borderId="0" xfId="9" applyNumberFormat="1" applyFont="1" applyFill="1" applyAlignment="1" applyProtection="1">
      <alignment horizontal="right"/>
    </xf>
    <xf numFmtId="0" fontId="19" fillId="0" borderId="0" xfId="20" applyFont="1" applyAlignment="1">
      <alignment horizontal="right" wrapText="1"/>
    </xf>
    <xf numFmtId="176" fontId="29" fillId="0" borderId="0" xfId="20" applyNumberFormat="1" applyFont="1" applyAlignment="1">
      <alignment horizontal="right"/>
    </xf>
    <xf numFmtId="37" fontId="19" fillId="0" borderId="5" xfId="1" applyNumberFormat="1" applyFont="1" applyBorder="1" applyAlignment="1" applyProtection="1">
      <alignment horizontal="right" wrapText="1"/>
      <protection locked="0"/>
    </xf>
    <xf numFmtId="3" fontId="19" fillId="78" borderId="20" xfId="2" applyNumberFormat="1" applyFont="1" applyFill="1" applyBorder="1"/>
    <xf numFmtId="3" fontId="19" fillId="0" borderId="0" xfId="6" applyNumberFormat="1" applyFont="1" applyFill="1"/>
    <xf numFmtId="3" fontId="19" fillId="0" borderId="0" xfId="3" applyNumberFormat="1" applyFont="1" applyFill="1"/>
    <xf numFmtId="164" fontId="0" fillId="0" borderId="0" xfId="2" applyNumberFormat="1" applyFont="1"/>
    <xf numFmtId="0" fontId="29" fillId="0" borderId="7" xfId="20" applyFont="1" applyBorder="1" applyAlignment="1">
      <alignment horizontal="center"/>
    </xf>
    <xf numFmtId="0" fontId="29" fillId="0" borderId="8" xfId="20" applyFont="1" applyBorder="1" applyAlignment="1">
      <alignment horizontal="center"/>
    </xf>
    <xf numFmtId="0" fontId="29" fillId="0" borderId="8" xfId="20" applyFont="1" applyBorder="1" applyAlignment="1">
      <alignment horizontal="left"/>
    </xf>
    <xf numFmtId="0" fontId="32" fillId="0" borderId="8" xfId="20" applyFont="1" applyBorder="1" applyAlignment="1">
      <alignment horizontal="left"/>
    </xf>
    <xf numFmtId="4" fontId="29" fillId="0" borderId="24" xfId="6" applyNumberFormat="1" applyFont="1" applyBorder="1" applyAlignment="1" applyProtection="1">
      <alignment horizontal="right"/>
    </xf>
    <xf numFmtId="0" fontId="29" fillId="0" borderId="16" xfId="20" applyFont="1" applyBorder="1" applyAlignment="1">
      <alignment horizontal="center"/>
    </xf>
    <xf numFmtId="4" fontId="29" fillId="0" borderId="15" xfId="6" applyNumberFormat="1" applyFont="1" applyBorder="1" applyAlignment="1" applyProtection="1">
      <alignment horizontal="right"/>
    </xf>
    <xf numFmtId="0" fontId="29" fillId="0" borderId="6" xfId="20" applyFont="1" applyBorder="1" applyAlignment="1">
      <alignment horizontal="center"/>
    </xf>
    <xf numFmtId="0" fontId="29" fillId="0" borderId="2" xfId="20" applyFont="1" applyBorder="1" applyAlignment="1">
      <alignment horizontal="center"/>
    </xf>
    <xf numFmtId="0" fontId="29" fillId="0" borderId="2" xfId="20" applyFont="1" applyBorder="1" applyAlignment="1">
      <alignment horizontal="left"/>
    </xf>
    <xf numFmtId="4" fontId="29" fillId="0" borderId="9" xfId="6" applyNumberFormat="1" applyFont="1" applyBorder="1" applyAlignment="1" applyProtection="1">
      <alignment horizontal="right"/>
    </xf>
    <xf numFmtId="0" fontId="32" fillId="0" borderId="2" xfId="20" applyFont="1" applyBorder="1" applyAlignment="1">
      <alignment horizontal="left"/>
    </xf>
    <xf numFmtId="10" fontId="0" fillId="11" borderId="4" xfId="9" applyNumberFormat="1" applyFont="1" applyFill="1" applyBorder="1"/>
    <xf numFmtId="10" fontId="0" fillId="0" borderId="0" xfId="9" applyNumberFormat="1" applyFont="1"/>
    <xf numFmtId="164" fontId="19" fillId="11" borderId="29" xfId="2" applyNumberFormat="1" applyFont="1" applyFill="1" applyBorder="1" applyAlignment="1">
      <alignment wrapText="1"/>
    </xf>
    <xf numFmtId="0" fontId="19" fillId="11" borderId="25" xfId="3" applyNumberFormat="1" applyFont="1" applyFill="1" applyBorder="1" applyAlignment="1">
      <alignment wrapText="1"/>
    </xf>
    <xf numFmtId="0" fontId="19" fillId="11" borderId="0" xfId="0" applyFont="1" applyFill="1" applyAlignment="1">
      <alignment horizontal="center"/>
    </xf>
    <xf numFmtId="0" fontId="19" fillId="11" borderId="19" xfId="20" applyFont="1" applyFill="1" applyBorder="1" applyAlignment="1">
      <alignment wrapText="1"/>
    </xf>
    <xf numFmtId="0" fontId="16" fillId="11" borderId="0" xfId="0" applyFont="1" applyFill="1" applyAlignment="1">
      <alignment horizontal="center"/>
    </xf>
    <xf numFmtId="3" fontId="46" fillId="0" borderId="0" xfId="3" applyNumberFormat="1" applyFont="1" applyFill="1"/>
    <xf numFmtId="3" fontId="46" fillId="0" borderId="0" xfId="6" applyNumberFormat="1" applyFont="1" applyFill="1"/>
    <xf numFmtId="3" fontId="46" fillId="0" borderId="0" xfId="3" applyNumberFormat="1" applyFont="1" applyFill="1" applyBorder="1"/>
    <xf numFmtId="3" fontId="46" fillId="0" borderId="0" xfId="3" applyNumberFormat="1" applyFont="1"/>
    <xf numFmtId="0" fontId="18" fillId="10" borderId="1" xfId="20" applyFont="1" applyFill="1" applyBorder="1" applyAlignment="1">
      <alignment horizontal="center" wrapText="1"/>
    </xf>
    <xf numFmtId="0" fontId="19" fillId="69" borderId="12" xfId="20" applyFont="1" applyFill="1" applyBorder="1"/>
    <xf numFmtId="1" fontId="19" fillId="0" borderId="0" xfId="2" applyNumberFormat="1" applyFont="1" applyFill="1" applyBorder="1"/>
    <xf numFmtId="280" fontId="23" fillId="0" borderId="0" xfId="0" applyNumberFormat="1" applyFont="1" applyAlignment="1">
      <alignment horizontal="center"/>
    </xf>
    <xf numFmtId="170" fontId="19" fillId="0" borderId="0" xfId="9" applyNumberFormat="1" applyFont="1" applyFill="1" applyAlignment="1">
      <alignment horizontal="center" wrapText="1"/>
    </xf>
    <xf numFmtId="171" fontId="19" fillId="0" borderId="0" xfId="1" applyNumberFormat="1" applyFont="1" applyAlignment="1">
      <alignment horizontal="center" wrapText="1"/>
    </xf>
    <xf numFmtId="0" fontId="19" fillId="0" borderId="5" xfId="1" applyFont="1" applyBorder="1"/>
    <xf numFmtId="3" fontId="19" fillId="0" borderId="22" xfId="1" applyNumberFormat="1" applyFont="1" applyBorder="1" applyAlignment="1">
      <alignment horizontal="right" wrapText="1"/>
    </xf>
    <xf numFmtId="3" fontId="19" fillId="0" borderId="0" xfId="2" applyNumberFormat="1" applyFont="1" applyFill="1" applyAlignment="1">
      <alignment horizontal="right" wrapText="1"/>
    </xf>
    <xf numFmtId="37" fontId="25" fillId="0" borderId="0" xfId="1" applyNumberFormat="1" applyFont="1"/>
    <xf numFmtId="37" fontId="19" fillId="0" borderId="0" xfId="1" applyNumberFormat="1" applyFont="1"/>
    <xf numFmtId="3" fontId="19" fillId="0" borderId="0" xfId="2" applyNumberFormat="1" applyFont="1" applyFill="1" applyAlignment="1">
      <alignment horizontal="right"/>
    </xf>
    <xf numFmtId="164" fontId="19" fillId="0" borderId="0" xfId="2" applyNumberFormat="1" applyFont="1" applyFill="1" applyAlignment="1">
      <alignment horizontal="right"/>
    </xf>
    <xf numFmtId="3" fontId="187" fillId="0" borderId="15" xfId="20" applyNumberFormat="1" applyFont="1" applyBorder="1" applyAlignment="1">
      <alignment horizontal="center" wrapText="1"/>
    </xf>
    <xf numFmtId="3" fontId="187" fillId="0" borderId="0" xfId="2" applyNumberFormat="1" applyFont="1" applyFill="1" applyBorder="1"/>
    <xf numFmtId="3" fontId="188" fillId="0" borderId="20" xfId="2" applyNumberFormat="1" applyFont="1" applyFill="1" applyBorder="1"/>
    <xf numFmtId="10" fontId="0" fillId="0" borderId="0" xfId="0" applyNumberFormat="1"/>
    <xf numFmtId="10" fontId="16" fillId="0" borderId="0" xfId="0" applyNumberFormat="1" applyFont="1"/>
    <xf numFmtId="10" fontId="19" fillId="0" borderId="0" xfId="0" applyNumberFormat="1" applyFont="1"/>
    <xf numFmtId="10" fontId="19" fillId="0" borderId="0" xfId="523" applyNumberFormat="1" applyFont="1"/>
    <xf numFmtId="10" fontId="16" fillId="0" borderId="0" xfId="523" applyNumberFormat="1" applyFont="1" applyAlignment="1">
      <alignment horizontal="center"/>
    </xf>
    <xf numFmtId="10" fontId="16" fillId="0" borderId="0" xfId="291" applyNumberFormat="1" applyFont="1"/>
    <xf numFmtId="3" fontId="19" fillId="11" borderId="20" xfId="2" applyNumberFormat="1" applyFont="1" applyFill="1" applyBorder="1"/>
    <xf numFmtId="3" fontId="19" fillId="11" borderId="0" xfId="6" applyNumberFormat="1" applyFont="1" applyFill="1"/>
    <xf numFmtId="3" fontId="19" fillId="11" borderId="0" xfId="3" applyNumberFormat="1" applyFont="1" applyFill="1"/>
    <xf numFmtId="3" fontId="46" fillId="11" borderId="0" xfId="3" applyNumberFormat="1" applyFont="1" applyFill="1"/>
    <xf numFmtId="0" fontId="19" fillId="0" borderId="0" xfId="0" applyFont="1" applyAlignment="1">
      <alignment horizontal="center" wrapText="1"/>
    </xf>
    <xf numFmtId="3" fontId="19" fillId="0" borderId="64" xfId="2" applyNumberFormat="1" applyFont="1" applyFill="1" applyBorder="1"/>
    <xf numFmtId="3" fontId="19" fillId="0" borderId="63" xfId="2" applyNumberFormat="1" applyFont="1" applyFill="1" applyBorder="1"/>
    <xf numFmtId="3" fontId="19" fillId="0" borderId="65" xfId="2" applyNumberFormat="1" applyFont="1" applyFill="1" applyBorder="1"/>
    <xf numFmtId="3" fontId="19" fillId="0" borderId="26" xfId="2" applyNumberFormat="1" applyFont="1" applyFill="1" applyBorder="1"/>
    <xf numFmtId="3" fontId="19" fillId="0" borderId="13" xfId="2" applyNumberFormat="1" applyFont="1" applyFill="1" applyBorder="1"/>
    <xf numFmtId="3" fontId="46" fillId="0" borderId="0" xfId="1" applyNumberFormat="1" applyFont="1"/>
    <xf numFmtId="3" fontId="19" fillId="0" borderId="0" xfId="2" applyNumberFormat="1" applyFont="1" applyAlignment="1" applyProtection="1"/>
    <xf numFmtId="3" fontId="46" fillId="0" borderId="0" xfId="2" applyNumberFormat="1" applyFont="1"/>
    <xf numFmtId="3" fontId="46" fillId="0" borderId="0" xfId="301" applyNumberFormat="1" applyFont="1"/>
    <xf numFmtId="37" fontId="42" fillId="0" borderId="0" xfId="0" applyNumberFormat="1" applyFont="1"/>
    <xf numFmtId="3" fontId="19" fillId="0" borderId="0" xfId="9" applyNumberFormat="1" applyFont="1" applyFill="1" applyBorder="1"/>
    <xf numFmtId="0" fontId="35" fillId="0" borderId="22" xfId="20" applyFont="1" applyBorder="1" applyAlignment="1">
      <alignment horizontal="center"/>
    </xf>
    <xf numFmtId="0" fontId="32" fillId="0" borderId="0" xfId="20" applyFont="1" applyAlignment="1">
      <alignment horizontal="center" vertical="center"/>
    </xf>
    <xf numFmtId="0" fontId="32" fillId="0" borderId="0" xfId="20" applyFont="1" applyAlignment="1">
      <alignment vertical="center"/>
    </xf>
    <xf numFmtId="238" fontId="19" fillId="0" borderId="0" xfId="2" applyNumberFormat="1" applyFont="1" applyAlignment="1">
      <alignment horizontal="left"/>
    </xf>
    <xf numFmtId="3" fontId="32" fillId="0" borderId="4" xfId="20" applyNumberFormat="1" applyFont="1" applyBorder="1" applyAlignment="1">
      <alignment wrapText="1"/>
    </xf>
    <xf numFmtId="0" fontId="17" fillId="10" borderId="12" xfId="20" applyFont="1" applyFill="1" applyBorder="1" applyAlignment="1">
      <alignment horizontal="center"/>
    </xf>
    <xf numFmtId="0" fontId="17" fillId="10" borderId="14" xfId="20" applyFont="1" applyFill="1" applyBorder="1" applyAlignment="1">
      <alignment horizontal="center" wrapText="1"/>
    </xf>
    <xf numFmtId="0" fontId="17" fillId="0" borderId="0" xfId="20" applyFont="1" applyAlignment="1">
      <alignment horizontal="center" wrapText="1"/>
    </xf>
    <xf numFmtId="0" fontId="17" fillId="10" borderId="11" xfId="20" applyFont="1" applyFill="1" applyBorder="1" applyAlignment="1">
      <alignment horizontal="center"/>
    </xf>
    <xf numFmtId="0" fontId="0" fillId="69" borderId="7" xfId="0" applyFill="1" applyBorder="1"/>
    <xf numFmtId="0" fontId="17" fillId="69" borderId="6" xfId="20" applyFont="1" applyFill="1" applyBorder="1" applyAlignment="1">
      <alignment horizontal="center"/>
    </xf>
    <xf numFmtId="0" fontId="17" fillId="69" borderId="2" xfId="20" applyFont="1" applyFill="1" applyBorder="1" applyAlignment="1">
      <alignment horizontal="center"/>
    </xf>
    <xf numFmtId="0" fontId="17" fillId="69" borderId="9" xfId="20" applyFont="1" applyFill="1" applyBorder="1" applyAlignment="1">
      <alignment horizontal="center"/>
    </xf>
    <xf numFmtId="0" fontId="17" fillId="69" borderId="8" xfId="0" applyFont="1" applyFill="1" applyBorder="1" applyAlignment="1">
      <alignment horizontal="center"/>
    </xf>
    <xf numFmtId="0" fontId="17" fillId="69" borderId="24" xfId="0" applyFont="1" applyFill="1" applyBorder="1" applyAlignment="1">
      <alignment horizontal="center"/>
    </xf>
    <xf numFmtId="3" fontId="16" fillId="0" borderId="0" xfId="20" applyNumberFormat="1" applyAlignment="1">
      <alignment wrapText="1"/>
    </xf>
    <xf numFmtId="37" fontId="19" fillId="11" borderId="0" xfId="2" applyNumberFormat="1" applyFont="1" applyFill="1" applyBorder="1" applyAlignment="1">
      <alignment horizontal="right"/>
    </xf>
    <xf numFmtId="1" fontId="187" fillId="0" borderId="0" xfId="2" applyNumberFormat="1" applyFont="1" applyFill="1" applyBorder="1"/>
    <xf numFmtId="1" fontId="106" fillId="0" borderId="0" xfId="2" applyNumberFormat="1" applyFont="1" applyFill="1" applyBorder="1"/>
    <xf numFmtId="1" fontId="19" fillId="0" borderId="0" xfId="20" applyNumberFormat="1" applyFont="1"/>
    <xf numFmtId="0" fontId="111" fillId="0" borderId="0" xfId="0" applyFont="1" applyAlignment="1">
      <alignment horizontal="center" wrapText="1"/>
    </xf>
    <xf numFmtId="1" fontId="0" fillId="0" borderId="0" xfId="0" applyNumberFormat="1"/>
    <xf numFmtId="3" fontId="106" fillId="0" borderId="0" xfId="2" applyNumberFormat="1" applyFont="1" applyFill="1" applyBorder="1"/>
    <xf numFmtId="3" fontId="19" fillId="0" borderId="2" xfId="2" applyNumberFormat="1" applyFont="1" applyBorder="1"/>
    <xf numFmtId="3" fontId="19" fillId="0" borderId="0" xfId="6" applyNumberFormat="1" applyFont="1" applyBorder="1"/>
    <xf numFmtId="0" fontId="16" fillId="0" borderId="4" xfId="0" applyFont="1" applyBorder="1" applyAlignment="1">
      <alignment horizontal="center" wrapText="1"/>
    </xf>
    <xf numFmtId="37" fontId="19" fillId="0" borderId="0" xfId="2" applyNumberFormat="1" applyFont="1" applyFill="1"/>
    <xf numFmtId="0" fontId="106" fillId="11" borderId="0" xfId="0" applyFont="1" applyFill="1"/>
    <xf numFmtId="3" fontId="19" fillId="0" borderId="0" xfId="6" applyNumberFormat="1" applyFont="1" applyFill="1" applyAlignment="1">
      <alignment horizontal="center"/>
    </xf>
    <xf numFmtId="3" fontId="19" fillId="0" borderId="0" xfId="3" applyNumberFormat="1" applyFont="1" applyFill="1" applyAlignment="1">
      <alignment horizontal="center"/>
    </xf>
    <xf numFmtId="3" fontId="46" fillId="0" borderId="0" xfId="0" applyNumberFormat="1" applyFont="1"/>
    <xf numFmtId="0" fontId="19" fillId="11" borderId="0" xfId="0" applyFont="1" applyFill="1" applyAlignment="1">
      <alignment wrapText="1"/>
    </xf>
    <xf numFmtId="167" fontId="19" fillId="11" borderId="0" xfId="9" applyNumberFormat="1" applyFont="1" applyFill="1"/>
    <xf numFmtId="167" fontId="19" fillId="0" borderId="0" xfId="9" applyNumberFormat="1" applyFont="1" applyFill="1"/>
    <xf numFmtId="3" fontId="46" fillId="11" borderId="0" xfId="0" applyNumberFormat="1" applyFont="1" applyFill="1"/>
    <xf numFmtId="3" fontId="46" fillId="11" borderId="0" xfId="6" applyNumberFormat="1" applyFont="1" applyFill="1"/>
    <xf numFmtId="0" fontId="109" fillId="11" borderId="0" xfId="0" applyFont="1" applyFill="1" applyAlignment="1">
      <alignment wrapText="1"/>
    </xf>
    <xf numFmtId="3" fontId="19" fillId="0" borderId="0" xfId="3" applyNumberFormat="1" applyFont="1" applyFill="1" applyBorder="1" applyAlignment="1">
      <alignment horizontal="center"/>
    </xf>
    <xf numFmtId="3" fontId="19" fillId="0" borderId="0" xfId="3" applyNumberFormat="1" applyFont="1" applyBorder="1"/>
    <xf numFmtId="3" fontId="19" fillId="0" borderId="0" xfId="3" applyNumberFormat="1" applyFont="1" applyFill="1" applyBorder="1"/>
    <xf numFmtId="3" fontId="46" fillId="0" borderId="0" xfId="6" applyNumberFormat="1" applyFont="1" applyBorder="1"/>
    <xf numFmtId="41" fontId="19" fillId="0" borderId="0" xfId="3" applyFont="1" applyBorder="1"/>
    <xf numFmtId="170" fontId="0" fillId="0" borderId="0" xfId="9" applyNumberFormat="1" applyFont="1"/>
    <xf numFmtId="3" fontId="106" fillId="78" borderId="0" xfId="2" applyNumberFormat="1" applyFont="1" applyFill="1" applyBorder="1"/>
    <xf numFmtId="3" fontId="187" fillId="11" borderId="0" xfId="2" applyNumberFormat="1" applyFont="1" applyFill="1" applyBorder="1"/>
    <xf numFmtId="164" fontId="19" fillId="11" borderId="0" xfId="2" applyNumberFormat="1" applyFont="1" applyFill="1" applyBorder="1"/>
    <xf numFmtId="164" fontId="187" fillId="11" borderId="0" xfId="2" applyNumberFormat="1" applyFont="1" applyFill="1" applyBorder="1"/>
    <xf numFmtId="164" fontId="19" fillId="11" borderId="0" xfId="2" applyNumberFormat="1" applyFont="1" applyFill="1" applyBorder="1" applyAlignment="1">
      <alignment horizontal="center"/>
    </xf>
    <xf numFmtId="164" fontId="19" fillId="11" borderId="0" xfId="2" applyNumberFormat="1" applyFont="1" applyFill="1" applyBorder="1" applyAlignment="1">
      <alignment horizontal="right"/>
    </xf>
    <xf numFmtId="3" fontId="187" fillId="8" borderId="0" xfId="2" applyNumberFormat="1" applyFont="1" applyFill="1" applyBorder="1"/>
    <xf numFmtId="37" fontId="187" fillId="8" borderId="0" xfId="2" applyNumberFormat="1" applyFont="1" applyFill="1" applyBorder="1"/>
    <xf numFmtId="37" fontId="187" fillId="8" borderId="0" xfId="2" applyNumberFormat="1" applyFont="1" applyFill="1"/>
    <xf numFmtId="164" fontId="187" fillId="11" borderId="0" xfId="2" applyNumberFormat="1" applyFont="1" applyFill="1" applyBorder="1" applyAlignment="1">
      <alignment horizontal="center"/>
    </xf>
    <xf numFmtId="3" fontId="190" fillId="0" borderId="0" xfId="0" applyNumberFormat="1" applyFont="1"/>
    <xf numFmtId="0" fontId="190" fillId="0" borderId="0" xfId="0" applyFont="1"/>
    <xf numFmtId="0" fontId="18" fillId="0" borderId="15" xfId="20" applyFont="1" applyBorder="1" applyAlignment="1">
      <alignment horizontal="center" wrapText="1"/>
    </xf>
    <xf numFmtId="0" fontId="192" fillId="0" borderId="0" xfId="20" applyFont="1" applyAlignment="1">
      <alignment horizontal="center"/>
    </xf>
    <xf numFmtId="0" fontId="192" fillId="0" borderId="5" xfId="20" applyFont="1" applyBorder="1" applyAlignment="1">
      <alignment horizontal="center"/>
    </xf>
    <xf numFmtId="0" fontId="192" fillId="0" borderId="3" xfId="20" applyFont="1" applyBorder="1" applyAlignment="1">
      <alignment horizontal="center"/>
    </xf>
    <xf numFmtId="0" fontId="192" fillId="0" borderId="4" xfId="20" applyFont="1" applyBorder="1" applyAlignment="1">
      <alignment horizontal="center"/>
    </xf>
    <xf numFmtId="43" fontId="192" fillId="0" borderId="5" xfId="2" applyFont="1" applyBorder="1" applyAlignment="1" applyProtection="1">
      <alignment horizontal="center"/>
    </xf>
    <xf numFmtId="0" fontId="192" fillId="0" borderId="10" xfId="20" applyFont="1" applyBorder="1" applyAlignment="1">
      <alignment horizontal="center"/>
    </xf>
    <xf numFmtId="3" fontId="192" fillId="0" borderId="0" xfId="20" quotePrefix="1" applyNumberFormat="1" applyFont="1" applyAlignment="1">
      <alignment horizontal="center"/>
    </xf>
    <xf numFmtId="168" fontId="192" fillId="0" borderId="10" xfId="20" applyNumberFormat="1" applyFont="1" applyBorder="1" applyAlignment="1">
      <alignment horizontal="center"/>
    </xf>
    <xf numFmtId="168" fontId="192" fillId="0" borderId="5" xfId="20" applyNumberFormat="1" applyFont="1" applyBorder="1" applyAlignment="1">
      <alignment horizontal="center"/>
    </xf>
    <xf numFmtId="0" fontId="192" fillId="0" borderId="12" xfId="20" applyFont="1" applyBorder="1" applyAlignment="1">
      <alignment horizontal="center"/>
    </xf>
    <xf numFmtId="0" fontId="192" fillId="0" borderId="8" xfId="20" applyFont="1" applyBorder="1" applyAlignment="1">
      <alignment horizontal="center"/>
    </xf>
    <xf numFmtId="0" fontId="192" fillId="0" borderId="2" xfId="20" applyFont="1" applyBorder="1" applyAlignment="1">
      <alignment horizontal="center"/>
    </xf>
    <xf numFmtId="0" fontId="192" fillId="5" borderId="0" xfId="20" applyFont="1" applyFill="1" applyAlignment="1">
      <alignment horizontal="center"/>
    </xf>
    <xf numFmtId="3" fontId="192" fillId="0" borderId="0" xfId="20" applyNumberFormat="1" applyFont="1" applyAlignment="1">
      <alignment horizontal="center"/>
    </xf>
    <xf numFmtId="167" fontId="192" fillId="0" borderId="0" xfId="20" applyNumberFormat="1" applyFont="1" applyAlignment="1">
      <alignment horizontal="center"/>
    </xf>
    <xf numFmtId="3" fontId="192" fillId="0" borderId="4" xfId="20" applyNumberFormat="1" applyFont="1" applyBorder="1" applyAlignment="1">
      <alignment horizontal="center"/>
    </xf>
    <xf numFmtId="3" fontId="192" fillId="0" borderId="3" xfId="20" applyNumberFormat="1" applyFont="1" applyBorder="1" applyAlignment="1">
      <alignment horizontal="center"/>
    </xf>
    <xf numFmtId="168" fontId="192" fillId="0" borderId="0" xfId="20" applyNumberFormat="1" applyFont="1" applyAlignment="1">
      <alignment horizontal="center"/>
    </xf>
    <xf numFmtId="168" fontId="192" fillId="0" borderId="4" xfId="20" applyNumberFormat="1" applyFont="1" applyBorder="1" applyAlignment="1">
      <alignment horizontal="center"/>
    </xf>
    <xf numFmtId="0" fontId="192" fillId="0" borderId="22" xfId="20" applyFont="1" applyBorder="1" applyAlignment="1">
      <alignment horizontal="center"/>
    </xf>
    <xf numFmtId="37" fontId="192" fillId="0" borderId="0" xfId="20" applyNumberFormat="1" applyFont="1" applyAlignment="1">
      <alignment horizontal="center"/>
    </xf>
    <xf numFmtId="0" fontId="192" fillId="0" borderId="0" xfId="1" applyFont="1" applyAlignment="1">
      <alignment horizontal="center"/>
    </xf>
    <xf numFmtId="164" fontId="187" fillId="11" borderId="0" xfId="2" applyNumberFormat="1" applyFont="1" applyFill="1" applyBorder="1" applyAlignment="1">
      <alignment horizontal="right"/>
    </xf>
    <xf numFmtId="164" fontId="26" fillId="11" borderId="0" xfId="2" applyNumberFormat="1" applyFont="1" applyFill="1" applyBorder="1" applyAlignment="1">
      <alignment horizontal="center"/>
    </xf>
    <xf numFmtId="37" fontId="26" fillId="11" borderId="0" xfId="2" applyNumberFormat="1" applyFont="1" applyFill="1" applyBorder="1" applyAlignment="1">
      <alignment horizontal="right"/>
    </xf>
    <xf numFmtId="3" fontId="26" fillId="11" borderId="0" xfId="2" applyNumberFormat="1" applyFont="1" applyFill="1" applyBorder="1"/>
    <xf numFmtId="3" fontId="19" fillId="8" borderId="13" xfId="3" applyNumberFormat="1" applyFont="1" applyFill="1" applyBorder="1"/>
    <xf numFmtId="3" fontId="19" fillId="11" borderId="13" xfId="301" applyNumberFormat="1" applyFont="1" applyFill="1" applyBorder="1"/>
    <xf numFmtId="0" fontId="193" fillId="0" borderId="0" xfId="0" applyFont="1"/>
    <xf numFmtId="0" fontId="19" fillId="0" borderId="0" xfId="1" applyFont="1" applyAlignment="1">
      <alignment vertical="center" wrapText="1"/>
    </xf>
    <xf numFmtId="0" fontId="18" fillId="0" borderId="2" xfId="20" applyFont="1" applyBorder="1" applyAlignment="1">
      <alignment horizontal="center" wrapText="1"/>
    </xf>
    <xf numFmtId="0" fontId="18" fillId="0" borderId="9" xfId="20" applyFont="1" applyBorder="1" applyAlignment="1">
      <alignment horizontal="center" wrapText="1"/>
    </xf>
    <xf numFmtId="0" fontId="18" fillId="10" borderId="12" xfId="20" applyFont="1" applyFill="1" applyBorder="1" applyAlignment="1">
      <alignment horizontal="center" wrapText="1"/>
    </xf>
    <xf numFmtId="0" fontId="18" fillId="10" borderId="14" xfId="20" applyFont="1" applyFill="1" applyBorder="1" applyAlignment="1">
      <alignment horizontal="center" wrapText="1"/>
    </xf>
    <xf numFmtId="0" fontId="18" fillId="10" borderId="8" xfId="20" applyFont="1" applyFill="1" applyBorder="1" applyAlignment="1">
      <alignment horizontal="center" wrapText="1"/>
    </xf>
    <xf numFmtId="0" fontId="18" fillId="0" borderId="0" xfId="20" applyFont="1" applyAlignment="1">
      <alignment horizontal="center" wrapText="1"/>
    </xf>
    <xf numFmtId="0" fontId="16" fillId="0" borderId="0" xfId="0" applyFont="1" applyAlignment="1">
      <alignment horizontal="center"/>
    </xf>
    <xf numFmtId="0" fontId="26" fillId="0" borderId="0" xfId="0" applyFont="1" applyAlignment="1">
      <alignment horizontal="left"/>
    </xf>
    <xf numFmtId="3" fontId="187" fillId="8" borderId="2" xfId="2" applyNumberFormat="1" applyFont="1" applyFill="1" applyBorder="1"/>
    <xf numFmtId="0" fontId="23" fillId="0" borderId="0" xfId="0" applyFont="1" applyAlignment="1">
      <alignment horizontal="center"/>
    </xf>
    <xf numFmtId="279" fontId="19" fillId="0" borderId="0" xfId="6" applyNumberFormat="1" applyFont="1"/>
    <xf numFmtId="0" fontId="19" fillId="0" borderId="78" xfId="20" applyFont="1" applyBorder="1"/>
    <xf numFmtId="3" fontId="192" fillId="0" borderId="0" xfId="20" applyNumberFormat="1" applyFont="1" applyAlignment="1">
      <alignment horizontal="center" wrapText="1"/>
    </xf>
    <xf numFmtId="3" fontId="19" fillId="11" borderId="0" xfId="6" applyNumberFormat="1" applyFont="1" applyFill="1" applyBorder="1" applyAlignment="1">
      <alignment horizontal="center"/>
    </xf>
    <xf numFmtId="3" fontId="19" fillId="0" borderId="73" xfId="6" applyNumberFormat="1" applyFont="1" applyFill="1" applyBorder="1" applyAlignment="1">
      <alignment horizontal="center"/>
    </xf>
    <xf numFmtId="164" fontId="16" fillId="0" borderId="0" xfId="2" applyNumberFormat="1" applyFont="1" applyFill="1"/>
    <xf numFmtId="0" fontId="192" fillId="0" borderId="0" xfId="20" applyFont="1" applyAlignment="1">
      <alignment horizontal="center" wrapText="1"/>
    </xf>
    <xf numFmtId="3" fontId="187" fillId="11" borderId="56" xfId="20" applyNumberFormat="1" applyFont="1" applyFill="1" applyBorder="1"/>
    <xf numFmtId="3" fontId="187" fillId="11" borderId="26" xfId="2" applyNumberFormat="1" applyFont="1" applyFill="1" applyBorder="1"/>
    <xf numFmtId="3" fontId="187" fillId="11" borderId="57" xfId="20" applyNumberFormat="1" applyFont="1" applyFill="1" applyBorder="1"/>
    <xf numFmtId="3" fontId="187" fillId="11" borderId="13" xfId="2" applyNumberFormat="1" applyFont="1" applyFill="1" applyBorder="1"/>
    <xf numFmtId="3" fontId="18" fillId="11" borderId="33" xfId="20" applyNumberFormat="1" applyFont="1" applyFill="1" applyBorder="1"/>
    <xf numFmtId="3" fontId="19" fillId="0" borderId="22" xfId="2" applyNumberFormat="1" applyFont="1" applyFill="1" applyBorder="1"/>
    <xf numFmtId="3" fontId="19" fillId="0" borderId="79" xfId="2" applyNumberFormat="1" applyFont="1" applyFill="1" applyBorder="1"/>
    <xf numFmtId="164" fontId="19" fillId="11" borderId="29" xfId="3" applyNumberFormat="1" applyFont="1" applyFill="1" applyBorder="1" applyAlignment="1">
      <alignment wrapText="1"/>
    </xf>
    <xf numFmtId="3" fontId="187" fillId="11" borderId="26" xfId="3" applyNumberFormat="1" applyFont="1" applyFill="1" applyBorder="1"/>
    <xf numFmtId="0" fontId="19" fillId="11" borderId="0" xfId="2" applyNumberFormat="1" applyFont="1" applyFill="1" applyAlignment="1">
      <alignment horizontal="center"/>
    </xf>
    <xf numFmtId="3" fontId="46" fillId="11" borderId="0" xfId="2" applyNumberFormat="1" applyFont="1" applyFill="1"/>
    <xf numFmtId="164" fontId="57" fillId="0" borderId="0" xfId="2" applyNumberFormat="1" applyFont="1"/>
    <xf numFmtId="0" fontId="192" fillId="0" borderId="3" xfId="20" applyFont="1" applyBorder="1" applyAlignment="1">
      <alignment horizontal="center" wrapText="1"/>
    </xf>
    <xf numFmtId="0" fontId="59" fillId="0" borderId="0" xfId="20" applyFont="1" applyProtection="1">
      <protection locked="0"/>
    </xf>
    <xf numFmtId="166" fontId="19" fillId="11" borderId="0" xfId="6" applyNumberFormat="1" applyFont="1" applyFill="1"/>
    <xf numFmtId="164" fontId="19" fillId="11" borderId="4" xfId="2" applyNumberFormat="1" applyFont="1" applyFill="1" applyBorder="1"/>
    <xf numFmtId="0" fontId="19" fillId="11" borderId="0" xfId="0" applyFont="1" applyFill="1" applyAlignment="1">
      <alignment horizontal="center" wrapText="1"/>
    </xf>
    <xf numFmtId="0" fontId="19" fillId="11" borderId="0" xfId="0" applyFont="1" applyFill="1" applyAlignment="1">
      <alignment vertical="center" wrapText="1"/>
    </xf>
    <xf numFmtId="164" fontId="19" fillId="11" borderId="0" xfId="2" applyNumberFormat="1" applyFont="1" applyFill="1" applyAlignment="1">
      <alignment horizontal="center"/>
    </xf>
    <xf numFmtId="164" fontId="19" fillId="11" borderId="0" xfId="2" applyNumberFormat="1" applyFont="1" applyFill="1"/>
    <xf numFmtId="3" fontId="19" fillId="11" borderId="13" xfId="3" applyNumberFormat="1" applyFont="1" applyFill="1" applyBorder="1"/>
    <xf numFmtId="3" fontId="32" fillId="79" borderId="0" xfId="20" applyNumberFormat="1" applyFont="1" applyFill="1"/>
    <xf numFmtId="0" fontId="19" fillId="79" borderId="0" xfId="0" applyFont="1" applyFill="1" applyAlignment="1">
      <alignment wrapText="1"/>
    </xf>
    <xf numFmtId="3" fontId="29" fillId="79" borderId="0" xfId="20" applyNumberFormat="1" applyFont="1" applyFill="1" applyAlignment="1">
      <alignment horizontal="right"/>
    </xf>
    <xf numFmtId="0" fontId="32" fillId="79" borderId="0" xfId="20" applyFont="1" applyFill="1" applyAlignment="1">
      <alignment wrapText="1"/>
    </xf>
    <xf numFmtId="3" fontId="32" fillId="11" borderId="0" xfId="20" applyNumberFormat="1" applyFont="1" applyFill="1" applyAlignment="1">
      <alignment horizontal="right"/>
    </xf>
    <xf numFmtId="0" fontId="32" fillId="79" borderId="0" xfId="1" applyFont="1" applyFill="1"/>
    <xf numFmtId="0" fontId="16" fillId="79" borderId="0" xfId="0" applyFont="1" applyFill="1"/>
    <xf numFmtId="3" fontId="19" fillId="11" borderId="0" xfId="1" applyNumberFormat="1" applyFont="1" applyFill="1" applyAlignment="1">
      <alignment horizontal="right" wrapText="1"/>
    </xf>
    <xf numFmtId="37" fontId="19" fillId="11" borderId="4" xfId="20" applyNumberFormat="1" applyFont="1" applyFill="1" applyBorder="1" applyAlignment="1">
      <alignment horizontal="right" wrapText="1"/>
    </xf>
    <xf numFmtId="3" fontId="19" fillId="11" borderId="0" xfId="20" applyNumberFormat="1" applyFont="1" applyFill="1" applyProtection="1">
      <protection locked="0"/>
    </xf>
    <xf numFmtId="3" fontId="46" fillId="11" borderId="0" xfId="20" applyNumberFormat="1" applyFont="1" applyFill="1"/>
    <xf numFmtId="3" fontId="19" fillId="11" borderId="4" xfId="20" applyNumberFormat="1" applyFont="1" applyFill="1" applyBorder="1"/>
    <xf numFmtId="164" fontId="19" fillId="11" borderId="0" xfId="10334" applyNumberFormat="1" applyFont="1" applyFill="1"/>
    <xf numFmtId="3" fontId="19" fillId="11" borderId="2" xfId="2" applyNumberFormat="1" applyFont="1" applyFill="1" applyBorder="1"/>
    <xf numFmtId="3" fontId="187" fillId="0" borderId="0" xfId="20" applyNumberFormat="1" applyFont="1"/>
    <xf numFmtId="164" fontId="106" fillId="11" borderId="0" xfId="10334" applyNumberFormat="1" applyFont="1" applyFill="1"/>
    <xf numFmtId="3" fontId="106" fillId="11" borderId="0" xfId="10334" applyNumberFormat="1" applyFont="1" applyFill="1"/>
    <xf numFmtId="164" fontId="106" fillId="11" borderId="0" xfId="10334" applyNumberFormat="1" applyFont="1" applyFill="1" applyBorder="1"/>
    <xf numFmtId="1" fontId="106" fillId="11" borderId="0" xfId="2" applyNumberFormat="1" applyFont="1" applyFill="1" applyBorder="1"/>
    <xf numFmtId="164" fontId="106" fillId="11" borderId="2" xfId="10334" applyNumberFormat="1" applyFont="1" applyFill="1" applyBorder="1"/>
    <xf numFmtId="10" fontId="19" fillId="11" borderId="0" xfId="9" applyNumberFormat="1" applyFont="1" applyFill="1" applyBorder="1"/>
    <xf numFmtId="10" fontId="19" fillId="11" borderId="2" xfId="9" applyNumberFormat="1" applyFont="1" applyFill="1" applyBorder="1"/>
    <xf numFmtId="0" fontId="19" fillId="79" borderId="2" xfId="20" applyFont="1" applyFill="1" applyBorder="1" applyAlignment="1">
      <alignment horizontal="right"/>
    </xf>
    <xf numFmtId="176" fontId="19" fillId="11" borderId="0" xfId="2" applyNumberFormat="1" applyFont="1" applyFill="1" applyBorder="1"/>
    <xf numFmtId="3" fontId="19" fillId="11" borderId="0" xfId="6" applyNumberFormat="1" applyFont="1" applyFill="1" applyBorder="1" applyAlignment="1">
      <alignment horizontal="left"/>
    </xf>
    <xf numFmtId="3" fontId="19" fillId="11" borderId="0" xfId="0" applyNumberFormat="1" applyFont="1" applyFill="1" applyAlignment="1">
      <alignment horizontal="left"/>
    </xf>
    <xf numFmtId="3" fontId="19" fillId="0" borderId="31" xfId="20" applyNumberFormat="1" applyFont="1" applyBorder="1"/>
    <xf numFmtId="10" fontId="19" fillId="0" borderId="0" xfId="9" applyNumberFormat="1" applyFont="1" applyFill="1" applyAlignment="1">
      <alignment horizontal="center"/>
    </xf>
    <xf numFmtId="3" fontId="46" fillId="80" borderId="0" xfId="0" applyNumberFormat="1" applyFont="1" applyFill="1"/>
    <xf numFmtId="3" fontId="187" fillId="11" borderId="0" xfId="0" applyNumberFormat="1" applyFont="1" applyFill="1"/>
    <xf numFmtId="3" fontId="190" fillId="11" borderId="0" xfId="0" applyNumberFormat="1" applyFont="1" applyFill="1"/>
    <xf numFmtId="3" fontId="191" fillId="11" borderId="0" xfId="0" applyNumberFormat="1" applyFont="1" applyFill="1"/>
    <xf numFmtId="164" fontId="16" fillId="11" borderId="0" xfId="2" applyNumberFormat="1" applyFont="1" applyFill="1"/>
    <xf numFmtId="0" fontId="32" fillId="0" borderId="0" xfId="20" applyFont="1" applyAlignment="1">
      <alignment horizontal="center"/>
    </xf>
    <xf numFmtId="0" fontId="32" fillId="6" borderId="8" xfId="20" applyFont="1" applyFill="1" applyBorder="1" applyAlignment="1">
      <alignment horizontal="center"/>
    </xf>
    <xf numFmtId="0" fontId="32" fillId="6" borderId="24" xfId="20" applyFont="1" applyFill="1" applyBorder="1" applyAlignment="1">
      <alignment horizontal="center"/>
    </xf>
    <xf numFmtId="0" fontId="32" fillId="0" borderId="0" xfId="20" applyFont="1" applyAlignment="1">
      <alignment horizontal="left" wrapText="1"/>
    </xf>
    <xf numFmtId="0" fontId="32" fillId="0" borderId="0" xfId="0" applyFont="1" applyAlignment="1">
      <alignment horizontal="left" wrapText="1"/>
    </xf>
    <xf numFmtId="0" fontId="18" fillId="0" borderId="0" xfId="0" applyFont="1" applyAlignment="1">
      <alignment horizontal="center"/>
    </xf>
    <xf numFmtId="0" fontId="19" fillId="0" borderId="0" xfId="0" applyFont="1" applyAlignment="1">
      <alignment wrapText="1"/>
    </xf>
    <xf numFmtId="0" fontId="23" fillId="0" borderId="0" xfId="0" applyFont="1" applyAlignment="1">
      <alignment horizontal="center"/>
    </xf>
    <xf numFmtId="0" fontId="24" fillId="0" borderId="0" xfId="0" applyFont="1"/>
    <xf numFmtId="0" fontId="23" fillId="0" borderId="0" xfId="20" applyFont="1" applyAlignment="1">
      <alignment horizontal="center"/>
    </xf>
    <xf numFmtId="0" fontId="24" fillId="0" borderId="0" xfId="20" applyFont="1"/>
    <xf numFmtId="0" fontId="18" fillId="0" borderId="0" xfId="0" applyFont="1" applyAlignment="1">
      <alignment horizontal="right"/>
    </xf>
    <xf numFmtId="0" fontId="107" fillId="0" borderId="61" xfId="346" applyFont="1" applyBorder="1" applyAlignment="1">
      <alignment horizontal="center" vertical="center"/>
    </xf>
    <xf numFmtId="0" fontId="107" fillId="0" borderId="3" xfId="346" applyFont="1" applyBorder="1" applyAlignment="1">
      <alignment horizontal="center" vertical="center"/>
    </xf>
    <xf numFmtId="0" fontId="107" fillId="0" borderId="62" xfId="346" applyFont="1" applyBorder="1" applyAlignment="1">
      <alignment horizontal="center" vertical="center"/>
    </xf>
    <xf numFmtId="0" fontId="107" fillId="0" borderId="63" xfId="346" applyFont="1" applyBorder="1" applyAlignment="1">
      <alignment horizontal="center" vertical="center" wrapText="1"/>
    </xf>
    <xf numFmtId="0" fontId="107" fillId="0" borderId="22" xfId="346" applyFont="1" applyBorder="1" applyAlignment="1">
      <alignment horizontal="center" vertical="center" wrapText="1"/>
    </xf>
    <xf numFmtId="0" fontId="107" fillId="0" borderId="57" xfId="346" applyFont="1" applyBorder="1" applyAlignment="1">
      <alignment horizontal="center" vertical="center" wrapText="1"/>
    </xf>
    <xf numFmtId="0" fontId="108" fillId="0" borderId="63" xfId="346" applyFont="1" applyBorder="1" applyAlignment="1">
      <alignment horizontal="center" vertical="center"/>
    </xf>
    <xf numFmtId="0" fontId="108" fillId="0" borderId="22" xfId="346" applyFont="1" applyBorder="1" applyAlignment="1">
      <alignment horizontal="center" vertical="center"/>
    </xf>
    <xf numFmtId="0" fontId="23" fillId="0" borderId="0" xfId="1" applyFont="1" applyAlignment="1">
      <alignment horizontal="center"/>
    </xf>
    <xf numFmtId="0" fontId="23" fillId="0" borderId="0" xfId="1" applyFont="1"/>
    <xf numFmtId="0" fontId="19" fillId="0" borderId="0" xfId="1" applyFont="1" applyAlignment="1">
      <alignment vertical="top" wrapText="1"/>
    </xf>
    <xf numFmtId="0" fontId="19" fillId="0" borderId="0" xfId="1" applyFont="1" applyAlignment="1">
      <alignment vertical="center" wrapText="1"/>
    </xf>
    <xf numFmtId="0" fontId="0" fillId="0" borderId="0" xfId="0"/>
    <xf numFmtId="0" fontId="18" fillId="0" borderId="2" xfId="20" applyFont="1" applyBorder="1" applyAlignment="1">
      <alignment horizontal="center" wrapText="1"/>
    </xf>
    <xf numFmtId="0" fontId="18" fillId="0" borderId="9" xfId="20" applyFont="1" applyBorder="1" applyAlignment="1">
      <alignment horizontal="center" wrapText="1"/>
    </xf>
    <xf numFmtId="0" fontId="19" fillId="0" borderId="0" xfId="20" applyFont="1" applyAlignment="1">
      <alignment horizontal="left" wrapText="1"/>
    </xf>
    <xf numFmtId="0" fontId="19" fillId="0" borderId="15" xfId="20" applyFont="1" applyBorder="1" applyAlignment="1">
      <alignment horizontal="left" wrapText="1"/>
    </xf>
    <xf numFmtId="0" fontId="18" fillId="10" borderId="12" xfId="20" applyFont="1" applyFill="1" applyBorder="1" applyAlignment="1">
      <alignment horizontal="center" wrapText="1"/>
    </xf>
    <xf numFmtId="0" fontId="18" fillId="10" borderId="14" xfId="20" applyFont="1" applyFill="1" applyBorder="1" applyAlignment="1">
      <alignment horizontal="center" wrapText="1"/>
    </xf>
    <xf numFmtId="0" fontId="18" fillId="10" borderId="8" xfId="20" applyFont="1" applyFill="1" applyBorder="1" applyAlignment="1">
      <alignment horizontal="center" wrapText="1"/>
    </xf>
    <xf numFmtId="0" fontId="18" fillId="10" borderId="24" xfId="20" applyFont="1" applyFill="1" applyBorder="1" applyAlignment="1">
      <alignment horizontal="center" wrapText="1"/>
    </xf>
    <xf numFmtId="0" fontId="18" fillId="0" borderId="0" xfId="20" applyFont="1" applyAlignment="1">
      <alignment horizontal="center" wrapText="1"/>
    </xf>
    <xf numFmtId="0" fontId="18" fillId="0" borderId="15" xfId="20" applyFont="1" applyBorder="1" applyAlignment="1">
      <alignment horizontal="center" wrapText="1"/>
    </xf>
    <xf numFmtId="37" fontId="18" fillId="11" borderId="3" xfId="20" applyNumberFormat="1" applyFont="1" applyFill="1" applyBorder="1" applyAlignment="1">
      <alignment horizontal="center"/>
    </xf>
    <xf numFmtId="37" fontId="18" fillId="11" borderId="77" xfId="20" applyNumberFormat="1" applyFont="1" applyFill="1" applyBorder="1" applyAlignment="1">
      <alignment horizontal="center"/>
    </xf>
    <xf numFmtId="37" fontId="18" fillId="0" borderId="0" xfId="20" applyNumberFormat="1" applyFont="1" applyAlignment="1">
      <alignment horizontal="center"/>
    </xf>
    <xf numFmtId="37" fontId="18" fillId="11" borderId="58" xfId="20" applyNumberFormat="1" applyFont="1" applyFill="1" applyBorder="1" applyAlignment="1">
      <alignment horizontal="center"/>
    </xf>
    <xf numFmtId="37" fontId="18" fillId="11" borderId="10" xfId="20" applyNumberFormat="1" applyFont="1" applyFill="1" applyBorder="1" applyAlignment="1">
      <alignment horizontal="center"/>
    </xf>
    <xf numFmtId="37" fontId="18" fillId="11" borderId="67" xfId="20" applyNumberFormat="1" applyFont="1" applyFill="1" applyBorder="1" applyAlignment="1">
      <alignment horizontal="center"/>
    </xf>
    <xf numFmtId="37" fontId="18" fillId="0" borderId="12" xfId="20" applyNumberFormat="1" applyFont="1" applyBorder="1" applyAlignment="1">
      <alignment horizontal="center"/>
    </xf>
    <xf numFmtId="37" fontId="18" fillId="0" borderId="14" xfId="20" applyNumberFormat="1" applyFont="1" applyBorder="1" applyAlignment="1">
      <alignment horizontal="center"/>
    </xf>
    <xf numFmtId="0" fontId="16" fillId="0" borderId="0" xfId="0" applyFont="1" applyAlignment="1">
      <alignment horizontal="center"/>
    </xf>
    <xf numFmtId="10" fontId="16" fillId="0" borderId="0" xfId="9" applyNumberFormat="1" applyFont="1" applyAlignment="1">
      <alignment horizontal="center"/>
    </xf>
    <xf numFmtId="2" fontId="26" fillId="0" borderId="0" xfId="0" applyNumberFormat="1" applyFont="1" applyAlignment="1">
      <alignment horizontal="left" wrapText="1"/>
    </xf>
    <xf numFmtId="0" fontId="26" fillId="0" borderId="0" xfId="0" applyFont="1" applyAlignment="1">
      <alignment horizontal="left"/>
    </xf>
    <xf numFmtId="0" fontId="19" fillId="0" borderId="0" xfId="0" applyFont="1" applyAlignment="1">
      <alignment horizontal="left" wrapText="1"/>
    </xf>
    <xf numFmtId="0" fontId="17" fillId="0" borderId="0" xfId="0" applyFont="1" applyAlignment="1">
      <alignment horizontal="center" wrapText="1"/>
    </xf>
    <xf numFmtId="15" fontId="18" fillId="0" borderId="0" xfId="0" applyNumberFormat="1" applyFont="1" applyAlignment="1">
      <alignment horizontal="center"/>
    </xf>
    <xf numFmtId="0" fontId="19" fillId="0" borderId="0" xfId="0" applyFont="1" applyAlignment="1">
      <alignment horizontal="left" vertical="top" wrapText="1"/>
    </xf>
    <xf numFmtId="0" fontId="23" fillId="0" borderId="0" xfId="743" applyNumberFormat="1" applyFont="1" applyAlignment="1" applyProtection="1">
      <alignment horizontal="center"/>
      <protection locked="0"/>
    </xf>
    <xf numFmtId="10" fontId="23" fillId="0" borderId="0" xfId="9" applyNumberFormat="1" applyFont="1" applyAlignment="1">
      <alignment horizontal="center"/>
    </xf>
  </cellXfs>
  <cellStyles count="19172">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2 2 2" xfId="10427" xr:uid="{0ED18F1F-9CE0-44CE-B5D6-9B2167B36F84}"/>
    <cellStyle name="20% - Accent1 2 2 2 3" xfId="10345" xr:uid="{D90A9125-E2C8-4053-A98E-86616B697B29}"/>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3 2 2" xfId="10428" xr:uid="{5507E040-5E38-4D68-858A-0D65E6CD7704}"/>
    <cellStyle name="20% - Accent1 2 3 3" xfId="10346" xr:uid="{ED8BE3ED-EE12-480D-A0E9-C4B71A4FE608}"/>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2 2" xfId="10961" xr:uid="{31A813E5-C29E-41E4-A821-854D31DE34CF}"/>
    <cellStyle name="20% - Accent1 5 2 3" xfId="1565" xr:uid="{EF73FA98-77BF-4CA7-8C7E-085CABFD1243}"/>
    <cellStyle name="20% - Accent1 5 2 3 2" xfId="10962" xr:uid="{F9810610-43A8-4615-B8E0-4C3BC99FEF47}"/>
    <cellStyle name="20% - Accent1 5 2 4" xfId="10960" xr:uid="{8DA87EF0-9B8A-43B0-A108-3622E9A730BA}"/>
    <cellStyle name="20% - Accent1 5 3" xfId="1566" xr:uid="{27B24F52-F98A-49A0-9FA4-FB825EDCAD84}"/>
    <cellStyle name="20% - Accent1 5 3 2" xfId="10963" xr:uid="{ABDF4887-D986-45A2-A7BA-DFDE32E12A50}"/>
    <cellStyle name="20% - Accent1 5 4" xfId="1567" xr:uid="{39C59FE0-00FE-4310-AE94-3EAC82006CC9}"/>
    <cellStyle name="20% - Accent1 5 4 2" xfId="10964" xr:uid="{2B2FD7DC-1B9E-4BA4-AA28-32B34B9C44E8}"/>
    <cellStyle name="20% - Accent1 5 5" xfId="1568" xr:uid="{34E71607-0CA9-4CC9-A8C3-E85699CFAFE4}"/>
    <cellStyle name="20% - Accent1 5 5 2" xfId="10965" xr:uid="{9EA3B76F-97BA-480A-B4F4-3AEBD1B7B443}"/>
    <cellStyle name="20% - Accent1 5 6" xfId="10959" xr:uid="{F411BBEB-1C39-4E2A-98BA-5F635C25802C}"/>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2 2 2" xfId="10429" xr:uid="{5A962071-A5B6-4552-A5AA-5BF02343304E}"/>
    <cellStyle name="20% - Accent2 2 2 2 3" xfId="10347" xr:uid="{198DFF1C-B0D1-439E-9D3E-8330BBA725C3}"/>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3 2 2" xfId="10430" xr:uid="{FEB308A5-2AEC-4AE7-8242-733D7F03604C}"/>
    <cellStyle name="20% - Accent2 2 3 3" xfId="10348" xr:uid="{EA9E7FD7-6DA1-466A-82FF-15C6F48B24D5}"/>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2 2" xfId="10968" xr:uid="{696F79DC-7E91-4E02-B20F-81A3904DEE4D}"/>
    <cellStyle name="20% - Accent2 5 2 3" xfId="1578" xr:uid="{62C539E7-3B81-4CEC-8CD8-5ECE8EA5A53D}"/>
    <cellStyle name="20% - Accent2 5 2 3 2" xfId="10969" xr:uid="{BC1D11F0-DC7D-4B9B-BDFF-0E2E84D96A49}"/>
    <cellStyle name="20% - Accent2 5 2 4" xfId="10967" xr:uid="{781F0A71-7825-41AE-9B84-5925F61398D6}"/>
    <cellStyle name="20% - Accent2 5 3" xfId="1579" xr:uid="{A8008D74-CBC4-4146-A10D-B7C530247A68}"/>
    <cellStyle name="20% - Accent2 5 3 2" xfId="10970" xr:uid="{8A67F0FD-C16B-4A4D-B145-9DD05837CA69}"/>
    <cellStyle name="20% - Accent2 5 4" xfId="1580" xr:uid="{41B765BC-EB3D-47FA-BC57-0A4B117FCA45}"/>
    <cellStyle name="20% - Accent2 5 4 2" xfId="10971" xr:uid="{D046FA46-75A2-4996-A02D-1BECF1C840D1}"/>
    <cellStyle name="20% - Accent2 5 5" xfId="1581" xr:uid="{C1B5C7B7-49B4-4725-A6E3-7568452030E8}"/>
    <cellStyle name="20% - Accent2 5 5 2" xfId="10972" xr:uid="{2EC67F71-9587-4DE6-AE12-D843B3A6E7B7}"/>
    <cellStyle name="20% - Accent2 5 6" xfId="10966" xr:uid="{CA5FF966-31F9-48BF-9E4D-C2C39BCCFCC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2 2 2" xfId="10431" xr:uid="{DC8B1B28-BD4C-46E4-A2A7-EC7F0CA94ECD}"/>
    <cellStyle name="20% - Accent3 2 2 2 3" xfId="10349" xr:uid="{7A9DBD59-42BD-4099-A275-E3A937DE0717}"/>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3 2 2" xfId="10432" xr:uid="{D8A0BFE8-C9EA-44C4-8C5E-A25DCB1C22D2}"/>
    <cellStyle name="20% - Accent3 2 3 3" xfId="10350" xr:uid="{07269DC1-BE1F-455A-9B64-5B3456A09967}"/>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2 2" xfId="10975" xr:uid="{54643EAC-B9E8-406D-9CF5-3ED9B2B56E33}"/>
    <cellStyle name="20% - Accent3 5 2 3" xfId="1591" xr:uid="{4B9C64FC-EC94-439C-B29C-4638ACC7E6B8}"/>
    <cellStyle name="20% - Accent3 5 2 3 2" xfId="10976" xr:uid="{B4A1B8A1-057D-4F6C-B4B7-79B90CB5CC56}"/>
    <cellStyle name="20% - Accent3 5 2 4" xfId="10974" xr:uid="{93EA9AA5-70F7-40BE-8B7D-37F5C7853F93}"/>
    <cellStyle name="20% - Accent3 5 3" xfId="1592" xr:uid="{910AD092-1806-427B-B390-F91592ED1250}"/>
    <cellStyle name="20% - Accent3 5 3 2" xfId="10977" xr:uid="{C90EF0FB-6676-4CFD-B0D7-C0089D34AEDB}"/>
    <cellStyle name="20% - Accent3 5 4" xfId="1593" xr:uid="{179295F0-32EC-4534-A487-B8EBEA134560}"/>
    <cellStyle name="20% - Accent3 5 4 2" xfId="10978" xr:uid="{AF0E68EE-406A-4CFA-B2DF-140A499048D1}"/>
    <cellStyle name="20% - Accent3 5 5" xfId="1594" xr:uid="{570BD345-83BA-4913-AA81-75FE97BBE79D}"/>
    <cellStyle name="20% - Accent3 5 5 2" xfId="10979" xr:uid="{189B0844-2685-4C89-ACBF-FA54DC13CA5D}"/>
    <cellStyle name="20% - Accent3 5 6" xfId="10973" xr:uid="{95D38AEC-8C55-487A-8D7E-A167B0E29469}"/>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2 2 2" xfId="10433" xr:uid="{EC288385-8F9B-47FF-9113-20A18B73CE3F}"/>
    <cellStyle name="20% - Accent4 2 2 2 3" xfId="10351" xr:uid="{AA4C22CD-6C8F-40B7-BB41-C3B81B6C76AF}"/>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3 2 2" xfId="10434" xr:uid="{DE3514FA-9189-46CE-B1E5-03051DECAB2F}"/>
    <cellStyle name="20% - Accent4 2 3 3" xfId="10352" xr:uid="{406E081C-369D-4F83-84E7-F755A4C9708E}"/>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2 2" xfId="10982" xr:uid="{609CDA02-AE7D-4F70-B49A-55B3B7A8D516}"/>
    <cellStyle name="20% - Accent4 5 2 3" xfId="1604" xr:uid="{DD7C86E3-6866-4522-9D62-3D861BC5C468}"/>
    <cellStyle name="20% - Accent4 5 2 3 2" xfId="10983" xr:uid="{FFDE0AEC-5FEC-4772-ABA3-9D1BE8874262}"/>
    <cellStyle name="20% - Accent4 5 2 4" xfId="10981" xr:uid="{77D7A6A9-1D9A-4586-8A9A-AB8261F64E90}"/>
    <cellStyle name="20% - Accent4 5 3" xfId="1605" xr:uid="{7092FF6C-BA31-4D61-85FF-7B9DC27D221C}"/>
    <cellStyle name="20% - Accent4 5 3 2" xfId="10984" xr:uid="{90B4048C-3788-47D6-8D87-589340F7CE4B}"/>
    <cellStyle name="20% - Accent4 5 4" xfId="1606" xr:uid="{090E8CA5-C0F0-4A4C-BCB0-DFEF6464FCD7}"/>
    <cellStyle name="20% - Accent4 5 4 2" xfId="10985" xr:uid="{A1A5129F-58FD-4FE8-981C-DB01597A0D90}"/>
    <cellStyle name="20% - Accent4 5 5" xfId="1607" xr:uid="{4846EF82-FA9B-4FFC-9559-FFE19F612663}"/>
    <cellStyle name="20% - Accent4 5 5 2" xfId="10986" xr:uid="{06439CEE-4057-43A0-B44F-BC54B2664D54}"/>
    <cellStyle name="20% - Accent4 5 6" xfId="10980" xr:uid="{933894FA-740F-48DA-8536-EBB692929459}"/>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2 2 2" xfId="10435" xr:uid="{37A22D88-F531-4556-B472-D2B072A263A4}"/>
    <cellStyle name="20% - Accent5 2 2 2 3" xfId="10353" xr:uid="{6C7C385C-5CA1-4473-94BE-77E117200CDB}"/>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3 2 2" xfId="10436" xr:uid="{E461F4B3-0B29-4CA3-97C6-84AC5CA51CFE}"/>
    <cellStyle name="20% - Accent5 2 3 3" xfId="10354" xr:uid="{D3864ECD-E620-47E7-A82F-7F89DE54FA0B}"/>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2 2" xfId="10989" xr:uid="{C66BE242-6E99-4559-BD74-CF8F75B1B1EE}"/>
    <cellStyle name="20% - Accent5 5 2 3" xfId="1617" xr:uid="{BDC1A3B9-B993-4FCC-8523-AB9ECBCB9A87}"/>
    <cellStyle name="20% - Accent5 5 2 3 2" xfId="10990" xr:uid="{46F57FD5-E5CE-4478-A342-238B605176C7}"/>
    <cellStyle name="20% - Accent5 5 2 4" xfId="10988" xr:uid="{3EB0BB4F-85D2-48C8-9967-18EBD4E09C42}"/>
    <cellStyle name="20% - Accent5 5 3" xfId="1618" xr:uid="{5B5EE851-61FE-4949-B2D6-83118A99A832}"/>
    <cellStyle name="20% - Accent5 5 3 2" xfId="10991" xr:uid="{9F63C12D-E45C-456F-B608-286BE0945361}"/>
    <cellStyle name="20% - Accent5 5 4" xfId="1619" xr:uid="{F8FA106E-2ACD-4AF2-9B0A-81DAEDC6D1D7}"/>
    <cellStyle name="20% - Accent5 5 4 2" xfId="10992" xr:uid="{21EBE991-BC6A-410F-9B20-BF23AC39738A}"/>
    <cellStyle name="20% - Accent5 5 5" xfId="1620" xr:uid="{D670B4FF-7F51-40AB-80B3-3B059EB7491C}"/>
    <cellStyle name="20% - Accent5 5 5 2" xfId="10993" xr:uid="{8304C4F1-F734-4D3C-9C0B-3C1482A0591E}"/>
    <cellStyle name="20% - Accent5 5 6" xfId="10987" xr:uid="{35C73BA9-99A8-4693-8F62-4AC42B7033FD}"/>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2 2 2" xfId="10438" xr:uid="{B17F8DBE-6C2B-439F-8847-BF43CA5AD9D6}"/>
    <cellStyle name="20% - Accent6 2 2 2 3" xfId="10356" xr:uid="{FBEBCFEB-9B98-4C01-ABEC-7BE1C4BF011D}"/>
    <cellStyle name="20% - Accent6 2 2 3" xfId="455" xr:uid="{00000000-0005-0000-0000-000044000000}"/>
    <cellStyle name="20% - Accent6 2 2 3 2" xfId="10437" xr:uid="{611247CF-B0B2-4E31-9DE4-3457DA7F738B}"/>
    <cellStyle name="20% - Accent6 2 2 4" xfId="1625" xr:uid="{CC25C0D9-EB19-4FCF-A708-E4721846D755}"/>
    <cellStyle name="20% - Accent6 2 2 5" xfId="10355" xr:uid="{92BCC96D-D873-4FC7-BD28-B35696DFDD97}"/>
    <cellStyle name="20% - Accent6 2 3" xfId="100" xr:uid="{00000000-0005-0000-0000-000045000000}"/>
    <cellStyle name="20% - Accent6 2 3 2" xfId="457" xr:uid="{00000000-0005-0000-0000-000046000000}"/>
    <cellStyle name="20% - Accent6 2 3 2 2" xfId="10439" xr:uid="{1351AFAA-920B-4774-8076-A4CB42788B4C}"/>
    <cellStyle name="20% - Accent6 2 3 3" xfId="10357" xr:uid="{58AAD9C5-3BC9-487E-B615-18E13EA87AE5}"/>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2 2" xfId="10996" xr:uid="{BCEB1406-82C3-48BE-9EB7-F7E2E0ED991E}"/>
    <cellStyle name="20% - Accent6 5 2 3" xfId="1631" xr:uid="{CD19D201-B0EF-4B4E-832D-F16BFB9A4F43}"/>
    <cellStyle name="20% - Accent6 5 2 3 2" xfId="10997" xr:uid="{2F29ADAE-4450-4F3F-93B5-F6EE4E9BF238}"/>
    <cellStyle name="20% - Accent6 5 2 4" xfId="10995" xr:uid="{5CFA0989-B190-43AD-890E-59F25BA5B34A}"/>
    <cellStyle name="20% - Accent6 5 3" xfId="1632" xr:uid="{18FB695F-6BFF-4598-A4E5-53B829BBEA3E}"/>
    <cellStyle name="20% - Accent6 5 3 2" xfId="10998" xr:uid="{C0FEC3B8-DA21-4B32-B417-34121389EE50}"/>
    <cellStyle name="20% - Accent6 5 4" xfId="1633" xr:uid="{BEC6B1EF-259E-4F87-84E4-638801B527D0}"/>
    <cellStyle name="20% - Accent6 5 4 2" xfId="10999" xr:uid="{FD9353BA-5F76-44F4-AE7D-E9E2802B1F68}"/>
    <cellStyle name="20% - Accent6 5 5" xfId="1634" xr:uid="{12C0BF28-15CC-4B90-BC94-065F3E9F4F74}"/>
    <cellStyle name="20% - Accent6 5 5 2" xfId="11000" xr:uid="{BBDE90CE-B9A0-44E4-AA8D-E24155D7A807}"/>
    <cellStyle name="20% - Accent6 5 6" xfId="10994" xr:uid="{C40E12DF-7124-44D9-A738-C8299DDD3480}"/>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2 2 2" xfId="10440" xr:uid="{C1E38F65-A567-4DB1-8F4E-EE80A4285171}"/>
    <cellStyle name="40% - Accent1 2 2 2 3" xfId="10358" xr:uid="{D548268C-A811-4B40-BB6C-40B6C50F9B2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3 2 2" xfId="10441" xr:uid="{9AA58372-D6E2-4C8A-8C6D-2A152D0E3000}"/>
    <cellStyle name="40% - Accent1 2 3 3" xfId="10359" xr:uid="{2BC8E730-EEF3-4812-9C70-74091A1FD30B}"/>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2 2" xfId="11003" xr:uid="{C6582C65-6DEB-4B63-A70C-92B519972987}"/>
    <cellStyle name="40% - Accent1 5 2 3" xfId="1644" xr:uid="{AC01FF41-9244-4285-942A-D879BB3930DF}"/>
    <cellStyle name="40% - Accent1 5 2 3 2" xfId="11004" xr:uid="{7849252F-E9B6-4C58-AD4D-D44A1A4A0DCA}"/>
    <cellStyle name="40% - Accent1 5 2 4" xfId="11002" xr:uid="{C6DC234F-DEF3-4651-B998-A7DF4EA2A9AA}"/>
    <cellStyle name="40% - Accent1 5 3" xfId="1645" xr:uid="{5B5A353B-7658-4F27-B60C-D1E48650698F}"/>
    <cellStyle name="40% - Accent1 5 3 2" xfId="11005" xr:uid="{5C725C0A-0A2F-4771-87CC-AB2D360F1779}"/>
    <cellStyle name="40% - Accent1 5 4" xfId="1646" xr:uid="{D1709C09-8392-4135-990F-498AC9493ACF}"/>
    <cellStyle name="40% - Accent1 5 4 2" xfId="11006" xr:uid="{CF92DD05-8301-4FB3-8C8E-1F62A86E4AA7}"/>
    <cellStyle name="40% - Accent1 5 5" xfId="1647" xr:uid="{678011FE-4456-45BD-8F5B-FE92205276DB}"/>
    <cellStyle name="40% - Accent1 5 5 2" xfId="11007" xr:uid="{EABE468B-BB88-4900-B07A-C644F47F3928}"/>
    <cellStyle name="40% - Accent1 5 6" xfId="11001" xr:uid="{BD6A842E-0A77-482A-9AD7-7ADEDC7CD85F}"/>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2 2 2" xfId="10443" xr:uid="{C9B4154A-7D1A-4306-91C5-5AD4FF0A2A2F}"/>
    <cellStyle name="40% - Accent2 2 2 2 3" xfId="10361" xr:uid="{2C1FBB01-A0AF-42D7-8303-A18DB69A7563}"/>
    <cellStyle name="40% - Accent2 2 2 3" xfId="460" xr:uid="{00000000-0005-0000-0000-000056000000}"/>
    <cellStyle name="40% - Accent2 2 2 3 2" xfId="10442" xr:uid="{F8DE70B2-8892-4166-8BA0-ED075ACED30B}"/>
    <cellStyle name="40% - Accent2 2 2 4" xfId="1652" xr:uid="{BEF02297-4E11-4D1D-84EF-028D3B8D0E53}"/>
    <cellStyle name="40% - Accent2 2 2 5" xfId="10360" xr:uid="{55D0FE18-5CA9-44BD-B585-DC64C3C9A5A9}"/>
    <cellStyle name="40% - Accent2 2 3" xfId="113" xr:uid="{00000000-0005-0000-0000-000057000000}"/>
    <cellStyle name="40% - Accent2 2 3 2" xfId="462" xr:uid="{00000000-0005-0000-0000-000058000000}"/>
    <cellStyle name="40% - Accent2 2 3 2 2" xfId="10444" xr:uid="{8F939181-7DC8-4DF6-8CD7-FDD059C1BBE4}"/>
    <cellStyle name="40% - Accent2 2 3 3" xfId="10362" xr:uid="{2C3C767E-2FD9-4FEC-AD52-30D3C7783409}"/>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2 2" xfId="11010" xr:uid="{D167A7FE-775A-42D5-A70E-6ADB581C2C50}"/>
    <cellStyle name="40% - Accent2 5 2 3" xfId="1658" xr:uid="{03EA9290-B8CF-42E9-B806-01E344A6F7DF}"/>
    <cellStyle name="40% - Accent2 5 2 3 2" xfId="11011" xr:uid="{B7576963-1F58-436B-A60F-AC08D3D3B25E}"/>
    <cellStyle name="40% - Accent2 5 2 4" xfId="11009" xr:uid="{40554800-8973-459D-A1E7-C948B21F29B8}"/>
    <cellStyle name="40% - Accent2 5 3" xfId="1659" xr:uid="{CDFC0FFA-11C5-4015-923A-05F2A556F5EB}"/>
    <cellStyle name="40% - Accent2 5 3 2" xfId="11012" xr:uid="{3E8D8804-9CEB-476F-B760-1211100FDD17}"/>
    <cellStyle name="40% - Accent2 5 4" xfId="1660" xr:uid="{2D83C5AB-A1DE-451E-B823-3B05F425BB53}"/>
    <cellStyle name="40% - Accent2 5 4 2" xfId="11013" xr:uid="{B7A74F52-435A-464E-8C6C-E7869B0C29D3}"/>
    <cellStyle name="40% - Accent2 5 5" xfId="1661" xr:uid="{9C29AAA2-4F1C-4DF3-8B4D-1904E3A7FC1E}"/>
    <cellStyle name="40% - Accent2 5 5 2" xfId="11014" xr:uid="{7FBCDB79-1855-43D4-BF40-640A18999E60}"/>
    <cellStyle name="40% - Accent2 5 6" xfId="11008" xr:uid="{4E2B1517-BB2E-43D8-A6E2-7145C49BACE4}"/>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2 2 2" xfId="10445" xr:uid="{21075112-C37A-4DA3-9C5D-F9699E5B6399}"/>
    <cellStyle name="40% - Accent3 2 2 2 3" xfId="10363" xr:uid="{3A0FC0EA-427B-4C25-A86D-3EC48488D976}"/>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3 2 2" xfId="10446" xr:uid="{2D4CF531-B669-4DED-A662-4D00991657EC}"/>
    <cellStyle name="40% - Accent3 2 3 3" xfId="10364" xr:uid="{62092169-9941-47A4-81C0-77CB3D932B6C}"/>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2 2" xfId="11017" xr:uid="{E1F79772-FB75-42F2-89B9-241E97FBC3C4}"/>
    <cellStyle name="40% - Accent3 5 2 3" xfId="1671" xr:uid="{F8860CFE-799D-4164-AA53-A5F0E8323018}"/>
    <cellStyle name="40% - Accent3 5 2 3 2" xfId="11018" xr:uid="{1EBF875D-658B-4CF1-85C9-414C064A5A0E}"/>
    <cellStyle name="40% - Accent3 5 2 4" xfId="11016" xr:uid="{4CFF1CB2-2754-4CF5-9D40-BCCAE29CED6A}"/>
    <cellStyle name="40% - Accent3 5 3" xfId="1672" xr:uid="{1C9FA53C-7502-4921-8403-A6249116E850}"/>
    <cellStyle name="40% - Accent3 5 3 2" xfId="11019" xr:uid="{CC8FC33A-2C7A-4778-91FA-28AB425BDF9C}"/>
    <cellStyle name="40% - Accent3 5 4" xfId="1673" xr:uid="{02159E51-E7C1-4055-8ECA-D177CA22EEB4}"/>
    <cellStyle name="40% - Accent3 5 4 2" xfId="11020" xr:uid="{7C46285F-5577-4110-81FA-767C1F19D8F2}"/>
    <cellStyle name="40% - Accent3 5 5" xfId="1674" xr:uid="{8EDD9199-9FDA-4943-9C73-93B275AA8B9B}"/>
    <cellStyle name="40% - Accent3 5 5 2" xfId="11021" xr:uid="{41396E95-794C-4EDF-9F2E-3C966399365C}"/>
    <cellStyle name="40% - Accent3 5 6" xfId="11015" xr:uid="{5E61A079-6657-4DDC-87F7-3102F13398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2 2 2" xfId="10447" xr:uid="{12F24E34-006F-40C8-9B7B-46DF0E60E004}"/>
    <cellStyle name="40% - Accent4 2 2 2 3" xfId="10365" xr:uid="{DE391FB8-914A-43A1-98A9-15C5AADF9607}"/>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3 2 2" xfId="10448" xr:uid="{3EE81107-690F-4E44-B312-F3F476389D68}"/>
    <cellStyle name="40% - Accent4 2 3 3" xfId="10366" xr:uid="{E3ACD974-EE55-4834-A58A-852B3AB8C094}"/>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2 2" xfId="11024" xr:uid="{9000D711-9E44-4216-B601-D40413CD11FC}"/>
    <cellStyle name="40% - Accent4 5 2 3" xfId="1684" xr:uid="{A1310809-0DCA-45FB-BB76-C694D341799F}"/>
    <cellStyle name="40% - Accent4 5 2 3 2" xfId="11025" xr:uid="{B214BD6C-B8CA-444A-B7B5-2AD9AB47003F}"/>
    <cellStyle name="40% - Accent4 5 2 4" xfId="11023" xr:uid="{5515FDFD-4959-4E64-9735-09645DD45570}"/>
    <cellStyle name="40% - Accent4 5 3" xfId="1685" xr:uid="{E507F156-7C85-485A-A0F7-0D8AB6C19E88}"/>
    <cellStyle name="40% - Accent4 5 3 2" xfId="11026" xr:uid="{8FBDC14C-C71E-4D71-811B-D837C563852E}"/>
    <cellStyle name="40% - Accent4 5 4" xfId="1686" xr:uid="{C0C718F8-467C-48D2-AE6D-B3F64DA50665}"/>
    <cellStyle name="40% - Accent4 5 4 2" xfId="11027" xr:uid="{57E579D1-5D34-4185-82A8-D5A5CCE1B158}"/>
    <cellStyle name="40% - Accent4 5 5" xfId="1687" xr:uid="{66BEAFBD-E659-4B73-B499-28A01474C34C}"/>
    <cellStyle name="40% - Accent4 5 5 2" xfId="11028" xr:uid="{D5ECC63D-5493-48BF-B849-8C56BCA97EF6}"/>
    <cellStyle name="40% - Accent4 5 6" xfId="11022" xr:uid="{CA2469E7-BC6B-4695-8DB8-6826180D5056}"/>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2 2 2" xfId="10450" xr:uid="{9ACB39D1-8769-49AB-BC48-97BB5336E428}"/>
    <cellStyle name="40% - Accent5 2 2 2 3" xfId="10368" xr:uid="{CEA9070C-AAF1-4C13-B123-65D3964AE1AE}"/>
    <cellStyle name="40% - Accent5 2 2 3" xfId="467" xr:uid="{00000000-0005-0000-0000-000072000000}"/>
    <cellStyle name="40% - Accent5 2 2 3 2" xfId="10449" xr:uid="{E845FE68-67D7-40BF-88E8-B68495FDC218}"/>
    <cellStyle name="40% - Accent5 2 2 4" xfId="1692" xr:uid="{F7DEE6CB-48D9-4F03-9A8D-6C21DB281A78}"/>
    <cellStyle name="40% - Accent5 2 2 5" xfId="10367" xr:uid="{7F3BA205-8E60-4A92-A5F1-AC1ACCF5F3A1}"/>
    <cellStyle name="40% - Accent5 2 3" xfId="134" xr:uid="{00000000-0005-0000-0000-000073000000}"/>
    <cellStyle name="40% - Accent5 2 3 2" xfId="469" xr:uid="{00000000-0005-0000-0000-000074000000}"/>
    <cellStyle name="40% - Accent5 2 3 2 2" xfId="10451" xr:uid="{70B36739-127F-4A97-84B4-E6AD34947D95}"/>
    <cellStyle name="40% - Accent5 2 3 3" xfId="10369" xr:uid="{32014EB7-0E06-4BB5-AA69-40B11D14EC02}"/>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2 2" xfId="11031" xr:uid="{6C3D5410-1015-4E60-9921-4AFF991D2310}"/>
    <cellStyle name="40% - Accent5 5 2 3" xfId="1698" xr:uid="{87718968-EFD3-41D5-A4B9-AE2AD3D384FC}"/>
    <cellStyle name="40% - Accent5 5 2 3 2" xfId="11032" xr:uid="{304ED8C2-D69C-46CA-ADA5-CF938D42B8D8}"/>
    <cellStyle name="40% - Accent5 5 2 4" xfId="11030" xr:uid="{007E27BB-D0FA-4C77-ABFB-73300BE3C2A7}"/>
    <cellStyle name="40% - Accent5 5 3" xfId="1699" xr:uid="{B2D30758-0B23-449E-B6A8-C6206A19C220}"/>
    <cellStyle name="40% - Accent5 5 3 2" xfId="11033" xr:uid="{31EDE899-17DB-4052-97BD-09417885BAF0}"/>
    <cellStyle name="40% - Accent5 5 4" xfId="1700" xr:uid="{BDDC31F7-C806-4A11-B5E8-36D7C91C4B04}"/>
    <cellStyle name="40% - Accent5 5 4 2" xfId="11034" xr:uid="{95E10118-8528-4ADA-A818-C08D1D0F3ED0}"/>
    <cellStyle name="40% - Accent5 5 5" xfId="1701" xr:uid="{C84A2943-67BD-4649-9C1C-290B6582B77A}"/>
    <cellStyle name="40% - Accent5 5 5 2" xfId="11035" xr:uid="{B1742829-3BF3-445E-9DE2-0A818A391A9D}"/>
    <cellStyle name="40% - Accent5 5 6" xfId="11029" xr:uid="{915D4014-B7BB-46F9-8F87-9AF8EC74FDB5}"/>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2 2 2" xfId="10452" xr:uid="{49305788-26F0-4355-8A90-D755EC553E47}"/>
    <cellStyle name="40% - Accent6 2 2 2 3" xfId="10370" xr:uid="{3450212C-4536-42BA-BE48-5BF6275988A1}"/>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3 2 2" xfId="10453" xr:uid="{F9C74409-2E87-4B24-B3DA-16FBF83A2F4F}"/>
    <cellStyle name="40% - Accent6 2 3 3" xfId="10371" xr:uid="{177013CB-64A4-4B03-B055-2144AB05E1C9}"/>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2 2" xfId="11038" xr:uid="{C89D9D75-5462-4BE0-A53D-D1FEE7A75F71}"/>
    <cellStyle name="40% - Accent6 5 2 3" xfId="1711" xr:uid="{0FDEF178-88F9-4E33-9626-2D1FB2C80477}"/>
    <cellStyle name="40% - Accent6 5 2 3 2" xfId="11039" xr:uid="{2BAABD62-DC35-485F-9A4A-515C8394C3B5}"/>
    <cellStyle name="40% - Accent6 5 2 4" xfId="11037" xr:uid="{C3870A9B-D1D2-49CD-9B2E-8149F73E0330}"/>
    <cellStyle name="40% - Accent6 5 3" xfId="1712" xr:uid="{DEED00A1-C6B8-44AC-9835-9EB4A9B509CD}"/>
    <cellStyle name="40% - Accent6 5 3 2" xfId="11040" xr:uid="{0938BBBB-76DF-48C6-AB75-1C21F591FA32}"/>
    <cellStyle name="40% - Accent6 5 4" xfId="1713" xr:uid="{B8DE2D43-D233-492E-B5E0-872A57A2CF32}"/>
    <cellStyle name="40% - Accent6 5 4 2" xfId="11041" xr:uid="{935088DA-8682-4958-BEC7-8B3469EEB731}"/>
    <cellStyle name="40% - Accent6 5 5" xfId="1714" xr:uid="{8B2D6FB7-77D6-4B65-8985-76E0D38D5972}"/>
    <cellStyle name="40% - Accent6 5 5 2" xfId="11042" xr:uid="{C10FEEA2-DE0C-4B70-9BD9-8CE745618E44}"/>
    <cellStyle name="40% - Accent6 5 6" xfId="11036" xr:uid="{1E6EACDF-4C47-4CE4-A165-1B73D5292197}"/>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0 3 3" xfId="10454" xr:uid="{8D97DEBD-E605-4591-AB8A-8FFE5497E6E6}"/>
    <cellStyle name="Comma 10 4" xfId="10372" xr:uid="{2C5E2F0F-0FD6-455A-8913-F17B9F514AB2}"/>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2 2" xfId="19167" xr:uid="{B98B233B-61F9-477B-9749-BB8A4312EE3B}"/>
    <cellStyle name="Comma 12 2 3" xfId="1559" xr:uid="{61739EDB-BB7F-446E-B2D7-D6A451CCCC94}"/>
    <cellStyle name="Comma 12 2 3 2" xfId="10958" xr:uid="{C9870EFD-1588-404F-96AD-06570D8F20AC}"/>
    <cellStyle name="Comma 13" xfId="200" xr:uid="{00000000-0005-0000-0000-0000C2000000}"/>
    <cellStyle name="Comma 13 2" xfId="201" xr:uid="{00000000-0005-0000-0000-0000C3000000}"/>
    <cellStyle name="Comma 13 2 2" xfId="1835" xr:uid="{B22D88A1-55EC-4280-AF70-C93FDF7AA50D}"/>
    <cellStyle name="Comma 13 2 2 2" xfId="11044" xr:uid="{7FF3D382-468E-4A1F-A71D-D2C7BF3E0788}"/>
    <cellStyle name="Comma 13 2 3" xfId="1836" xr:uid="{D04FF9CB-630B-4E60-9C28-6BC6F1FCDADB}"/>
    <cellStyle name="Comma 13 2 3 2" xfId="11045" xr:uid="{5AEBB00B-7D8A-4898-99E4-D9011B372095}"/>
    <cellStyle name="Comma 13 2 4" xfId="1834" xr:uid="{6D0A14C2-BA54-4CAD-823B-2AC2394A2FF7}"/>
    <cellStyle name="Comma 13 2 4 2" xfId="11043" xr:uid="{7CB87399-4353-42E2-A69B-C437CB00B680}"/>
    <cellStyle name="Comma 13 3" xfId="1837" xr:uid="{CCEE01A0-1868-470B-B3F8-C087DB0D57F4}"/>
    <cellStyle name="Comma 13 3 2" xfId="11046" xr:uid="{732A1A46-3539-49A2-B4DC-462395846B03}"/>
    <cellStyle name="Comma 13 4" xfId="1838" xr:uid="{76E37B8C-233F-44B3-9E6A-DE34BD5DED1E}"/>
    <cellStyle name="Comma 13 4 2" xfId="11047" xr:uid="{47E58A73-09A2-4769-A2CD-D1C0E6BBB740}"/>
    <cellStyle name="Comma 13 5" xfId="1839" xr:uid="{B4E4B632-74F8-4565-B5A4-243C2BC84E10}"/>
    <cellStyle name="Comma 13 5 2" xfId="11048" xr:uid="{A8B84337-B6CA-459B-84BA-7888CBD01BDC}"/>
    <cellStyle name="Comma 14" xfId="415" xr:uid="{00000000-0005-0000-0000-0000C4000000}"/>
    <cellStyle name="Comma 14 2" xfId="505" xr:uid="{00000000-0005-0000-0000-0000C5000000}"/>
    <cellStyle name="Comma 14 2 2" xfId="10486" xr:uid="{89AC46CE-AE20-4870-AFB6-E5E1933EC336}"/>
    <cellStyle name="Comma 14 3" xfId="1063" xr:uid="{120F1EDE-5B54-444A-B089-59AD53407D03}"/>
    <cellStyle name="Comma 14 4" xfId="10404" xr:uid="{0E87F481-4D14-4010-AB02-984A5FE60B45}"/>
    <cellStyle name="Comma 15" xfId="417" xr:uid="{00000000-0005-0000-0000-0000C6000000}"/>
    <cellStyle name="Comma 15 2" xfId="507" xr:uid="{00000000-0005-0000-0000-0000C7000000}"/>
    <cellStyle name="Comma 15 2 2" xfId="10488" xr:uid="{0176474F-554C-473D-B344-A88DD668DFD7}"/>
    <cellStyle name="Comma 15 3" xfId="1062" xr:uid="{374112F9-9414-4758-9471-E96010319BA7}"/>
    <cellStyle name="Comma 15 4" xfId="10406" xr:uid="{3D1D172A-58EC-4E2D-98E4-01699E797469}"/>
    <cellStyle name="Comma 16" xfId="419" xr:uid="{00000000-0005-0000-0000-0000C8000000}"/>
    <cellStyle name="Comma 16 2" xfId="509" xr:uid="{00000000-0005-0000-0000-0000C9000000}"/>
    <cellStyle name="Comma 16 2 2" xfId="10490" xr:uid="{7982DAF5-21DF-414F-946E-F98C21EC5483}"/>
    <cellStyle name="Comma 16 3" xfId="1061" xr:uid="{CA949A36-3A60-41EA-A507-82C84A793F92}"/>
    <cellStyle name="Comma 16 4" xfId="10408" xr:uid="{0E676450-C8A4-485C-A4E0-0F263D71A2FF}"/>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3 2" xfId="10455" xr:uid="{BC0B5780-26AF-4F6E-98F5-AA4C5C931622}"/>
    <cellStyle name="Comma 2 2 2 4" xfId="536" xr:uid="{416FC15B-D594-4867-804E-23E5A96AB4EC}"/>
    <cellStyle name="Comma 2 2 2 4 2" xfId="10508" xr:uid="{AFDB6778-B7C4-4866-B71F-19AB9097F40B}"/>
    <cellStyle name="Comma 2 2 2 5" xfId="10373" xr:uid="{808018A4-63DA-44C8-9751-13D3E53DE7BE}"/>
    <cellStyle name="Comma 2 2 3" xfId="205" xr:uid="{00000000-0005-0000-0000-0000CF000000}"/>
    <cellStyle name="Comma 2 2 3 2" xfId="474" xr:uid="{00000000-0005-0000-0000-0000D0000000}"/>
    <cellStyle name="Comma 2 2 3 2 2" xfId="10456" xr:uid="{418FFB6A-019D-4142-85E4-061F21428DA9}"/>
    <cellStyle name="Comma 2 2 3 3" xfId="10374" xr:uid="{AD65131E-85F7-4AD0-B032-212C21623831}"/>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6 2 2" xfId="10457" xr:uid="{09620ECD-1B8B-4382-BCCB-31BF3E842876}"/>
    <cellStyle name="Comma 2 6 3" xfId="10375" xr:uid="{293C58E8-2874-47A1-9C0B-F2D5D0953D82}"/>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2 2 2" xfId="19063" xr:uid="{5D54AAD3-3A9F-4AD2-9EEE-D38951CF95CE}"/>
    <cellStyle name="Comma 3 2 2 2 2 2 3" xfId="10854" xr:uid="{A169D365-071F-4513-B67B-DA55126643DF}"/>
    <cellStyle name="Comma 3 2 2 2 2 3" xfId="9973" xr:uid="{0C2AAFEC-72A0-4909-9F0A-453D2A715D81}"/>
    <cellStyle name="Comma 3 2 2 2 2 3 2" xfId="18847" xr:uid="{D4927CD2-C7E2-4874-884E-AC9DFB7B80B5}"/>
    <cellStyle name="Comma 3 2 2 2 2 4" xfId="10638" xr:uid="{03A23424-E7BE-4274-9B34-A7F1C12D4634}"/>
    <cellStyle name="Comma 3 2 2 2 3" xfId="1311" xr:uid="{A2B611EA-DE7D-4494-A232-DC8A00B33D2D}"/>
    <cellStyle name="Comma 3 2 2 2 3 2" xfId="1527" xr:uid="{5283D1B7-CC9C-4331-8448-021870C18F11}"/>
    <cellStyle name="Comma 3 2 2 2 3 2 2" xfId="10261" xr:uid="{9EC0409E-9F62-464B-9ED0-32DC1197DA9C}"/>
    <cellStyle name="Comma 3 2 2 2 3 2 2 2" xfId="19135" xr:uid="{E5F93811-4181-45C8-A3B5-F75CB4D4CFDF}"/>
    <cellStyle name="Comma 3 2 2 2 3 2 3" xfId="10926" xr:uid="{EE4E0C6F-AEC8-4D18-B08A-30E0BAAE4B0F}"/>
    <cellStyle name="Comma 3 2 2 2 3 3" xfId="10045" xr:uid="{E2064240-6D24-47C7-AD12-4B44AA949750}"/>
    <cellStyle name="Comma 3 2 2 2 3 3 2" xfId="18919" xr:uid="{F99ECA79-D039-4D29-88FC-F83CC99E6570}"/>
    <cellStyle name="Comma 3 2 2 2 3 4" xfId="10710" xr:uid="{D61A6977-3482-4248-9F5A-BD08373EC032}"/>
    <cellStyle name="Comma 3 2 2 2 4" xfId="1383" xr:uid="{82207201-BFA1-40EB-A08C-E9C3E90C7B7C}"/>
    <cellStyle name="Comma 3 2 2 2 4 2" xfId="10117" xr:uid="{4F9CCA72-C728-4CB0-AFF6-02BDD9EA1712}"/>
    <cellStyle name="Comma 3 2 2 2 4 2 2" xfId="18991" xr:uid="{3F42DAB2-E0A7-4378-AAF4-B14661F5C81B}"/>
    <cellStyle name="Comma 3 2 2 2 4 3" xfId="10782" xr:uid="{D03C0E9F-F9D2-467B-8E18-8F2FBCEEDB55}"/>
    <cellStyle name="Comma 3 2 2 2 5" xfId="9901" xr:uid="{BBA1CF26-6CC8-4051-BB36-5F6298D42DDE}"/>
    <cellStyle name="Comma 3 2 2 2 5 2" xfId="18775" xr:uid="{454DADAA-E19A-405A-BAE1-AA227C65B468}"/>
    <cellStyle name="Comma 3 2 2 2 6" xfId="10566" xr:uid="{ADE80ABA-34D9-4428-BF1A-3AC0D365642D}"/>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2 2 2" xfId="19069" xr:uid="{95C2518C-9C12-499E-8126-5A1595D0B2A6}"/>
    <cellStyle name="Comma 3 2 2 3 2 2 3" xfId="10860" xr:uid="{02BB88AF-D106-4980-98DC-233C43F9EEB9}"/>
    <cellStyle name="Comma 3 2 2 3 2 3" xfId="9979" xr:uid="{C7C6C1D9-A41B-4491-AFD4-BB798B1761FE}"/>
    <cellStyle name="Comma 3 2 2 3 2 3 2" xfId="18853" xr:uid="{A096EA7E-5A55-4D2E-BD47-2D4A1597BAF5}"/>
    <cellStyle name="Comma 3 2 2 3 2 4" xfId="10644" xr:uid="{80CEE92C-5656-40DF-B147-D1878776C2CB}"/>
    <cellStyle name="Comma 3 2 2 3 3" xfId="1317" xr:uid="{C7748141-F116-4BE2-A8E2-D19C314943EA}"/>
    <cellStyle name="Comma 3 2 2 3 3 2" xfId="1533" xr:uid="{A162C881-CB03-4DDA-B13B-F87626F925E5}"/>
    <cellStyle name="Comma 3 2 2 3 3 2 2" xfId="10267" xr:uid="{B58DD666-263A-4FED-9EA9-A265BAB1BDE0}"/>
    <cellStyle name="Comma 3 2 2 3 3 2 2 2" xfId="19141" xr:uid="{64B88B3A-2D84-472A-A6CA-76321387F45C}"/>
    <cellStyle name="Comma 3 2 2 3 3 2 3" xfId="10932" xr:uid="{76ADEB77-5E37-41DF-867A-C46A86E78225}"/>
    <cellStyle name="Comma 3 2 2 3 3 3" xfId="10051" xr:uid="{44B1164F-8487-4415-9525-7B961E02809A}"/>
    <cellStyle name="Comma 3 2 2 3 3 3 2" xfId="18925" xr:uid="{185A4BC4-3578-41EC-AE97-463651230630}"/>
    <cellStyle name="Comma 3 2 2 3 3 4" xfId="10716" xr:uid="{CFC64F99-C0A2-43DA-B1E3-BFEA20C6C688}"/>
    <cellStyle name="Comma 3 2 2 3 4" xfId="1389" xr:uid="{52F500AA-F8F8-41FA-AC80-DECC27D446E4}"/>
    <cellStyle name="Comma 3 2 2 3 4 2" xfId="10123" xr:uid="{8D69CCBB-B46A-49AA-9A32-E03D8A47B8B8}"/>
    <cellStyle name="Comma 3 2 2 3 4 2 2" xfId="18997" xr:uid="{FCF9198A-EC99-4DA8-8F4F-02BEDE1E075C}"/>
    <cellStyle name="Comma 3 2 2 3 4 3" xfId="10788" xr:uid="{F08C2012-EA79-49FF-8BE2-41AE864A34BE}"/>
    <cellStyle name="Comma 3 2 2 3 5" xfId="9907" xr:uid="{DFC40FC4-F82C-4A4B-9297-D47B1DAA64B9}"/>
    <cellStyle name="Comma 3 2 2 3 5 2" xfId="18781" xr:uid="{B7F1E09D-F4BC-4EED-AFC4-EF014651723D}"/>
    <cellStyle name="Comma 3 2 2 3 6" xfId="10572" xr:uid="{CE1E8C4D-637D-4F37-ACF6-B16B25EEACBC}"/>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2 2 2" xfId="19088" xr:uid="{2A7DC5A7-5ACE-4EFB-AC24-4B859EF609E8}"/>
    <cellStyle name="Comma 3 2 2 4 2 2 3" xfId="10879" xr:uid="{CF1C2298-59B6-4AF9-B177-431D51CC50B3}"/>
    <cellStyle name="Comma 3 2 2 4 2 3" xfId="9998" xr:uid="{DA03AC9D-B53B-459E-9EA3-0B87E0780751}"/>
    <cellStyle name="Comma 3 2 2 4 2 3 2" xfId="18872" xr:uid="{CD573665-7234-4315-BD84-6491067FFE2B}"/>
    <cellStyle name="Comma 3 2 2 4 2 4" xfId="10663" xr:uid="{25695A5D-C2BB-4569-B2D6-F44DD385B340}"/>
    <cellStyle name="Comma 3 2 2 4 3" xfId="1336" xr:uid="{FB320D77-A77A-483A-B1A7-18CA5730CE0B}"/>
    <cellStyle name="Comma 3 2 2 4 3 2" xfId="1552" xr:uid="{C8740A04-514D-429A-8773-A6B55C9D9E07}"/>
    <cellStyle name="Comma 3 2 2 4 3 2 2" xfId="10286" xr:uid="{E534059B-4021-47B1-A729-75A3FA8B9DA5}"/>
    <cellStyle name="Comma 3 2 2 4 3 2 2 2" xfId="19160" xr:uid="{38C2AF34-A7C1-4D40-BBCE-6F332703E105}"/>
    <cellStyle name="Comma 3 2 2 4 3 2 3" xfId="10951" xr:uid="{433B0411-545C-47FF-B8D5-023B91C51442}"/>
    <cellStyle name="Comma 3 2 2 4 3 3" xfId="10070" xr:uid="{9146B674-0334-4148-8F74-E8F657CF9E60}"/>
    <cellStyle name="Comma 3 2 2 4 3 3 2" xfId="18944" xr:uid="{B6431696-9237-458E-A21D-052576FC336A}"/>
    <cellStyle name="Comma 3 2 2 4 3 4" xfId="10735" xr:uid="{DC0B3E08-83F1-4F8F-AF71-260DDDACB2BC}"/>
    <cellStyle name="Comma 3 2 2 4 4" xfId="1408" xr:uid="{77215424-E8B2-4FE6-9BE9-B150E610CE3E}"/>
    <cellStyle name="Comma 3 2 2 4 4 2" xfId="10142" xr:uid="{B0419612-9F9A-4736-82EA-9BDB7D2B61E0}"/>
    <cellStyle name="Comma 3 2 2 4 4 2 2" xfId="19016" xr:uid="{24E2BB08-2587-482F-A628-1293A166340A}"/>
    <cellStyle name="Comma 3 2 2 4 4 3" xfId="10807" xr:uid="{8D30D20B-3F49-4244-AA19-BBB8F3A4DEBB}"/>
    <cellStyle name="Comma 3 2 2 4 5" xfId="9926" xr:uid="{1DA164B5-ED6A-436E-8936-C6AC1A999B6F}"/>
    <cellStyle name="Comma 3 2 2 4 5 2" xfId="18800" xr:uid="{664175A0-7493-4393-B1DB-E1759DA46333}"/>
    <cellStyle name="Comma 3 2 2 4 6" xfId="10591" xr:uid="{A8B39227-B8E2-4423-9750-1488DE446F43}"/>
    <cellStyle name="Comma 3 2 2 5" xfId="1228" xr:uid="{0B2A1B3E-0FD9-4A56-A13B-4FC65F58A2B8}"/>
    <cellStyle name="Comma 3 2 2 5 2" xfId="1454" xr:uid="{64590D27-11B0-4FE0-98F5-987CAD25E919}"/>
    <cellStyle name="Comma 3 2 2 5 2 2" xfId="10188" xr:uid="{FF7B50B7-97F8-4EA1-888C-6765C97248CD}"/>
    <cellStyle name="Comma 3 2 2 5 2 2 2" xfId="19062" xr:uid="{4B732418-957A-4C99-AD9E-FD2D5F6A2E0F}"/>
    <cellStyle name="Comma 3 2 2 5 2 3" xfId="10853" xr:uid="{FFE5423B-6F0A-427E-A57C-0CB36888FB13}"/>
    <cellStyle name="Comma 3 2 2 5 3" xfId="9972" xr:uid="{0C333050-CA07-4C8C-82B6-11065587A24C}"/>
    <cellStyle name="Comma 3 2 2 5 3 2" xfId="18846" xr:uid="{C57187FB-2EE6-4743-8487-18DFEAA276D6}"/>
    <cellStyle name="Comma 3 2 2 5 4" xfId="10637" xr:uid="{9B4A4054-7E27-432A-AF03-99EDF4285674}"/>
    <cellStyle name="Comma 3 2 2 6" xfId="1310" xr:uid="{36762007-3103-4912-824A-5CDFD75E9D08}"/>
    <cellStyle name="Comma 3 2 2 6 2" xfId="1526" xr:uid="{5EF044B3-2F9A-41CA-A805-449EFBB94987}"/>
    <cellStyle name="Comma 3 2 2 6 2 2" xfId="10260" xr:uid="{68B63227-748C-417F-A8B1-5174BD81D0D2}"/>
    <cellStyle name="Comma 3 2 2 6 2 2 2" xfId="19134" xr:uid="{0FD0ECDC-D72E-4412-9E6B-2787305CE056}"/>
    <cellStyle name="Comma 3 2 2 6 2 3" xfId="10925" xr:uid="{9B141493-73C7-4F3E-A0FF-7DF3272B9355}"/>
    <cellStyle name="Comma 3 2 2 6 3" xfId="10044" xr:uid="{D176F31A-14F6-4B01-9E73-E61B51712491}"/>
    <cellStyle name="Comma 3 2 2 6 3 2" xfId="18918" xr:uid="{2CAC6B6E-3A0E-4D66-BD89-34542BF25895}"/>
    <cellStyle name="Comma 3 2 2 6 4" xfId="10709" xr:uid="{85B3BD96-97F3-49BD-8A31-AF90F74484FC}"/>
    <cellStyle name="Comma 3 2 2 7" xfId="1382" xr:uid="{FD3129B4-A778-4779-A6C6-0559A781C9CD}"/>
    <cellStyle name="Comma 3 2 2 7 2" xfId="10116" xr:uid="{7F1BC2B7-8D03-4EFA-9062-2EF197FAFAFD}"/>
    <cellStyle name="Comma 3 2 2 7 2 2" xfId="18990" xr:uid="{2F89C828-941C-41D9-AC7C-1C5DD8F902D4}"/>
    <cellStyle name="Comma 3 2 2 7 3" xfId="10781" xr:uid="{75462F29-CD00-440B-A2D9-2E7D0A35BB6B}"/>
    <cellStyle name="Comma 3 2 2 8" xfId="9900" xr:uid="{8B6E7ECD-4374-4422-90E5-63B60B6B5D37}"/>
    <cellStyle name="Comma 3 2 2 8 2" xfId="18774" xr:uid="{086E79F8-B3E3-43B5-B7E1-3D21256130E9}"/>
    <cellStyle name="Comma 3 2 2 9" xfId="1047" xr:uid="{C707F685-979D-4421-BAE1-410036A5ACCF}"/>
    <cellStyle name="Comma 3 2 2 9 2" xfId="10565" xr:uid="{BC7AC231-BFFB-4076-A4A2-B67D0E1D39AD}"/>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 5 4" xfId="10505" xr:uid="{0230FFD9-B1D4-4B45-B8E4-20E9673D9EBC}"/>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3 2" xfId="10520" xr:uid="{93B11626-2796-4205-B39C-56EC92A2B31F}"/>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2 2 2" xfId="19064" xr:uid="{7AD47EF4-3BB4-46F6-A723-5507E115558A}"/>
    <cellStyle name="Comma 4 3 2 2 2 3" xfId="10855" xr:uid="{ED384174-122D-471F-A4FC-2E4B381412F2}"/>
    <cellStyle name="Comma 4 3 2 2 3" xfId="9974" xr:uid="{6CD4F0DF-4E23-4CF1-B158-BC540E0C6386}"/>
    <cellStyle name="Comma 4 3 2 2 3 2" xfId="18848" xr:uid="{147008C7-8149-44B7-A7E6-3C922ECA7A97}"/>
    <cellStyle name="Comma 4 3 2 2 4" xfId="10639" xr:uid="{2EC2DE79-4E8D-4F92-9884-72AE8FBF12C8}"/>
    <cellStyle name="Comma 4 3 2 3" xfId="1312" xr:uid="{8DE7F4FC-B442-4ABC-9B51-D7FB98E62D47}"/>
    <cellStyle name="Comma 4 3 2 3 2" xfId="1528" xr:uid="{161ACF20-D06A-4E6F-9CBA-7CA20DAB7D78}"/>
    <cellStyle name="Comma 4 3 2 3 2 2" xfId="10262" xr:uid="{43F7B534-5A7F-4921-86A8-2DF3FC2F0DD3}"/>
    <cellStyle name="Comma 4 3 2 3 2 2 2" xfId="19136" xr:uid="{39A16342-4443-41A2-9A41-865C30D370C7}"/>
    <cellStyle name="Comma 4 3 2 3 2 3" xfId="10927" xr:uid="{445DD133-F05E-4CC3-A31A-A623E5C931A4}"/>
    <cellStyle name="Comma 4 3 2 3 3" xfId="10046" xr:uid="{5831DE8F-2A41-4C18-B524-E3ABF4E6AA82}"/>
    <cellStyle name="Comma 4 3 2 3 3 2" xfId="18920" xr:uid="{53B2F3DE-D287-4244-8FC8-657FD024B601}"/>
    <cellStyle name="Comma 4 3 2 3 4" xfId="10711" xr:uid="{0D0453A3-5DBE-43B5-9894-7D766E8BC7B9}"/>
    <cellStyle name="Comma 4 3 2 4" xfId="1384" xr:uid="{08A29A3B-E54B-47A6-9197-B65F60780A6A}"/>
    <cellStyle name="Comma 4 3 2 4 2" xfId="10118" xr:uid="{4E51BF31-8537-4BB6-B4C0-8020D8940248}"/>
    <cellStyle name="Comma 4 3 2 4 2 2" xfId="18992" xr:uid="{9629863E-2692-4948-9091-A4A95C5B3535}"/>
    <cellStyle name="Comma 4 3 2 4 3" xfId="10783" xr:uid="{22C3CC02-D229-401D-A94C-16FD53182C1D}"/>
    <cellStyle name="Comma 4 3 2 5" xfId="9902" xr:uid="{D11B3CB9-58AE-4B26-9129-417DA967FCDD}"/>
    <cellStyle name="Comma 4 3 2 5 2" xfId="18776" xr:uid="{97747930-80F8-49DE-BC80-771C9688DC4C}"/>
    <cellStyle name="Comma 4 3 2 6" xfId="10567" xr:uid="{F6B21235-8869-43FF-98AE-9E3DDDAE110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2 2 2" xfId="19070" xr:uid="{DD576FFC-CBBE-45E6-9CA1-BA279BC0E5E5}"/>
    <cellStyle name="Comma 4 3 3 2 2 3" xfId="10861" xr:uid="{A54A2814-90B2-46C6-8713-C7B46139F5A3}"/>
    <cellStyle name="Comma 4 3 3 2 3" xfId="9980" xr:uid="{F8457857-5EFF-474B-B798-30689388C05E}"/>
    <cellStyle name="Comma 4 3 3 2 3 2" xfId="18854" xr:uid="{A61CCB99-A67E-403C-8CEE-FECDF68B93B5}"/>
    <cellStyle name="Comma 4 3 3 2 4" xfId="10645" xr:uid="{9DEA1713-22E1-4357-8C44-21706B04A785}"/>
    <cellStyle name="Comma 4 3 3 3" xfId="1318" xr:uid="{1768F777-8D1D-4538-B7D4-7A54C0AB42AA}"/>
    <cellStyle name="Comma 4 3 3 3 2" xfId="1534" xr:uid="{2B9DBDE2-44B5-4A29-9FA6-63629BA0E9FE}"/>
    <cellStyle name="Comma 4 3 3 3 2 2" xfId="10268" xr:uid="{2A378B0E-DBCF-4D61-8839-1418C34989FD}"/>
    <cellStyle name="Comma 4 3 3 3 2 2 2" xfId="19142" xr:uid="{4EDF5700-A77B-4C7B-B296-4650E6BB2FCB}"/>
    <cellStyle name="Comma 4 3 3 3 2 3" xfId="10933" xr:uid="{0B0B4137-0473-4B65-A3BB-D6616CDA5666}"/>
    <cellStyle name="Comma 4 3 3 3 3" xfId="10052" xr:uid="{602A57DF-9B24-45E1-AC98-DDC5879285B4}"/>
    <cellStyle name="Comma 4 3 3 3 3 2" xfId="18926" xr:uid="{A90AB05F-84A4-42AF-A1C2-04BC2DAD8D0B}"/>
    <cellStyle name="Comma 4 3 3 3 4" xfId="10717" xr:uid="{389198F9-2636-478E-9789-423744C96735}"/>
    <cellStyle name="Comma 4 3 3 4" xfId="1390" xr:uid="{9487B0E0-A952-4C5C-AE64-6376DFBF65FE}"/>
    <cellStyle name="Comma 4 3 3 4 2" xfId="10124" xr:uid="{9542F101-8C22-4B9B-9AC1-769189323F86}"/>
    <cellStyle name="Comma 4 3 3 4 2 2" xfId="18998" xr:uid="{9E6E9676-136D-4BA5-A113-101937AF9BDC}"/>
    <cellStyle name="Comma 4 3 3 4 3" xfId="10789" xr:uid="{09C70187-5080-4611-9032-43030A385412}"/>
    <cellStyle name="Comma 4 3 3 5" xfId="9908" xr:uid="{19FD1C85-A523-4952-B09C-6EB65BEDC736}"/>
    <cellStyle name="Comma 4 3 3 5 2" xfId="18782" xr:uid="{5352C53A-81DB-4490-B786-98753C11CFFB}"/>
    <cellStyle name="Comma 4 3 3 6" xfId="10573" xr:uid="{09217B58-A1BA-4A2D-91A6-56B22A8848BD}"/>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2 2 2" xfId="19089" xr:uid="{EB60A3BD-816E-4F15-A21E-76F4798B2566}"/>
    <cellStyle name="Comma 4 3 4 2 2 3" xfId="10880" xr:uid="{C3D9DDFA-8167-49DA-ABB6-D7BBE641F7B1}"/>
    <cellStyle name="Comma 4 3 4 2 3" xfId="9999" xr:uid="{5C7E55F1-60C2-40D1-A6B4-E18F7D1BAAF6}"/>
    <cellStyle name="Comma 4 3 4 2 3 2" xfId="18873" xr:uid="{ED333D51-0F0B-4CEB-821F-F5A0CE37EEAD}"/>
    <cellStyle name="Comma 4 3 4 2 4" xfId="10664" xr:uid="{A5FD8870-7F1B-4458-B4D5-3D1704474B58}"/>
    <cellStyle name="Comma 4 3 4 3" xfId="1337" xr:uid="{0890E0E0-56A9-4229-AB56-95244ECCDEED}"/>
    <cellStyle name="Comma 4 3 4 3 2" xfId="1553" xr:uid="{D01CF7E0-59E7-4853-9EAC-E8E52F687CEA}"/>
    <cellStyle name="Comma 4 3 4 3 2 2" xfId="10287" xr:uid="{92666BA5-699B-4C53-9301-A73686824639}"/>
    <cellStyle name="Comma 4 3 4 3 2 2 2" xfId="19161" xr:uid="{D3F22605-BDA0-4521-9930-80171A23D448}"/>
    <cellStyle name="Comma 4 3 4 3 2 3" xfId="10952" xr:uid="{C0CD8D63-41AB-4BEA-B0AD-50245D1132EF}"/>
    <cellStyle name="Comma 4 3 4 3 3" xfId="10071" xr:uid="{4F820AF4-C2C2-4EC8-A8CF-3F8B86995E1B}"/>
    <cellStyle name="Comma 4 3 4 3 3 2" xfId="18945" xr:uid="{64B2E58C-081B-4FA7-923C-3FB9D3078D7E}"/>
    <cellStyle name="Comma 4 3 4 3 4" xfId="10736" xr:uid="{4BA69551-2589-4A5B-8C08-5F4D7803D531}"/>
    <cellStyle name="Comma 4 3 4 4" xfId="1409" xr:uid="{5619BBA9-2E3D-45D7-8F9E-B08EF7C9B380}"/>
    <cellStyle name="Comma 4 3 4 4 2" xfId="10143" xr:uid="{914022CE-C0E8-4DE5-A66B-01581E4BE8D8}"/>
    <cellStyle name="Comma 4 3 4 4 2 2" xfId="19017" xr:uid="{8D8F088D-0915-4EDF-AC77-AD5403A77225}"/>
    <cellStyle name="Comma 4 3 4 4 3" xfId="10808" xr:uid="{9E1407C8-FB50-47B8-BBA4-A533836A8CD4}"/>
    <cellStyle name="Comma 4 3 4 5" xfId="9927" xr:uid="{42E6FB74-7A40-4474-8821-E175F146EB8A}"/>
    <cellStyle name="Comma 4 3 4 5 2" xfId="18801" xr:uid="{BED32E49-1496-4138-A46A-D2974B86F05F}"/>
    <cellStyle name="Comma 4 3 4 6" xfId="10592" xr:uid="{5746F555-9CD1-4A33-8D1C-FDE933D0E9EC}"/>
    <cellStyle name="Comma 4 3 5" xfId="1227" xr:uid="{9B134DD9-8930-4362-A065-F5E62FFEE02D}"/>
    <cellStyle name="Comma 4 3 5 2" xfId="1453" xr:uid="{4571931B-6589-4465-B408-0C7836CD244F}"/>
    <cellStyle name="Comma 4 3 5 2 2" xfId="10187" xr:uid="{12D8DBB2-7520-4FA3-9166-5C18331FB305}"/>
    <cellStyle name="Comma 4 3 5 2 2 2" xfId="19061" xr:uid="{31EFC49A-1DAA-4032-8225-6F7C8DDF3514}"/>
    <cellStyle name="Comma 4 3 5 2 3" xfId="10852" xr:uid="{69C87B74-D5CA-420C-9F35-93AAE7D7AE14}"/>
    <cellStyle name="Comma 4 3 5 3" xfId="9971" xr:uid="{A5D7821D-6E97-49C7-8274-B381E3FCBC02}"/>
    <cellStyle name="Comma 4 3 5 3 2" xfId="18845" xr:uid="{301578EC-F488-43DB-8E77-B80287BB198A}"/>
    <cellStyle name="Comma 4 3 5 4" xfId="10636" xr:uid="{4B0AE6A8-3C27-46BC-BB56-7E235C7E1FCF}"/>
    <cellStyle name="Comma 4 3 6" xfId="1309" xr:uid="{787CEC63-93B1-4C7A-B601-EAA58578BB54}"/>
    <cellStyle name="Comma 4 3 6 2" xfId="1525" xr:uid="{BF892CBD-404C-4CE8-9FF3-4A3C0949C705}"/>
    <cellStyle name="Comma 4 3 6 2 2" xfId="10259" xr:uid="{802B5C01-9BE1-430F-B6B5-BD949432A674}"/>
    <cellStyle name="Comma 4 3 6 2 2 2" xfId="19133" xr:uid="{E457E624-B629-4781-ACCB-3F7FB0C1766D}"/>
    <cellStyle name="Comma 4 3 6 2 3" xfId="10924" xr:uid="{2D13CEF5-D101-40AA-A041-C64A536FE0B6}"/>
    <cellStyle name="Comma 4 3 6 3" xfId="10043" xr:uid="{77D9CF94-DA4C-40B9-AFF5-CA1A8266A0F0}"/>
    <cellStyle name="Comma 4 3 6 3 2" xfId="18917" xr:uid="{057FA1AE-EBD9-4AF7-9817-F5CECC4F6EF7}"/>
    <cellStyle name="Comma 4 3 6 4" xfId="10708" xr:uid="{F5393CAD-74E2-4F6C-B89B-74FDE9568BA3}"/>
    <cellStyle name="Comma 4 3 7" xfId="1381" xr:uid="{D2C2A620-87C7-48F0-B32C-B55B65784B4A}"/>
    <cellStyle name="Comma 4 3 7 2" xfId="10115" xr:uid="{FB08E8BF-973A-4A94-8B08-D7DF8C8A2145}"/>
    <cellStyle name="Comma 4 3 7 2 2" xfId="18989" xr:uid="{8AADF5CE-68FB-4D85-AC08-A5FA8D63F218}"/>
    <cellStyle name="Comma 4 3 7 3" xfId="10780" xr:uid="{B378295A-7609-4809-86A5-18E5F731AFD0}"/>
    <cellStyle name="Comma 4 3 8" xfId="9899" xr:uid="{33E11296-9914-4B7E-AE13-CD48E59EEC50}"/>
    <cellStyle name="Comma 4 3 8 2" xfId="18773" xr:uid="{890DBC0D-1834-4BA5-9ADA-895A54B917FF}"/>
    <cellStyle name="Comma 4 3 9" xfId="1035" xr:uid="{BE51CF06-A070-427F-9F67-6FC3D146FF2B}"/>
    <cellStyle name="Comma 4 3 9 2" xfId="10564" xr:uid="{B7491D5E-B653-440D-A422-4DFBA9FE7E4B}"/>
    <cellStyle name="Comma 4 4" xfId="220" xr:uid="{00000000-0005-0000-0000-0000E6000000}"/>
    <cellStyle name="Comma 4 4 2" xfId="1840" xr:uid="{73D69EF9-B41D-40EC-A29B-DAF70928BEE3}"/>
    <cellStyle name="Comma 4 5" xfId="548" xr:uid="{84F30EEE-09E8-4BED-A999-EDDAB2A456D4}"/>
    <cellStyle name="Comma 4 5 2" xfId="10516" xr:uid="{210B2E68-C8D3-4F46-9725-B8710FF3943B}"/>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0 2 2" xfId="10499" xr:uid="{F2533BD4-7450-494C-814F-2CB1FB03966B}"/>
    <cellStyle name="Comma 5 10 3" xfId="10417" xr:uid="{B3F886D0-97A1-41E6-AE70-F40BD01227E6}"/>
    <cellStyle name="Comma 5 11" xfId="440" xr:uid="{00000000-0005-0000-0000-0000EA000000}"/>
    <cellStyle name="Comma 5 11 2" xfId="10422" xr:uid="{CDC16673-4DCE-47A1-9F9E-FFF8DA959DE9}"/>
    <cellStyle name="Comma 5 12" xfId="10340" xr:uid="{F6A452D9-45B9-440D-BE6A-C04915B3D09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4 2 2" xfId="10458" xr:uid="{3C8EF94F-8EC9-4264-8CDC-EE61A6EF8653}"/>
    <cellStyle name="Comma 5 2 4 3" xfId="10376" xr:uid="{B0E1FC8F-93CA-4052-93FD-49F224205C8F}"/>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2 3 2" xfId="10459" xr:uid="{A713B00A-C386-46DB-B918-D952244FC51E}"/>
    <cellStyle name="Comma 5 3 2 4" xfId="10377" xr:uid="{FD85D1F6-6085-4F49-BD01-666E118B0723}"/>
    <cellStyle name="Comma 5 3 3" xfId="230" xr:uid="{00000000-0005-0000-0000-0000F6000000}"/>
    <cellStyle name="Comma 5 3 3 2" xfId="478" xr:uid="{00000000-0005-0000-0000-0000F7000000}"/>
    <cellStyle name="Comma 5 3 3 2 2" xfId="10460" xr:uid="{8AFA053B-F39C-4EF3-A64A-B9585012B386}"/>
    <cellStyle name="Comma 5 3 3 3" xfId="10378" xr:uid="{897B809A-FEFE-4A1B-B610-95E8A0D852D8}"/>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5 3 2" xfId="10461" xr:uid="{C32DD955-076C-4174-A45D-1A8FCB629038}"/>
    <cellStyle name="Comma 5 5 4" xfId="10379" xr:uid="{A4E95738-DDD4-4A21-86F9-F29085EBFE29}"/>
    <cellStyle name="Comma 5 6" xfId="235" xr:uid="{00000000-0005-0000-0000-0000FD000000}"/>
    <cellStyle name="Comma 5 6 2" xfId="480" xr:uid="{00000000-0005-0000-0000-0000FE000000}"/>
    <cellStyle name="Comma 5 6 2 2" xfId="10462" xr:uid="{FBD09822-60F3-4AB4-81F3-B20CAF7FD97E}"/>
    <cellStyle name="Comma 5 6 3" xfId="10380" xr:uid="{A81E7E7B-E8A8-419E-994C-FBB3824271F1}"/>
    <cellStyle name="Comma 5 7" xfId="236" xr:uid="{00000000-0005-0000-0000-0000FF000000}"/>
    <cellStyle name="Comma 5 8" xfId="411" xr:uid="{00000000-0005-0000-0000-000000010000}"/>
    <cellStyle name="Comma 5 8 2" xfId="501" xr:uid="{00000000-0005-0000-0000-000001010000}"/>
    <cellStyle name="Comma 5 8 2 2" xfId="10482" xr:uid="{2A15A24A-5443-43C1-AE83-9683DFDB6325}"/>
    <cellStyle name="Comma 5 8 3" xfId="10400" xr:uid="{6EFD1D53-F256-4D35-A040-4533782A3C47}"/>
    <cellStyle name="Comma 5 9" xfId="427" xr:uid="{00000000-0005-0000-0000-000002010000}"/>
    <cellStyle name="Comma 5 9 2" xfId="513" xr:uid="{00000000-0005-0000-0000-000003010000}"/>
    <cellStyle name="Comma 5 9 2 2" xfId="10494" xr:uid="{1664E4BB-1711-4578-80F7-0450AD123921}"/>
    <cellStyle name="Comma 5 9 3" xfId="10412" xr:uid="{5F5E9AE2-4323-4150-B06F-A6B60C608B9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2 2" xfId="10484" xr:uid="{B14C065D-5924-45AD-BC67-1AEA3C0ECC43}"/>
    <cellStyle name="Comma 6 3 3" xfId="1113" xr:uid="{741E3FDD-4D9C-427C-81E4-420B2D5CADED}"/>
    <cellStyle name="Comma 6 3 4" xfId="10402" xr:uid="{59C49F0E-5846-474D-80C3-7621B53E2BC4}"/>
    <cellStyle name="Comma 6 4" xfId="429" xr:uid="{00000000-0005-0000-0000-000008010000}"/>
    <cellStyle name="Comma 6 4 2" xfId="515" xr:uid="{00000000-0005-0000-0000-000009010000}"/>
    <cellStyle name="Comma 6 4 2 2" xfId="10496" xr:uid="{3572CAF2-986F-48DE-B03A-EC0FB2B5CA2A}"/>
    <cellStyle name="Comma 6 4 3" xfId="10414" xr:uid="{22185871-7B4E-41A1-83BC-C3C100D7B241}"/>
    <cellStyle name="Comma 6 5" xfId="435" xr:uid="{00000000-0005-0000-0000-00000A010000}"/>
    <cellStyle name="Comma 6 5 2" xfId="520" xr:uid="{00000000-0005-0000-0000-00000B010000}"/>
    <cellStyle name="Comma 6 5 2 2" xfId="10501" xr:uid="{CC8EB8C7-B016-4884-B062-A752A46CF9E7}"/>
    <cellStyle name="Comma 6 5 3" xfId="10419" xr:uid="{380A10F7-87ED-4E93-B004-32A394D85988}"/>
    <cellStyle name="Comma 6 6" xfId="442" xr:uid="{00000000-0005-0000-0000-00000C010000}"/>
    <cellStyle name="Comma 6 6 2" xfId="10424" xr:uid="{B70455CC-A2D7-4520-B48A-B168910CB2C2}"/>
    <cellStyle name="Comma 6 7" xfId="10342" xr:uid="{C9E6974A-BDB8-4842-9381-F2D86838C4C9}"/>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 4 2" xfId="10426" xr:uid="{F66ED0A1-465F-47E1-81ED-275F13C49090}"/>
    <cellStyle name="Comma 7 5" xfId="10344" xr:uid="{74EE6098-DA91-44E9-BA72-F60AC1D55DD6}"/>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6 2" xfId="19169" xr:uid="{CA7414FE-2075-4113-8323-3BA7A0756DD4}"/>
    <cellStyle name="Comma 87" xfId="10336" xr:uid="{7B5589C1-4FA8-4A8E-B5E6-28BC76ED0546}"/>
    <cellStyle name="Comma 87 2" xfId="19171" xr:uid="{7C7D8872-3EED-4AF6-904A-9FFEA212B7DA}"/>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2 2 2" xfId="10510" xr:uid="{D79FE14D-0F96-4A76-9C20-26D832FD5522}"/>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2 2 2" xfId="10522" xr:uid="{C128B74F-FFC3-4CEF-ABA0-5B98C5D8F06E}"/>
    <cellStyle name="Currency 3 3" xfId="544" xr:uid="{AAEBFF09-FAA6-4714-8747-2EF9921A4CF3}"/>
    <cellStyle name="Currency 3 3 2" xfId="1095" xr:uid="{B6E07074-A383-42E2-A095-F3F6DA7943E2}"/>
    <cellStyle name="Currency 3 3 3" xfId="10514" xr:uid="{B48FED50-8C26-462D-AE57-74E9995440E7}"/>
    <cellStyle name="Currency 3 4" xfId="531" xr:uid="{39C3871A-A2FF-482D-9919-6FAD2605418A}"/>
    <cellStyle name="Currency 3 4 2" xfId="1096" xr:uid="{30090EC2-EFFA-4DF7-AC94-8D84CD823CF4}"/>
    <cellStyle name="Currency 3 4 3" xfId="10504" xr:uid="{A246EAA4-1383-4BE4-8D10-538CC5F25AC9}"/>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2 2" xfId="11051" xr:uid="{2902740E-E8A6-499B-A410-C65E9A9B58FA}"/>
    <cellStyle name="Currency 4 10 2 3" xfId="1851" xr:uid="{15ECAE87-505A-448C-A9F7-FB056B49775D}"/>
    <cellStyle name="Currency 4 10 2 3 2" xfId="11052" xr:uid="{DA29F28D-5B89-476F-B54E-DE773B776CB8}"/>
    <cellStyle name="Currency 4 10 2 4" xfId="11050" xr:uid="{0928466C-7CBB-47EF-BAC8-04C4383A1CF2}"/>
    <cellStyle name="Currency 4 10 3" xfId="1852" xr:uid="{D7516A18-0C56-486D-A498-1BE359EF5E1F}"/>
    <cellStyle name="Currency 4 10 3 2" xfId="11053" xr:uid="{9CAA6CAA-769C-4CA6-AEF9-6ED6B01EB5B0}"/>
    <cellStyle name="Currency 4 10 4" xfId="1853" xr:uid="{3F3CFA3E-3E30-4914-8004-38B2A086072E}"/>
    <cellStyle name="Currency 4 10 4 2" xfId="11054" xr:uid="{58169B83-4B97-415E-8602-4B2C28B41079}"/>
    <cellStyle name="Currency 4 10 5" xfId="1854" xr:uid="{73652689-DC6B-4F71-A8B6-19A4F1A7C88E}"/>
    <cellStyle name="Currency 4 10 5 2" xfId="11055" xr:uid="{BECDC5FD-FA91-4248-AED2-899854CB92DF}"/>
    <cellStyle name="Currency 4 10 6" xfId="11049" xr:uid="{DE56A40E-2A48-4A14-BB4E-FB3B7CB56B44}"/>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2 2" xfId="11058" xr:uid="{545BEF17-D7A4-4E1C-8EDE-CD2D42EFB466}"/>
    <cellStyle name="Currency 4 2 10 3" xfId="1859" xr:uid="{6DC4F299-A474-43F0-A5C9-09425F43DFBF}"/>
    <cellStyle name="Currency 4 2 10 3 2" xfId="11059" xr:uid="{DB602B5C-F007-423A-BBD2-EEAC38E45827}"/>
    <cellStyle name="Currency 4 2 10 4" xfId="11057" xr:uid="{A356CC61-FC3D-42B1-AE3F-4C9302DE8FEE}"/>
    <cellStyle name="Currency 4 2 11" xfId="1860" xr:uid="{A89A9C54-4E44-4499-9CAA-30F7C91C7E0B}"/>
    <cellStyle name="Currency 4 2 11 2" xfId="11060" xr:uid="{DFBB2F97-B11E-48FA-934F-EBBE3CC7DE52}"/>
    <cellStyle name="Currency 4 2 12" xfId="1861" xr:uid="{222F0FBC-C32A-4D91-B04C-DD83EFE21A07}"/>
    <cellStyle name="Currency 4 2 12 2" xfId="11061" xr:uid="{C9974411-0F12-4497-B474-ABDA6E4F1A4B}"/>
    <cellStyle name="Currency 4 2 13" xfId="1862" xr:uid="{B07402B1-A073-431E-A89B-584339A45D5A}"/>
    <cellStyle name="Currency 4 2 13 2" xfId="11062" xr:uid="{0F3ED815-6248-4FB5-8B14-EB81776CC2DB}"/>
    <cellStyle name="Currency 4 2 14" xfId="1856" xr:uid="{05B803C6-01B8-4923-B125-EAEC9FE862DC}"/>
    <cellStyle name="Currency 4 2 14 2" xfId="11056" xr:uid="{4D77C696-E13E-4C85-B3D1-415F0EBE2616}"/>
    <cellStyle name="Currency 4 2 2" xfId="1863" xr:uid="{25F76D8E-6680-4E32-B9D6-C4B0524CBA73}"/>
    <cellStyle name="Currency 4 2 2 10" xfId="11063" xr:uid="{2DF5A332-31BA-4D6E-A391-C977EBC681BC}"/>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2 2" xfId="11068" xr:uid="{4B4911BD-1777-4D6A-B77D-E186F765B203}"/>
    <cellStyle name="Currency 4 2 2 2 2 2 2 3" xfId="1869" xr:uid="{48A31485-CCA4-4423-8AEB-D27326A49084}"/>
    <cellStyle name="Currency 4 2 2 2 2 2 2 3 2" xfId="11069" xr:uid="{2BA0534F-260E-46E1-B816-15A8303C4CFF}"/>
    <cellStyle name="Currency 4 2 2 2 2 2 2 4" xfId="11067" xr:uid="{86D7785A-9158-4CF1-8753-66C15D8F1533}"/>
    <cellStyle name="Currency 4 2 2 2 2 2 3" xfId="1870" xr:uid="{ED23B45A-4B44-4B0E-8C14-4DAEF705D6F0}"/>
    <cellStyle name="Currency 4 2 2 2 2 2 3 2" xfId="11070" xr:uid="{D7AF11EE-8153-4ADD-B38C-DAFDCD851153}"/>
    <cellStyle name="Currency 4 2 2 2 2 2 4" xfId="1871" xr:uid="{DA508579-A336-4CD9-BD37-A1B5DD2C531F}"/>
    <cellStyle name="Currency 4 2 2 2 2 2 4 2" xfId="11071" xr:uid="{E54C9786-F7D9-4554-AD05-D139DBE0E839}"/>
    <cellStyle name="Currency 4 2 2 2 2 2 5" xfId="1872" xr:uid="{12B0C5DE-5D01-423B-863E-C3CEC6D999BC}"/>
    <cellStyle name="Currency 4 2 2 2 2 2 5 2" xfId="11072" xr:uid="{AD91F5D1-45CA-4841-B0DA-471029B347AB}"/>
    <cellStyle name="Currency 4 2 2 2 2 2 6" xfId="11066" xr:uid="{5E328D3B-0103-40AC-889C-1101A1036399}"/>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2 2" xfId="11075" xr:uid="{86449FE8-0B42-44A6-84BB-C324366D8D04}"/>
    <cellStyle name="Currency 4 2 2 2 2 3 2 3" xfId="1876" xr:uid="{383167C6-B998-4137-89FE-555833B930BA}"/>
    <cellStyle name="Currency 4 2 2 2 2 3 2 3 2" xfId="11076" xr:uid="{67008A39-E67A-46F7-9442-158A98B0F2D9}"/>
    <cellStyle name="Currency 4 2 2 2 2 3 2 4" xfId="11074" xr:uid="{641B066F-3B70-4664-8A3F-449BFB4A0347}"/>
    <cellStyle name="Currency 4 2 2 2 2 3 3" xfId="1877" xr:uid="{100412C1-90B0-4C01-BFF6-C8705CC88399}"/>
    <cellStyle name="Currency 4 2 2 2 2 3 3 2" xfId="11077" xr:uid="{1206BA06-DEC0-484E-9D34-1D9D975810E9}"/>
    <cellStyle name="Currency 4 2 2 2 2 3 4" xfId="1878" xr:uid="{18BA9104-481D-4979-96C3-5054CCA6A129}"/>
    <cellStyle name="Currency 4 2 2 2 2 3 4 2" xfId="11078" xr:uid="{07A90578-7AB9-4869-9B18-260349C9E614}"/>
    <cellStyle name="Currency 4 2 2 2 2 3 5" xfId="1879" xr:uid="{4824C2D7-2F87-4CE4-950A-33D5508CB35C}"/>
    <cellStyle name="Currency 4 2 2 2 2 3 5 2" xfId="11079" xr:uid="{69A515EA-F1D9-43E1-902D-B55F32556511}"/>
    <cellStyle name="Currency 4 2 2 2 2 3 6" xfId="11073" xr:uid="{BC2BA792-C219-4FCC-8A8F-3A1979B90262}"/>
    <cellStyle name="Currency 4 2 2 2 2 4" xfId="1880" xr:uid="{D7CB8E97-2FC2-4F9B-A0BF-602FE02A123A}"/>
    <cellStyle name="Currency 4 2 2 2 2 4 2" xfId="1881" xr:uid="{E72F934A-589A-4170-860B-57245B589C20}"/>
    <cellStyle name="Currency 4 2 2 2 2 4 2 2" xfId="11081" xr:uid="{6532C478-5634-4FA0-A57B-F544D82D1384}"/>
    <cellStyle name="Currency 4 2 2 2 2 4 3" xfId="1882" xr:uid="{21AB63F7-4F74-40A8-AD79-0253563B6554}"/>
    <cellStyle name="Currency 4 2 2 2 2 4 3 2" xfId="11082" xr:uid="{883F125A-A53E-4A5E-93FC-8487E22ED8EB}"/>
    <cellStyle name="Currency 4 2 2 2 2 4 4" xfId="11080" xr:uid="{224AC44F-A22E-422C-9A68-279A8E0C07D0}"/>
    <cellStyle name="Currency 4 2 2 2 2 5" xfId="1883" xr:uid="{825DDBFD-E766-4585-B1E8-88E7A7F218E1}"/>
    <cellStyle name="Currency 4 2 2 2 2 5 2" xfId="11083" xr:uid="{F6A2233D-642A-4782-A657-6B468690B208}"/>
    <cellStyle name="Currency 4 2 2 2 2 6" xfId="1884" xr:uid="{ECC2F1F7-D79D-42C3-B360-19BED4A7EC19}"/>
    <cellStyle name="Currency 4 2 2 2 2 6 2" xfId="11084" xr:uid="{8A88ABFC-0481-4222-81A6-6617343FBB63}"/>
    <cellStyle name="Currency 4 2 2 2 2 7" xfId="1885" xr:uid="{B3C0105E-68A9-43E2-98D7-3C7CA3B5CBF9}"/>
    <cellStyle name="Currency 4 2 2 2 2 7 2" xfId="11085" xr:uid="{ED4F855E-E5FA-4DB3-B658-AE5EE9E3B84C}"/>
    <cellStyle name="Currency 4 2 2 2 2 8" xfId="11065" xr:uid="{042FD23B-BFF8-415E-83AF-0DCC578ADA73}"/>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2 2" xfId="11088" xr:uid="{0DFC3997-070F-4C17-BEC9-A81790825F53}"/>
    <cellStyle name="Currency 4 2 2 2 3 2 3" xfId="1889" xr:uid="{2F3B29A0-F658-4A21-A220-765333C9652D}"/>
    <cellStyle name="Currency 4 2 2 2 3 2 3 2" xfId="11089" xr:uid="{8776F2CE-2F9C-4C31-BDAE-B50480BE8E6F}"/>
    <cellStyle name="Currency 4 2 2 2 3 2 4" xfId="11087" xr:uid="{1244F73B-CAC1-48F7-A863-7878EBA398F2}"/>
    <cellStyle name="Currency 4 2 2 2 3 3" xfId="1890" xr:uid="{921DA886-50F6-45A5-B867-6CF7483B2093}"/>
    <cellStyle name="Currency 4 2 2 2 3 3 2" xfId="11090" xr:uid="{25531C1F-486D-4411-84A8-75353EDE3D42}"/>
    <cellStyle name="Currency 4 2 2 2 3 4" xfId="1891" xr:uid="{A8986FB9-34CF-4ED7-A59A-7ABA10F82BD0}"/>
    <cellStyle name="Currency 4 2 2 2 3 4 2" xfId="11091" xr:uid="{43029150-28B4-4E2F-A0F1-675BB3BE9E50}"/>
    <cellStyle name="Currency 4 2 2 2 3 5" xfId="1892" xr:uid="{483AFCF6-6934-4C1F-AF57-CFAA537BB287}"/>
    <cellStyle name="Currency 4 2 2 2 3 5 2" xfId="11092" xr:uid="{2A3A6BDA-0A05-43BC-A38D-A54E62C6673E}"/>
    <cellStyle name="Currency 4 2 2 2 3 6" xfId="11086" xr:uid="{6BCC6902-440D-4D3C-A648-3BA8C94C44EB}"/>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2 2" xfId="11095" xr:uid="{9B2C21BC-13CA-4EE4-B17E-6BB1FF712306}"/>
    <cellStyle name="Currency 4 2 2 2 4 2 3" xfId="1896" xr:uid="{151B3F09-E723-4125-BEE7-7959488ACC72}"/>
    <cellStyle name="Currency 4 2 2 2 4 2 3 2" xfId="11096" xr:uid="{E34036E2-68F0-4203-8575-B60997C52258}"/>
    <cellStyle name="Currency 4 2 2 2 4 2 4" xfId="11094" xr:uid="{EDCCF548-E304-4FD9-841F-E6C38906E146}"/>
    <cellStyle name="Currency 4 2 2 2 4 3" xfId="1897" xr:uid="{D9F57AEA-211B-4E33-B52A-3FE5E5170215}"/>
    <cellStyle name="Currency 4 2 2 2 4 3 2" xfId="11097" xr:uid="{A7DC44C5-7663-4591-8A05-C1F1A81E482D}"/>
    <cellStyle name="Currency 4 2 2 2 4 4" xfId="1898" xr:uid="{96ABD380-64E9-43D2-983B-0C9A900BAD5D}"/>
    <cellStyle name="Currency 4 2 2 2 4 4 2" xfId="11098" xr:uid="{CB897B50-6095-44CA-8629-18F369015098}"/>
    <cellStyle name="Currency 4 2 2 2 4 5" xfId="1899" xr:uid="{8C299785-4DEB-4361-9856-653145AE8227}"/>
    <cellStyle name="Currency 4 2 2 2 4 5 2" xfId="11099" xr:uid="{09DAAF14-B991-4A70-A088-D83358B59682}"/>
    <cellStyle name="Currency 4 2 2 2 4 6" xfId="11093" xr:uid="{C9928FED-8AA5-497D-A847-5ED141CF6C78}"/>
    <cellStyle name="Currency 4 2 2 2 5" xfId="1900" xr:uid="{C3ED3A63-D91D-4F5B-A6DC-4718A3364405}"/>
    <cellStyle name="Currency 4 2 2 2 5 2" xfId="1901" xr:uid="{7F8F7FCF-BEEC-42A3-ABA4-01EB37BC6FB2}"/>
    <cellStyle name="Currency 4 2 2 2 5 2 2" xfId="11101" xr:uid="{7ED8127C-AD75-4580-B23C-75E7B6A3CE7C}"/>
    <cellStyle name="Currency 4 2 2 2 5 3" xfId="1902" xr:uid="{0EA6692D-853A-42C4-B762-1010F48D3F02}"/>
    <cellStyle name="Currency 4 2 2 2 5 3 2" xfId="11102" xr:uid="{E934BB27-AA0A-4A9A-8487-025DE84CE1AC}"/>
    <cellStyle name="Currency 4 2 2 2 5 4" xfId="11100" xr:uid="{CE91CF43-A79B-477E-94BC-188589E8281F}"/>
    <cellStyle name="Currency 4 2 2 2 6" xfId="1903" xr:uid="{BF14048C-BEA6-4C0F-8D3C-BDF57AACAF01}"/>
    <cellStyle name="Currency 4 2 2 2 6 2" xfId="11103" xr:uid="{BF02F368-182D-4A44-BB23-037AE9C27245}"/>
    <cellStyle name="Currency 4 2 2 2 7" xfId="1904" xr:uid="{3C751004-A745-4F8E-8370-5D56402815FD}"/>
    <cellStyle name="Currency 4 2 2 2 7 2" xfId="11104" xr:uid="{224DF761-87E9-4C59-A033-E26B73EB965F}"/>
    <cellStyle name="Currency 4 2 2 2 8" xfId="1905" xr:uid="{002202FE-2A0E-413F-B812-16D19B431F07}"/>
    <cellStyle name="Currency 4 2 2 2 8 2" xfId="11105" xr:uid="{66D0314E-FCCC-4262-8A1D-158641636830}"/>
    <cellStyle name="Currency 4 2 2 2 9" xfId="11064" xr:uid="{E39776EA-AF6F-445A-85B2-4A9EB999C8A8}"/>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2 2" xfId="11109" xr:uid="{33394071-9819-4438-A36F-B80CD8D7EFD7}"/>
    <cellStyle name="Currency 4 2 2 3 2 2 3" xfId="1910" xr:uid="{A85CDA41-2AB2-4195-99EA-196DFA4FCD3D}"/>
    <cellStyle name="Currency 4 2 2 3 2 2 3 2" xfId="11110" xr:uid="{5F5284BC-F759-411F-AE3E-955BED511450}"/>
    <cellStyle name="Currency 4 2 2 3 2 2 4" xfId="11108" xr:uid="{B467A8CA-0F90-4D02-87F1-0524E0CBBAEF}"/>
    <cellStyle name="Currency 4 2 2 3 2 3" xfId="1911" xr:uid="{36B611DA-3912-4937-8611-D52C0FB3742B}"/>
    <cellStyle name="Currency 4 2 2 3 2 3 2" xfId="11111" xr:uid="{BCE6B7D5-D31F-44F3-AC31-6DD5D5B4159E}"/>
    <cellStyle name="Currency 4 2 2 3 2 4" xfId="1912" xr:uid="{4D6C3D4C-438B-40B9-B580-D5BB7303FD7B}"/>
    <cellStyle name="Currency 4 2 2 3 2 4 2" xfId="11112" xr:uid="{CBD2E471-9D35-4597-9F9F-356B3571294C}"/>
    <cellStyle name="Currency 4 2 2 3 2 5" xfId="1913" xr:uid="{418F8681-7D74-466E-B15D-D4A4FD2FF261}"/>
    <cellStyle name="Currency 4 2 2 3 2 5 2" xfId="11113" xr:uid="{7ABD799C-8E8C-472A-98F6-07BA71617F68}"/>
    <cellStyle name="Currency 4 2 2 3 2 6" xfId="11107" xr:uid="{F1EC1DB9-57D9-4AAC-B1FE-494F0B5369DB}"/>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2 2" xfId="11116" xr:uid="{6037BB5A-AE82-45CF-8885-595594A53C26}"/>
    <cellStyle name="Currency 4 2 2 3 3 2 3" xfId="1917" xr:uid="{C6B39B70-4082-4693-B45A-51322CC37737}"/>
    <cellStyle name="Currency 4 2 2 3 3 2 3 2" xfId="11117" xr:uid="{C1743C40-1B42-4303-889E-088FFB067633}"/>
    <cellStyle name="Currency 4 2 2 3 3 2 4" xfId="11115" xr:uid="{71337F88-960D-4F48-8D7E-AE4AA75988A9}"/>
    <cellStyle name="Currency 4 2 2 3 3 3" xfId="1918" xr:uid="{6DDC4536-FB84-4699-8524-29B440389D3A}"/>
    <cellStyle name="Currency 4 2 2 3 3 3 2" xfId="11118" xr:uid="{CF681F89-CEF4-42C7-A461-775FA582DCB4}"/>
    <cellStyle name="Currency 4 2 2 3 3 4" xfId="1919" xr:uid="{591DF85D-C9D0-4326-B091-09E8C3736BA7}"/>
    <cellStyle name="Currency 4 2 2 3 3 4 2" xfId="11119" xr:uid="{150F895C-ABE5-4D01-923B-5DA03D249ABE}"/>
    <cellStyle name="Currency 4 2 2 3 3 5" xfId="1920" xr:uid="{6FDC975E-8653-4603-B626-A41C0ACA7F96}"/>
    <cellStyle name="Currency 4 2 2 3 3 5 2" xfId="11120" xr:uid="{1E1BA1F3-592A-4CDF-A35F-79ED129FD38C}"/>
    <cellStyle name="Currency 4 2 2 3 3 6" xfId="11114" xr:uid="{5B8AF162-DBD2-4B52-B4B6-A30149627195}"/>
    <cellStyle name="Currency 4 2 2 3 4" xfId="1921" xr:uid="{8819D434-85C6-4D9E-A1AD-8023F5696512}"/>
    <cellStyle name="Currency 4 2 2 3 4 2" xfId="1922" xr:uid="{B0BAC70A-DE90-4231-ADD0-C307434628ED}"/>
    <cellStyle name="Currency 4 2 2 3 4 2 2" xfId="11122" xr:uid="{DE42C17E-7EE6-4ED7-8F89-DAE07A4C8D6B}"/>
    <cellStyle name="Currency 4 2 2 3 4 3" xfId="1923" xr:uid="{056F34E5-F0C1-449F-ABBB-61ACBD3801FE}"/>
    <cellStyle name="Currency 4 2 2 3 4 3 2" xfId="11123" xr:uid="{4DE0F6CC-6282-4136-95A9-E811658EC214}"/>
    <cellStyle name="Currency 4 2 2 3 4 4" xfId="11121" xr:uid="{E307ABB9-B592-4184-BACE-3E7B2E2B2AE9}"/>
    <cellStyle name="Currency 4 2 2 3 5" xfId="1924" xr:uid="{CD9FA5B6-786D-461B-B4B6-FB1770B005F2}"/>
    <cellStyle name="Currency 4 2 2 3 5 2" xfId="11124" xr:uid="{5C932F1C-9AE2-46DA-A82C-A43DFAD32D53}"/>
    <cellStyle name="Currency 4 2 2 3 6" xfId="1925" xr:uid="{0FE9AD9F-D03B-48A3-8B47-93E0A00D7E92}"/>
    <cellStyle name="Currency 4 2 2 3 6 2" xfId="11125" xr:uid="{08B1834F-7416-448A-8485-F06E3AB54A49}"/>
    <cellStyle name="Currency 4 2 2 3 7" xfId="1926" xr:uid="{598A4ED4-952B-4E40-998B-ED39E7D5A2D9}"/>
    <cellStyle name="Currency 4 2 2 3 7 2" xfId="11126" xr:uid="{21099F66-6BB3-4DFC-ADAF-C2DDD75C71B2}"/>
    <cellStyle name="Currency 4 2 2 3 8" xfId="11106" xr:uid="{0D828586-E49A-4540-8C60-4BB99E707D76}"/>
    <cellStyle name="Currency 4 2 2 4" xfId="1927" xr:uid="{558354C8-9165-43BD-8AD8-89B2F2B6998E}"/>
    <cellStyle name="Currency 4 2 2 4 2" xfId="1928" xr:uid="{5E91C095-C05C-4FBB-9720-2B43A3C40118}"/>
    <cellStyle name="Currency 4 2 2 4 2 2" xfId="1929" xr:uid="{1CEDE939-2544-412C-A1AF-8889DC6C6940}"/>
    <cellStyle name="Currency 4 2 2 4 2 2 2" xfId="11129" xr:uid="{EBD64081-A91A-45D7-B580-4B650FD94061}"/>
    <cellStyle name="Currency 4 2 2 4 2 3" xfId="1930" xr:uid="{DBFCEC89-2A87-48DA-9770-C8E00C04D533}"/>
    <cellStyle name="Currency 4 2 2 4 2 3 2" xfId="11130" xr:uid="{6A3F6ECE-743D-47C9-BA73-3E0A01D640AA}"/>
    <cellStyle name="Currency 4 2 2 4 2 4" xfId="11128" xr:uid="{38C25504-AC6C-427A-BC77-AC7B7143A947}"/>
    <cellStyle name="Currency 4 2 2 4 3" xfId="1931" xr:uid="{C4FAE4BD-DA77-497F-9E67-8A6F8AB8F33A}"/>
    <cellStyle name="Currency 4 2 2 4 3 2" xfId="11131" xr:uid="{C46E32A7-C4C2-4B5F-B5EB-A46BD9A34C5F}"/>
    <cellStyle name="Currency 4 2 2 4 4" xfId="1932" xr:uid="{F9A2419E-C431-4F4D-B207-E9C7272C619B}"/>
    <cellStyle name="Currency 4 2 2 4 4 2" xfId="11132" xr:uid="{C19B798B-FD9A-4973-A835-7AD146A18166}"/>
    <cellStyle name="Currency 4 2 2 4 5" xfId="1933" xr:uid="{CCF58360-D33F-4F57-AE78-ACF0D6CA438A}"/>
    <cellStyle name="Currency 4 2 2 4 5 2" xfId="11133" xr:uid="{8306AB90-9C5F-49A8-8B63-C4D1C85D39B4}"/>
    <cellStyle name="Currency 4 2 2 4 6" xfId="11127" xr:uid="{BC3BEF26-5667-4AC8-8FA2-6654FE955406}"/>
    <cellStyle name="Currency 4 2 2 5" xfId="1934" xr:uid="{EDB8D825-36DB-4BAC-8ECD-8D8E40C77435}"/>
    <cellStyle name="Currency 4 2 2 5 2" xfId="1935" xr:uid="{D64C9DC1-CAB1-4CC9-BD5D-DD0BC1A83583}"/>
    <cellStyle name="Currency 4 2 2 5 2 2" xfId="1936" xr:uid="{0DB5377B-A52F-4228-B29E-5A1726359EC1}"/>
    <cellStyle name="Currency 4 2 2 5 2 2 2" xfId="11136" xr:uid="{2DDC5350-FF76-43E8-B873-E0FBA11D167C}"/>
    <cellStyle name="Currency 4 2 2 5 2 3" xfId="1937" xr:uid="{4C6D95B3-2E45-4437-A519-06CB30E85DC2}"/>
    <cellStyle name="Currency 4 2 2 5 2 3 2" xfId="11137" xr:uid="{CC753E3F-0606-4006-BD95-4C47C731B67A}"/>
    <cellStyle name="Currency 4 2 2 5 2 4" xfId="11135" xr:uid="{72D22BB5-5760-48E9-ADA5-E2F01DD96B4C}"/>
    <cellStyle name="Currency 4 2 2 5 3" xfId="1938" xr:uid="{E38EC8A5-FF1B-48C7-9D07-68CBD8CF2F1C}"/>
    <cellStyle name="Currency 4 2 2 5 3 2" xfId="11138" xr:uid="{6A928EFF-4801-492C-8AAC-DAA3D4B9F9F8}"/>
    <cellStyle name="Currency 4 2 2 5 4" xfId="1939" xr:uid="{6E42140D-0C25-45A3-9B3F-5F3044E81AD6}"/>
    <cellStyle name="Currency 4 2 2 5 4 2" xfId="11139" xr:uid="{55C13987-561B-4E16-BFE8-B7CEC75BFEF5}"/>
    <cellStyle name="Currency 4 2 2 5 5" xfId="1940" xr:uid="{7A345C88-BDD6-4514-8DD7-5B13451FE522}"/>
    <cellStyle name="Currency 4 2 2 5 5 2" xfId="11140" xr:uid="{D982BA3E-8F45-4882-AF1C-8FA57A65B44A}"/>
    <cellStyle name="Currency 4 2 2 5 6" xfId="11134" xr:uid="{EF9459A3-72C2-4532-BA5F-09CB80C78403}"/>
    <cellStyle name="Currency 4 2 2 6" xfId="1941" xr:uid="{55902F5D-D532-4AC1-9B6A-7963CCBDBD1B}"/>
    <cellStyle name="Currency 4 2 2 6 2" xfId="1942" xr:uid="{46113A22-6168-453E-9637-27B75B617A83}"/>
    <cellStyle name="Currency 4 2 2 6 2 2" xfId="11142" xr:uid="{3B96F535-BFF5-4AAA-A0B0-530AB71A5516}"/>
    <cellStyle name="Currency 4 2 2 6 3" xfId="1943" xr:uid="{70876C6E-8230-4ECF-84E0-B0D9027D2B3B}"/>
    <cellStyle name="Currency 4 2 2 6 3 2" xfId="11143" xr:uid="{988F2992-366A-4882-AECC-6F273F8AFB59}"/>
    <cellStyle name="Currency 4 2 2 6 4" xfId="11141" xr:uid="{5680834A-4B76-407C-B804-A3C59D6ABC29}"/>
    <cellStyle name="Currency 4 2 2 7" xfId="1944" xr:uid="{C46F420B-D8CD-484E-9909-170E8B5D0721}"/>
    <cellStyle name="Currency 4 2 2 7 2" xfId="11144" xr:uid="{D95D1535-A91F-49F2-98F9-4E7E7D6C2217}"/>
    <cellStyle name="Currency 4 2 2 8" xfId="1945" xr:uid="{2626DDAB-FF78-47BD-8AD2-FA90488870D5}"/>
    <cellStyle name="Currency 4 2 2 8 2" xfId="11145" xr:uid="{D81EC049-2DB3-4757-A124-413F2FB5744C}"/>
    <cellStyle name="Currency 4 2 2 9" xfId="1946" xr:uid="{5EC943B8-ACF5-4357-8CEF-F1314CD9FF50}"/>
    <cellStyle name="Currency 4 2 2 9 2" xfId="11146" xr:uid="{EA9CE87A-86B1-4860-92BE-9E55C0E473A4}"/>
    <cellStyle name="Currency 4 2 3" xfId="1947" xr:uid="{CBA09B05-D56B-4A9C-9E1A-F03A9BD85891}"/>
    <cellStyle name="Currency 4 2 3 10" xfId="11147" xr:uid="{83B62E2B-5A27-4D90-9E42-74A10676070B}"/>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2 2" xfId="11152" xr:uid="{DB02DCAD-B0CD-4E61-AF7A-78CDC17AD0F9}"/>
    <cellStyle name="Currency 4 2 3 2 2 2 2 3" xfId="1953" xr:uid="{C216FF99-3CC0-4C96-9685-A237112CDFE3}"/>
    <cellStyle name="Currency 4 2 3 2 2 2 2 3 2" xfId="11153" xr:uid="{E78E7567-BDDB-47E8-B94C-11DC0814EC37}"/>
    <cellStyle name="Currency 4 2 3 2 2 2 2 4" xfId="11151" xr:uid="{94455DFD-CCA8-4173-AF22-40F505BB8E38}"/>
    <cellStyle name="Currency 4 2 3 2 2 2 3" xfId="1954" xr:uid="{622C70B6-B2D8-4640-B311-CE5DF14F5ED5}"/>
    <cellStyle name="Currency 4 2 3 2 2 2 3 2" xfId="11154" xr:uid="{96973E3D-CC34-4518-A6C3-422F31925663}"/>
    <cellStyle name="Currency 4 2 3 2 2 2 4" xfId="1955" xr:uid="{F803CC91-9916-47A1-8E95-F65A257784EC}"/>
    <cellStyle name="Currency 4 2 3 2 2 2 4 2" xfId="11155" xr:uid="{FB8861A7-A8DC-4845-A16B-FCE63684F6BC}"/>
    <cellStyle name="Currency 4 2 3 2 2 2 5" xfId="1956" xr:uid="{F5DC4D32-D21B-42A4-9067-CE54DFE24A9D}"/>
    <cellStyle name="Currency 4 2 3 2 2 2 5 2" xfId="11156" xr:uid="{B1CE874C-E494-40AB-8E6F-9609513D4E6A}"/>
    <cellStyle name="Currency 4 2 3 2 2 2 6" xfId="11150" xr:uid="{09341E25-BD4F-4B70-95C4-D3DB6DF9F94B}"/>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2 2" xfId="11159" xr:uid="{F6B52B2E-1A75-46A4-AD95-D8C11A4D4959}"/>
    <cellStyle name="Currency 4 2 3 2 2 3 2 3" xfId="1960" xr:uid="{AE737753-E381-4A3F-875C-F29D94DF1328}"/>
    <cellStyle name="Currency 4 2 3 2 2 3 2 3 2" xfId="11160" xr:uid="{47311304-A7AA-449A-9119-EC49B8756E9F}"/>
    <cellStyle name="Currency 4 2 3 2 2 3 2 4" xfId="11158" xr:uid="{BA426AD8-8FCC-47C0-A660-244570B566E8}"/>
    <cellStyle name="Currency 4 2 3 2 2 3 3" xfId="1961" xr:uid="{DAD4B3DD-B196-467C-8044-E5606D4A44F2}"/>
    <cellStyle name="Currency 4 2 3 2 2 3 3 2" xfId="11161" xr:uid="{CAEE4F8F-26E8-458E-AD83-675804BF36D4}"/>
    <cellStyle name="Currency 4 2 3 2 2 3 4" xfId="1962" xr:uid="{8BF12516-8971-4347-A376-67676D91E3F8}"/>
    <cellStyle name="Currency 4 2 3 2 2 3 4 2" xfId="11162" xr:uid="{E8035C19-D378-4106-8098-449ED08AE14E}"/>
    <cellStyle name="Currency 4 2 3 2 2 3 5" xfId="1963" xr:uid="{D4E92EDF-F257-47CD-8EE6-0184D45C6C6E}"/>
    <cellStyle name="Currency 4 2 3 2 2 3 5 2" xfId="11163" xr:uid="{9E0141EA-7BB0-4685-A78A-512103325633}"/>
    <cellStyle name="Currency 4 2 3 2 2 3 6" xfId="11157" xr:uid="{ED962160-AA40-4063-A774-27E276085D6F}"/>
    <cellStyle name="Currency 4 2 3 2 2 4" xfId="1964" xr:uid="{877B8E02-0D91-4B0B-8A3B-96D5DF786296}"/>
    <cellStyle name="Currency 4 2 3 2 2 4 2" xfId="1965" xr:uid="{EFCF159F-1FC2-4CE5-B0C6-144773D1A744}"/>
    <cellStyle name="Currency 4 2 3 2 2 4 2 2" xfId="11165" xr:uid="{112681F0-C02D-47AC-9890-DBC4A40B0A88}"/>
    <cellStyle name="Currency 4 2 3 2 2 4 3" xfId="1966" xr:uid="{094761CB-B3CA-40DA-A3CA-9AC79CE0462F}"/>
    <cellStyle name="Currency 4 2 3 2 2 4 3 2" xfId="11166" xr:uid="{2762ADD5-9097-478E-98E2-D6F52C43AD4F}"/>
    <cellStyle name="Currency 4 2 3 2 2 4 4" xfId="11164" xr:uid="{B1C6182B-C9FC-4BCB-90F0-F8E2E9E92076}"/>
    <cellStyle name="Currency 4 2 3 2 2 5" xfId="1967" xr:uid="{9EE36E33-B7EB-41BE-B58A-CBE43C2B0FAF}"/>
    <cellStyle name="Currency 4 2 3 2 2 5 2" xfId="11167" xr:uid="{A93B8EDF-396B-4BBD-A59C-5D1D449125E3}"/>
    <cellStyle name="Currency 4 2 3 2 2 6" xfId="1968" xr:uid="{626EE7BE-1C33-4EF2-A5CE-AB386F688EB3}"/>
    <cellStyle name="Currency 4 2 3 2 2 6 2" xfId="11168" xr:uid="{417DAD18-0C50-46A8-BACD-E55B219C58C2}"/>
    <cellStyle name="Currency 4 2 3 2 2 7" xfId="1969" xr:uid="{03BD569C-DEE8-41CD-B18A-04FB671D1759}"/>
    <cellStyle name="Currency 4 2 3 2 2 7 2" xfId="11169" xr:uid="{11F911F5-78DA-4877-8FDC-007C13202A3D}"/>
    <cellStyle name="Currency 4 2 3 2 2 8" xfId="11149" xr:uid="{908E036C-B90A-419D-85C2-BACC801FDD4D}"/>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2 2" xfId="11172" xr:uid="{DB9CC3BD-5A74-4165-94AA-EB954E06FCDE}"/>
    <cellStyle name="Currency 4 2 3 2 3 2 3" xfId="1973" xr:uid="{BC70AE5E-1061-4D6B-AAE4-506FE30742FF}"/>
    <cellStyle name="Currency 4 2 3 2 3 2 3 2" xfId="11173" xr:uid="{E3BE160D-E166-46FE-BF33-1AFAF6D2FB1E}"/>
    <cellStyle name="Currency 4 2 3 2 3 2 4" xfId="11171" xr:uid="{6609AE2A-83C0-49AD-BA47-15913499484D}"/>
    <cellStyle name="Currency 4 2 3 2 3 3" xfId="1974" xr:uid="{BAB6AB33-321F-407C-95AB-1087D9432CE7}"/>
    <cellStyle name="Currency 4 2 3 2 3 3 2" xfId="11174" xr:uid="{642D175E-DFCF-4A62-A22C-1B290E69FD34}"/>
    <cellStyle name="Currency 4 2 3 2 3 4" xfId="1975" xr:uid="{9D9E2AE9-1A0F-4DC8-876E-8EE0DCDCEB71}"/>
    <cellStyle name="Currency 4 2 3 2 3 4 2" xfId="11175" xr:uid="{4CECFD62-0C11-4010-93E0-1E7CB3D197F4}"/>
    <cellStyle name="Currency 4 2 3 2 3 5" xfId="1976" xr:uid="{DEDA5860-9916-4354-8D1E-0E068F969C68}"/>
    <cellStyle name="Currency 4 2 3 2 3 5 2" xfId="11176" xr:uid="{FF8AB403-D63C-48CC-9E44-A2C4CAE45DC5}"/>
    <cellStyle name="Currency 4 2 3 2 3 6" xfId="11170" xr:uid="{04D53779-DA51-466F-AD94-BA2F2747C47F}"/>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2 2" xfId="11179" xr:uid="{E9689DCD-77DF-4986-98A5-DE5B255A624F}"/>
    <cellStyle name="Currency 4 2 3 2 4 2 3" xfId="1980" xr:uid="{8F72CEB8-D6BB-461C-ADA8-1BD648C42141}"/>
    <cellStyle name="Currency 4 2 3 2 4 2 3 2" xfId="11180" xr:uid="{A6F6C6B6-ED2A-4A97-B195-A70F2CCCDEF5}"/>
    <cellStyle name="Currency 4 2 3 2 4 2 4" xfId="11178" xr:uid="{8BCA1D93-845D-4473-8E86-5E61D87ACD52}"/>
    <cellStyle name="Currency 4 2 3 2 4 3" xfId="1981" xr:uid="{C498423E-5AE1-4AD3-BF0D-294F06034F03}"/>
    <cellStyle name="Currency 4 2 3 2 4 3 2" xfId="11181" xr:uid="{9F17FCDF-6BB2-424B-81A9-438776DF121A}"/>
    <cellStyle name="Currency 4 2 3 2 4 4" xfId="1982" xr:uid="{D29E5532-4507-439A-98AD-5EA2172CCFE8}"/>
    <cellStyle name="Currency 4 2 3 2 4 4 2" xfId="11182" xr:uid="{4845E599-0D19-458E-A449-232D858B0A90}"/>
    <cellStyle name="Currency 4 2 3 2 4 5" xfId="1983" xr:uid="{F031B939-8D03-40BD-AEB7-4A6EA76D6CE3}"/>
    <cellStyle name="Currency 4 2 3 2 4 5 2" xfId="11183" xr:uid="{EED263B4-4375-48C8-BBDD-430E8D3713DC}"/>
    <cellStyle name="Currency 4 2 3 2 4 6" xfId="11177" xr:uid="{7656D893-C3F0-42A8-9EDA-A620F9783628}"/>
    <cellStyle name="Currency 4 2 3 2 5" xfId="1984" xr:uid="{C144A9AA-AD9B-4766-AB2C-B7C72EC9A0CC}"/>
    <cellStyle name="Currency 4 2 3 2 5 2" xfId="1985" xr:uid="{500C5ED3-7D71-47B3-A884-74F549FC6DA4}"/>
    <cellStyle name="Currency 4 2 3 2 5 2 2" xfId="11185" xr:uid="{50BBACA1-009A-4152-BF8D-64A03597AF69}"/>
    <cellStyle name="Currency 4 2 3 2 5 3" xfId="1986" xr:uid="{E1B72587-3DA4-46BC-A979-076048EEE953}"/>
    <cellStyle name="Currency 4 2 3 2 5 3 2" xfId="11186" xr:uid="{9ED1735F-2EC6-46E1-AE94-FD2DAA04EEBC}"/>
    <cellStyle name="Currency 4 2 3 2 5 4" xfId="11184" xr:uid="{4DF2A716-444C-44C3-BE57-36FD264E72A2}"/>
    <cellStyle name="Currency 4 2 3 2 6" xfId="1987" xr:uid="{70FF6D86-ED6A-488B-AD60-0CE90CCC1326}"/>
    <cellStyle name="Currency 4 2 3 2 6 2" xfId="11187" xr:uid="{759D2BC5-EE02-493D-B60E-79DBF656982E}"/>
    <cellStyle name="Currency 4 2 3 2 7" xfId="1988" xr:uid="{ACA4961F-E283-4B14-9A29-EF811C068297}"/>
    <cellStyle name="Currency 4 2 3 2 7 2" xfId="11188" xr:uid="{E1100DA1-7430-4891-98E7-C9582F94437C}"/>
    <cellStyle name="Currency 4 2 3 2 8" xfId="1989" xr:uid="{2C4DF299-7A1F-49B2-A61A-1A9CF0B2ECF4}"/>
    <cellStyle name="Currency 4 2 3 2 8 2" xfId="11189" xr:uid="{1BF15F2D-AA86-43EF-8061-1B973196ACA4}"/>
    <cellStyle name="Currency 4 2 3 2 9" xfId="11148" xr:uid="{E534DA97-E25D-4918-9248-AD8E22E181F2}"/>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2 2" xfId="11193" xr:uid="{1CCBB3A0-07CB-47AB-82A7-4B5840E04875}"/>
    <cellStyle name="Currency 4 2 3 3 2 2 3" xfId="1994" xr:uid="{812730E9-A845-4440-9FD2-BABA73C9020C}"/>
    <cellStyle name="Currency 4 2 3 3 2 2 3 2" xfId="11194" xr:uid="{EFBBAA35-0FD7-400B-9474-EEA1FCFCB72C}"/>
    <cellStyle name="Currency 4 2 3 3 2 2 4" xfId="11192" xr:uid="{7613CD72-90EC-46FE-B6EC-859084BC4D8F}"/>
    <cellStyle name="Currency 4 2 3 3 2 3" xfId="1995" xr:uid="{714477B9-E47C-47BD-828B-0ED1F44E1D28}"/>
    <cellStyle name="Currency 4 2 3 3 2 3 2" xfId="11195" xr:uid="{CC159564-860C-4AE8-BFAD-32E263FD06F0}"/>
    <cellStyle name="Currency 4 2 3 3 2 4" xfId="1996" xr:uid="{94EED32A-3016-4CBC-BD7A-32DAC41949CC}"/>
    <cellStyle name="Currency 4 2 3 3 2 4 2" xfId="11196" xr:uid="{AD94C43F-D4BD-41A2-BDD7-FFF5B5906327}"/>
    <cellStyle name="Currency 4 2 3 3 2 5" xfId="1997" xr:uid="{CE45A950-B821-46E9-933E-961DCA2B29CD}"/>
    <cellStyle name="Currency 4 2 3 3 2 5 2" xfId="11197" xr:uid="{EAC9547D-7E38-4598-B8BC-D47EA3B5992B}"/>
    <cellStyle name="Currency 4 2 3 3 2 6" xfId="11191" xr:uid="{C89C6278-D9BB-4684-BF99-100D13AE7CAF}"/>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2 2" xfId="11200" xr:uid="{2C1E88F5-F659-4BEF-B807-A39F26041DD7}"/>
    <cellStyle name="Currency 4 2 3 3 3 2 3" xfId="2001" xr:uid="{B2633488-0475-4F5D-A052-21DDE78DFA3C}"/>
    <cellStyle name="Currency 4 2 3 3 3 2 3 2" xfId="11201" xr:uid="{BAE8784D-C258-4FCD-BB16-FAFAE34EBC70}"/>
    <cellStyle name="Currency 4 2 3 3 3 2 4" xfId="11199" xr:uid="{B01C5ACF-13AE-4A8F-A9CC-1B5BBF849A48}"/>
    <cellStyle name="Currency 4 2 3 3 3 3" xfId="2002" xr:uid="{62FBD5A3-3941-497C-97C1-0258D09A1784}"/>
    <cellStyle name="Currency 4 2 3 3 3 3 2" xfId="11202" xr:uid="{70BC4B0B-2600-4BC8-B3B4-FD48BCEEE633}"/>
    <cellStyle name="Currency 4 2 3 3 3 4" xfId="2003" xr:uid="{5C9B6947-F020-407B-B883-125ACB2FF5E1}"/>
    <cellStyle name="Currency 4 2 3 3 3 4 2" xfId="11203" xr:uid="{538EBAFE-D4BD-4BC1-B757-0F343D8C4602}"/>
    <cellStyle name="Currency 4 2 3 3 3 5" xfId="2004" xr:uid="{31487C9F-9D16-47AD-B032-9FE7BA7DE3AD}"/>
    <cellStyle name="Currency 4 2 3 3 3 5 2" xfId="11204" xr:uid="{2718013C-D6DC-4934-8267-4C7CCA74CF82}"/>
    <cellStyle name="Currency 4 2 3 3 3 6" xfId="11198" xr:uid="{1ECD468D-84B7-4B04-BAA0-A33D4F0428BC}"/>
    <cellStyle name="Currency 4 2 3 3 4" xfId="2005" xr:uid="{A85621E8-2DDF-416F-BEFA-DCBE4D8C4E70}"/>
    <cellStyle name="Currency 4 2 3 3 4 2" xfId="2006" xr:uid="{4872CD58-CF35-4EE5-B8CB-DDF9590B08AD}"/>
    <cellStyle name="Currency 4 2 3 3 4 2 2" xfId="11206" xr:uid="{89AC7C9F-CFD0-4C16-86C9-0B4F453B7E41}"/>
    <cellStyle name="Currency 4 2 3 3 4 3" xfId="2007" xr:uid="{100FCFE6-C381-44D8-AF60-2A72B04782ED}"/>
    <cellStyle name="Currency 4 2 3 3 4 3 2" xfId="11207" xr:uid="{D5EE8A09-8AD7-48A2-BB97-5B4D681868CA}"/>
    <cellStyle name="Currency 4 2 3 3 4 4" xfId="11205" xr:uid="{2EBB30D5-642B-4516-BF53-676300EE86C7}"/>
    <cellStyle name="Currency 4 2 3 3 5" xfId="2008" xr:uid="{CB8F53E4-F215-451D-A88C-6C1EBFAFFA66}"/>
    <cellStyle name="Currency 4 2 3 3 5 2" xfId="11208" xr:uid="{58760A86-5ED8-48A5-86E7-892788058446}"/>
    <cellStyle name="Currency 4 2 3 3 6" xfId="2009" xr:uid="{52F6C2AD-E210-4EBF-BB64-35DDE64B4F1A}"/>
    <cellStyle name="Currency 4 2 3 3 6 2" xfId="11209" xr:uid="{99AD7D6C-3E6E-4ABC-8029-B1E674D263E8}"/>
    <cellStyle name="Currency 4 2 3 3 7" xfId="2010" xr:uid="{385212FB-0A4F-484D-B147-857FEF1C68CA}"/>
    <cellStyle name="Currency 4 2 3 3 7 2" xfId="11210" xr:uid="{F384FEEE-EC36-45A6-A09F-D306731ADD5A}"/>
    <cellStyle name="Currency 4 2 3 3 8" xfId="11190" xr:uid="{5533A118-9040-4F9A-BEF4-30BC23F9A884}"/>
    <cellStyle name="Currency 4 2 3 4" xfId="2011" xr:uid="{D8F6A664-6AAE-4609-BC53-EE246D8E7671}"/>
    <cellStyle name="Currency 4 2 3 4 2" xfId="2012" xr:uid="{F804062C-40BF-4978-801D-98281EDEFF0C}"/>
    <cellStyle name="Currency 4 2 3 4 2 2" xfId="2013" xr:uid="{F4E9E85F-B101-44DC-A553-74704990842B}"/>
    <cellStyle name="Currency 4 2 3 4 2 2 2" xfId="11213" xr:uid="{712F73FB-74F7-4647-9311-3A008182C512}"/>
    <cellStyle name="Currency 4 2 3 4 2 3" xfId="2014" xr:uid="{045B435A-D942-4CAF-966F-9B354638877F}"/>
    <cellStyle name="Currency 4 2 3 4 2 3 2" xfId="11214" xr:uid="{7F274D9C-0750-4D6F-9F03-ACCF4A487AA1}"/>
    <cellStyle name="Currency 4 2 3 4 2 4" xfId="11212" xr:uid="{D69ACC98-D98B-4745-8F37-D108EB487490}"/>
    <cellStyle name="Currency 4 2 3 4 3" xfId="2015" xr:uid="{A68525DD-AFE6-4B89-A2D0-978E7B3088F5}"/>
    <cellStyle name="Currency 4 2 3 4 3 2" xfId="11215" xr:uid="{E928FC7C-1848-48FC-BA35-9568862E79A2}"/>
    <cellStyle name="Currency 4 2 3 4 4" xfId="2016" xr:uid="{027D8202-8483-4643-9C87-07D85FE1AEC6}"/>
    <cellStyle name="Currency 4 2 3 4 4 2" xfId="11216" xr:uid="{4E112713-1332-4652-BB7D-15836EC0536D}"/>
    <cellStyle name="Currency 4 2 3 4 5" xfId="2017" xr:uid="{A88D2D9A-9220-4320-AEF8-BB62B77CB378}"/>
    <cellStyle name="Currency 4 2 3 4 5 2" xfId="11217" xr:uid="{9136566D-0DD9-430E-AE55-EF7177F5CC09}"/>
    <cellStyle name="Currency 4 2 3 4 6" xfId="11211" xr:uid="{856AE3F2-127C-4210-918D-EFB8AD1AEFE2}"/>
    <cellStyle name="Currency 4 2 3 5" xfId="2018" xr:uid="{2E0BE6C9-ADED-4188-9C23-E81127D10C81}"/>
    <cellStyle name="Currency 4 2 3 5 2" xfId="2019" xr:uid="{8CBBBD0D-27B5-4C9B-B1F3-C9622D64CBE6}"/>
    <cellStyle name="Currency 4 2 3 5 2 2" xfId="2020" xr:uid="{1B696596-7CB5-4275-B31A-AAD9C7D4D21C}"/>
    <cellStyle name="Currency 4 2 3 5 2 2 2" xfId="11220" xr:uid="{3ED6EB43-AEAC-4359-A618-8F9956755525}"/>
    <cellStyle name="Currency 4 2 3 5 2 3" xfId="2021" xr:uid="{A2F9732B-0B0B-4800-A010-D08C5F5913E4}"/>
    <cellStyle name="Currency 4 2 3 5 2 3 2" xfId="11221" xr:uid="{92EE5B11-56B6-4DB1-8EDE-8CA87647239A}"/>
    <cellStyle name="Currency 4 2 3 5 2 4" xfId="11219" xr:uid="{44B9C490-24B8-4402-B11F-D8A66903C43F}"/>
    <cellStyle name="Currency 4 2 3 5 3" xfId="2022" xr:uid="{D85F941B-AE55-4B4C-B040-BB9C967BEC32}"/>
    <cellStyle name="Currency 4 2 3 5 3 2" xfId="11222" xr:uid="{5B7ED3A1-CC1E-4749-9F3D-FF30EDD7BF8D}"/>
    <cellStyle name="Currency 4 2 3 5 4" xfId="2023" xr:uid="{29ED2101-0BB4-49D9-A4A4-0148FB10783E}"/>
    <cellStyle name="Currency 4 2 3 5 4 2" xfId="11223" xr:uid="{0FB9F856-093A-49C1-BB12-713086922889}"/>
    <cellStyle name="Currency 4 2 3 5 5" xfId="2024" xr:uid="{31C3DB64-7A60-44EB-82C0-6FE4E3AFB62F}"/>
    <cellStyle name="Currency 4 2 3 5 5 2" xfId="11224" xr:uid="{51C2EFD4-A282-44BF-BE7F-4333C646C128}"/>
    <cellStyle name="Currency 4 2 3 5 6" xfId="11218" xr:uid="{60BC986D-16E8-47E5-BD6C-67CF119B16FF}"/>
    <cellStyle name="Currency 4 2 3 6" xfId="2025" xr:uid="{83E2B146-FCF0-4548-ACF6-A4EC5726795A}"/>
    <cellStyle name="Currency 4 2 3 6 2" xfId="2026" xr:uid="{A2E68A29-CC5F-4EE6-99B6-7AD39AC1ABAF}"/>
    <cellStyle name="Currency 4 2 3 6 2 2" xfId="11226" xr:uid="{F2C0F5D7-F403-4606-9754-6DE8A6BB6003}"/>
    <cellStyle name="Currency 4 2 3 6 3" xfId="2027" xr:uid="{567688EA-E60E-4A65-A863-DB20E1673F07}"/>
    <cellStyle name="Currency 4 2 3 6 3 2" xfId="11227" xr:uid="{FC252CE0-DAF1-4D20-9074-7A46DC2C75A9}"/>
    <cellStyle name="Currency 4 2 3 6 4" xfId="11225" xr:uid="{F02FE46F-7733-49FE-BB61-7435332A4C4A}"/>
    <cellStyle name="Currency 4 2 3 7" xfId="2028" xr:uid="{B3EE4A3C-68F2-4955-A578-1C0E0EA3B443}"/>
    <cellStyle name="Currency 4 2 3 7 2" xfId="11228" xr:uid="{1674DF25-4A54-48A2-A237-E2963C2A5989}"/>
    <cellStyle name="Currency 4 2 3 8" xfId="2029" xr:uid="{3B0E9C24-AF1C-4F38-95A8-CEE056F80E55}"/>
    <cellStyle name="Currency 4 2 3 8 2" xfId="11229" xr:uid="{A455DC7C-831B-49B9-BEA8-B366016A01F9}"/>
    <cellStyle name="Currency 4 2 3 9" xfId="2030" xr:uid="{380D1F6F-7439-4D4C-8FC8-3F664005B498}"/>
    <cellStyle name="Currency 4 2 3 9 2" xfId="11230" xr:uid="{CD413DD2-FFBE-4AE1-ABF8-E35F8C4AEBBC}"/>
    <cellStyle name="Currency 4 2 4" xfId="2031" xr:uid="{48C35829-CB98-43BC-86C5-AA55C72BF500}"/>
    <cellStyle name="Currency 4 2 4 10" xfId="11231" xr:uid="{D6D3BF11-D5ED-43BD-9A7F-7CD1E9177006}"/>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2 2" xfId="11236" xr:uid="{A163E5FD-92F3-48C5-A8CD-5089453DA440}"/>
    <cellStyle name="Currency 4 2 4 2 2 2 2 3" xfId="2037" xr:uid="{B48274C2-399C-4791-B01F-E0E43615857A}"/>
    <cellStyle name="Currency 4 2 4 2 2 2 2 3 2" xfId="11237" xr:uid="{1A7410CC-DED9-4A89-93DB-E7B903D54213}"/>
    <cellStyle name="Currency 4 2 4 2 2 2 2 4" xfId="11235" xr:uid="{24C14BCD-9E2F-4EB8-AF50-4F23C10F0F3F}"/>
    <cellStyle name="Currency 4 2 4 2 2 2 3" xfId="2038" xr:uid="{DF92E965-29F6-45AE-89A4-27344D935E23}"/>
    <cellStyle name="Currency 4 2 4 2 2 2 3 2" xfId="11238" xr:uid="{5517768B-6B39-4D5C-ABE6-4A4C68425029}"/>
    <cellStyle name="Currency 4 2 4 2 2 2 4" xfId="2039" xr:uid="{1FD93C2E-D0ED-45AC-A723-959253B71E41}"/>
    <cellStyle name="Currency 4 2 4 2 2 2 4 2" xfId="11239" xr:uid="{50BC1EAC-6A98-43FC-A050-592B15865179}"/>
    <cellStyle name="Currency 4 2 4 2 2 2 5" xfId="2040" xr:uid="{CCD21FA7-CBB8-4850-B2F3-6DFA91B8BA01}"/>
    <cellStyle name="Currency 4 2 4 2 2 2 5 2" xfId="11240" xr:uid="{C5C11443-9EF3-4E94-8191-927671D88C38}"/>
    <cellStyle name="Currency 4 2 4 2 2 2 6" xfId="11234" xr:uid="{4FFE55BD-B392-4631-A9B4-6A3EE97CCE67}"/>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2 2" xfId="11243" xr:uid="{09F13A16-C8BC-4167-907A-CB1F4B4AB2FC}"/>
    <cellStyle name="Currency 4 2 4 2 2 3 2 3" xfId="2044" xr:uid="{86D52858-D770-4707-ABDB-3EDDC16B7E2B}"/>
    <cellStyle name="Currency 4 2 4 2 2 3 2 3 2" xfId="11244" xr:uid="{8D0826CA-601B-4DD7-8ACC-21DA45D092BE}"/>
    <cellStyle name="Currency 4 2 4 2 2 3 2 4" xfId="11242" xr:uid="{FF24D3A7-A2B7-409A-9C21-DB817D386DF5}"/>
    <cellStyle name="Currency 4 2 4 2 2 3 3" xfId="2045" xr:uid="{95F43D91-D16D-4116-8FD9-B890EE85CB6F}"/>
    <cellStyle name="Currency 4 2 4 2 2 3 3 2" xfId="11245" xr:uid="{3688B845-3FDD-44A5-9CA8-3D78879C327F}"/>
    <cellStyle name="Currency 4 2 4 2 2 3 4" xfId="2046" xr:uid="{73A419F0-4BDA-4F1B-87DC-7AE9AA236123}"/>
    <cellStyle name="Currency 4 2 4 2 2 3 4 2" xfId="11246" xr:uid="{15FDBC62-6C1A-4019-87F8-2BF78A8ECC37}"/>
    <cellStyle name="Currency 4 2 4 2 2 3 5" xfId="2047" xr:uid="{1415A393-E7C9-496A-8F2F-6593868CF5F1}"/>
    <cellStyle name="Currency 4 2 4 2 2 3 5 2" xfId="11247" xr:uid="{B8150833-6451-436A-A6C2-32CC8B92ED81}"/>
    <cellStyle name="Currency 4 2 4 2 2 3 6" xfId="11241" xr:uid="{DA556EC3-ADC9-4E68-881E-AC9894315FDB}"/>
    <cellStyle name="Currency 4 2 4 2 2 4" xfId="2048" xr:uid="{23144CC9-8346-42B0-A8A4-E105AF1F8D2E}"/>
    <cellStyle name="Currency 4 2 4 2 2 4 2" xfId="2049" xr:uid="{565168B7-856F-4BE3-9557-F4D682C6615A}"/>
    <cellStyle name="Currency 4 2 4 2 2 4 2 2" xfId="11249" xr:uid="{D4D84567-2EA4-4449-A32F-D53927D4F1EC}"/>
    <cellStyle name="Currency 4 2 4 2 2 4 3" xfId="2050" xr:uid="{4455417C-375C-400A-BCC2-49FA7C06677F}"/>
    <cellStyle name="Currency 4 2 4 2 2 4 3 2" xfId="11250" xr:uid="{6FEE7B69-97BD-4121-84AE-5B10AB1D33E4}"/>
    <cellStyle name="Currency 4 2 4 2 2 4 4" xfId="11248" xr:uid="{4B5DC8A7-6650-4C42-B6E1-3182946E493E}"/>
    <cellStyle name="Currency 4 2 4 2 2 5" xfId="2051" xr:uid="{F8E18E2F-1746-4FE3-99EC-547E3724306E}"/>
    <cellStyle name="Currency 4 2 4 2 2 5 2" xfId="11251" xr:uid="{914CBD03-59EB-4E3B-A864-09E53C760214}"/>
    <cellStyle name="Currency 4 2 4 2 2 6" xfId="2052" xr:uid="{C9054C92-CD71-4C07-BB36-41583C07F857}"/>
    <cellStyle name="Currency 4 2 4 2 2 6 2" xfId="11252" xr:uid="{77513A7C-F771-4014-82E6-6F87BB569017}"/>
    <cellStyle name="Currency 4 2 4 2 2 7" xfId="2053" xr:uid="{B87B72BE-2307-461D-B1FF-47812225BA00}"/>
    <cellStyle name="Currency 4 2 4 2 2 7 2" xfId="11253" xr:uid="{13040B26-EB20-47C7-8DA5-B9DFEB31B63F}"/>
    <cellStyle name="Currency 4 2 4 2 2 8" xfId="11233" xr:uid="{D17A4DC6-00A0-4054-B31E-0BE4C1DFF5A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2 2" xfId="11256" xr:uid="{A4ECC328-2FDB-4B2C-B870-9235AC4DDAA7}"/>
    <cellStyle name="Currency 4 2 4 2 3 2 3" xfId="2057" xr:uid="{7D95DD1A-CC24-4C5D-9B7E-750782629830}"/>
    <cellStyle name="Currency 4 2 4 2 3 2 3 2" xfId="11257" xr:uid="{0DF4A4E9-11B9-4E35-AEF1-4958CFBB302E}"/>
    <cellStyle name="Currency 4 2 4 2 3 2 4" xfId="11255" xr:uid="{3E15114E-C600-4440-8A51-B7F227D53D79}"/>
    <cellStyle name="Currency 4 2 4 2 3 3" xfId="2058" xr:uid="{E0CA0666-8931-4D79-8B5C-17F8CE2DF541}"/>
    <cellStyle name="Currency 4 2 4 2 3 3 2" xfId="11258" xr:uid="{4AFDADFE-3C91-4CF1-BACA-BDD5465ADC67}"/>
    <cellStyle name="Currency 4 2 4 2 3 4" xfId="2059" xr:uid="{7CC26DA9-01B7-43FA-9F11-3883B2AB4729}"/>
    <cellStyle name="Currency 4 2 4 2 3 4 2" xfId="11259" xr:uid="{47900FC0-187B-45C6-8681-FDDA5042436F}"/>
    <cellStyle name="Currency 4 2 4 2 3 5" xfId="2060" xr:uid="{575ACC73-2458-49F6-993B-FF6289635074}"/>
    <cellStyle name="Currency 4 2 4 2 3 5 2" xfId="11260" xr:uid="{B8E9FAF8-FA47-4210-B780-E05C2B34E7FD}"/>
    <cellStyle name="Currency 4 2 4 2 3 6" xfId="11254" xr:uid="{929BDC41-8DD6-4945-97E3-2EC9803E28AD}"/>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2 2" xfId="11263" xr:uid="{D2D53B05-4A1A-4829-8A84-695D6C4B7569}"/>
    <cellStyle name="Currency 4 2 4 2 4 2 3" xfId="2064" xr:uid="{781215F4-D8CD-4164-A7CA-81145FCD55C3}"/>
    <cellStyle name="Currency 4 2 4 2 4 2 3 2" xfId="11264" xr:uid="{6E085EED-A294-45FB-AACE-A653FA30855A}"/>
    <cellStyle name="Currency 4 2 4 2 4 2 4" xfId="11262" xr:uid="{76435E2E-7C7F-486F-9F06-FB7A8C731789}"/>
    <cellStyle name="Currency 4 2 4 2 4 3" xfId="2065" xr:uid="{318FB86B-30FC-497A-95ED-4D70CE3A9DAD}"/>
    <cellStyle name="Currency 4 2 4 2 4 3 2" xfId="11265" xr:uid="{FECEDDE9-435F-4FAD-8DF9-2E2CADE89926}"/>
    <cellStyle name="Currency 4 2 4 2 4 4" xfId="2066" xr:uid="{5E4EF7D2-6D0F-433E-893E-99149DF446ED}"/>
    <cellStyle name="Currency 4 2 4 2 4 4 2" xfId="11266" xr:uid="{F9564EA8-614E-4131-AF3C-CC83DCF6FD64}"/>
    <cellStyle name="Currency 4 2 4 2 4 5" xfId="2067" xr:uid="{B5874226-888E-47DD-AB15-D5D032F8BEC9}"/>
    <cellStyle name="Currency 4 2 4 2 4 5 2" xfId="11267" xr:uid="{5B72C476-BF4C-45E4-91B2-8DCAA3267C46}"/>
    <cellStyle name="Currency 4 2 4 2 4 6" xfId="11261" xr:uid="{3A025A24-7049-4375-B22B-7FD2A9D5F625}"/>
    <cellStyle name="Currency 4 2 4 2 5" xfId="2068" xr:uid="{2405F40F-C258-4E23-AC8E-FF416C4F3B0A}"/>
    <cellStyle name="Currency 4 2 4 2 5 2" xfId="2069" xr:uid="{7838EBA5-A62C-4F69-81A5-4E8DA0EE691D}"/>
    <cellStyle name="Currency 4 2 4 2 5 2 2" xfId="11269" xr:uid="{992EBD4B-F545-48AD-B991-240B6336F14E}"/>
    <cellStyle name="Currency 4 2 4 2 5 3" xfId="2070" xr:uid="{BAD2BEB3-0E85-4F8F-BC57-E85332C43C2C}"/>
    <cellStyle name="Currency 4 2 4 2 5 3 2" xfId="11270" xr:uid="{455B984D-842F-4251-BFE0-DC1CFDA8204F}"/>
    <cellStyle name="Currency 4 2 4 2 5 4" xfId="11268" xr:uid="{EDF9264E-8030-40B0-8DBB-67BB6BDE288A}"/>
    <cellStyle name="Currency 4 2 4 2 6" xfId="2071" xr:uid="{0C85172B-3B20-4367-A661-E243F42CC86F}"/>
    <cellStyle name="Currency 4 2 4 2 6 2" xfId="11271" xr:uid="{72DDDC85-2DB9-478E-80EC-5D432D0D3C4C}"/>
    <cellStyle name="Currency 4 2 4 2 7" xfId="2072" xr:uid="{3EFA06BF-6181-4EE7-904E-FB4451174BEC}"/>
    <cellStyle name="Currency 4 2 4 2 7 2" xfId="11272" xr:uid="{D18A7646-8AB2-4A7F-A305-5759FF3074C9}"/>
    <cellStyle name="Currency 4 2 4 2 8" xfId="2073" xr:uid="{611C1333-24DD-4E3D-B94E-4685E8115D62}"/>
    <cellStyle name="Currency 4 2 4 2 8 2" xfId="11273" xr:uid="{5548ACEA-D980-4D4E-91D7-989A0564EAC1}"/>
    <cellStyle name="Currency 4 2 4 2 9" xfId="11232" xr:uid="{E384507A-24A3-4C56-BCAE-33D88850345F}"/>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2 2" xfId="11277" xr:uid="{4A833F5E-74E9-4BFB-9121-6B0E52D569B3}"/>
    <cellStyle name="Currency 4 2 4 3 2 2 3" xfId="2078" xr:uid="{6B8916A1-B7F5-45EE-B434-08E2A3FEBB5B}"/>
    <cellStyle name="Currency 4 2 4 3 2 2 3 2" xfId="11278" xr:uid="{5D9CACE3-7E9E-4A5A-8D32-87B9836D920C}"/>
    <cellStyle name="Currency 4 2 4 3 2 2 4" xfId="11276" xr:uid="{8FEB4660-55DD-4AD3-8CD4-4CFAE195D380}"/>
    <cellStyle name="Currency 4 2 4 3 2 3" xfId="2079" xr:uid="{04211652-1030-411E-B780-2FE73ED72C60}"/>
    <cellStyle name="Currency 4 2 4 3 2 3 2" xfId="11279" xr:uid="{B38E9A2B-6240-4E09-8650-8F6F6552926A}"/>
    <cellStyle name="Currency 4 2 4 3 2 4" xfId="2080" xr:uid="{1B398C30-6B55-4072-87A6-8B337F294022}"/>
    <cellStyle name="Currency 4 2 4 3 2 4 2" xfId="11280" xr:uid="{C60FDD27-368B-4519-8E9D-4348B90C7781}"/>
    <cellStyle name="Currency 4 2 4 3 2 5" xfId="2081" xr:uid="{DFAA0BA3-12D5-408B-B2DB-CF35C700676B}"/>
    <cellStyle name="Currency 4 2 4 3 2 5 2" xfId="11281" xr:uid="{7265D218-DD6D-4BAF-A11C-8A7D8C9C60DB}"/>
    <cellStyle name="Currency 4 2 4 3 2 6" xfId="11275" xr:uid="{748FE931-39BD-4706-90BB-F98A97720279}"/>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2 2" xfId="11284" xr:uid="{05D86897-8977-42A9-AB33-BEC765D8F3DF}"/>
    <cellStyle name="Currency 4 2 4 3 3 2 3" xfId="2085" xr:uid="{8E1124C3-41EC-44B4-89CE-F56240BE1017}"/>
    <cellStyle name="Currency 4 2 4 3 3 2 3 2" xfId="11285" xr:uid="{3E932C81-A851-4A7A-B9C8-FDD4DEC38A14}"/>
    <cellStyle name="Currency 4 2 4 3 3 2 4" xfId="11283" xr:uid="{9C672AB3-013E-4140-827F-4180F4273D42}"/>
    <cellStyle name="Currency 4 2 4 3 3 3" xfId="2086" xr:uid="{2ABEAB98-9A11-4973-A6A4-69C252E6BD3C}"/>
    <cellStyle name="Currency 4 2 4 3 3 3 2" xfId="11286" xr:uid="{4187780F-C5FA-4393-A09C-6AEE93CDD8D6}"/>
    <cellStyle name="Currency 4 2 4 3 3 4" xfId="2087" xr:uid="{0A69AE06-1AE7-4DBD-80E5-8FFD4845BB24}"/>
    <cellStyle name="Currency 4 2 4 3 3 4 2" xfId="11287" xr:uid="{1DCD2E59-029B-4DD3-B700-5BA82ED24565}"/>
    <cellStyle name="Currency 4 2 4 3 3 5" xfId="2088" xr:uid="{570F8550-A803-4512-8F7C-6A8C677D1621}"/>
    <cellStyle name="Currency 4 2 4 3 3 5 2" xfId="11288" xr:uid="{9ED21DEB-8D34-43C7-8D50-49926B98954C}"/>
    <cellStyle name="Currency 4 2 4 3 3 6" xfId="11282" xr:uid="{8617DA06-C6A9-40EC-8C3C-544E5C6540BB}"/>
    <cellStyle name="Currency 4 2 4 3 4" xfId="2089" xr:uid="{5C02E76E-F711-457F-A57F-1A08F41F0623}"/>
    <cellStyle name="Currency 4 2 4 3 4 2" xfId="2090" xr:uid="{0236E9D6-128C-4316-BCC1-4A51A42720B6}"/>
    <cellStyle name="Currency 4 2 4 3 4 2 2" xfId="11290" xr:uid="{B939034A-647B-44D4-A535-CB745634A718}"/>
    <cellStyle name="Currency 4 2 4 3 4 3" xfId="2091" xr:uid="{311CD553-C4D4-40FF-A75E-001C5DCAE50C}"/>
    <cellStyle name="Currency 4 2 4 3 4 3 2" xfId="11291" xr:uid="{5FB501DF-18D8-47F1-B33C-2A2844E55AF4}"/>
    <cellStyle name="Currency 4 2 4 3 4 4" xfId="11289" xr:uid="{A151BD34-EA41-428F-B1DF-791CC87D00A6}"/>
    <cellStyle name="Currency 4 2 4 3 5" xfId="2092" xr:uid="{F698E6FA-6590-4353-92DA-052D9E0288B7}"/>
    <cellStyle name="Currency 4 2 4 3 5 2" xfId="11292" xr:uid="{9D704488-5F0C-4260-9FCB-86A2440DD4C4}"/>
    <cellStyle name="Currency 4 2 4 3 6" xfId="2093" xr:uid="{619CF58A-02F1-4754-B47E-64C75668C7E3}"/>
    <cellStyle name="Currency 4 2 4 3 6 2" xfId="11293" xr:uid="{8897265D-4579-4C8A-A557-9C7EBB0817DA}"/>
    <cellStyle name="Currency 4 2 4 3 7" xfId="2094" xr:uid="{CCA53F15-8FE1-4B72-9CBD-AC215D0354D2}"/>
    <cellStyle name="Currency 4 2 4 3 7 2" xfId="11294" xr:uid="{866087A5-EAE7-4BE2-9AAE-3BAB908C8003}"/>
    <cellStyle name="Currency 4 2 4 3 8" xfId="11274" xr:uid="{60073BBC-9726-4699-B455-7F0EC3CE7EC4}"/>
    <cellStyle name="Currency 4 2 4 4" xfId="2095" xr:uid="{DC0C96AC-92ED-47F5-B897-A89D3E896C0F}"/>
    <cellStyle name="Currency 4 2 4 4 2" xfId="2096" xr:uid="{2D650F00-399E-46BF-845E-20ADE2826548}"/>
    <cellStyle name="Currency 4 2 4 4 2 2" xfId="2097" xr:uid="{F56C67EB-4999-40AC-896D-57B1D8E6311F}"/>
    <cellStyle name="Currency 4 2 4 4 2 2 2" xfId="11297" xr:uid="{2A623EC9-A9EC-4601-9691-98167C0F5EFD}"/>
    <cellStyle name="Currency 4 2 4 4 2 3" xfId="2098" xr:uid="{77D2C4EE-D055-49ED-B026-90C250518BA3}"/>
    <cellStyle name="Currency 4 2 4 4 2 3 2" xfId="11298" xr:uid="{9F51C90F-FBE5-4536-8A0B-31809CE88736}"/>
    <cellStyle name="Currency 4 2 4 4 2 4" xfId="11296" xr:uid="{FD3AC248-85E1-4CC2-B631-BE7AFA6E56C5}"/>
    <cellStyle name="Currency 4 2 4 4 3" xfId="2099" xr:uid="{737CEB43-2595-4381-AA0D-45A17C09F7C3}"/>
    <cellStyle name="Currency 4 2 4 4 3 2" xfId="11299" xr:uid="{5AB668BD-BF99-467D-9CD8-C828183CBF0C}"/>
    <cellStyle name="Currency 4 2 4 4 4" xfId="2100" xr:uid="{EF803D80-8224-4F9C-893E-0456BFE8E903}"/>
    <cellStyle name="Currency 4 2 4 4 4 2" xfId="11300" xr:uid="{E83C6C96-4ABF-4E87-AF70-5D6FF5B7487D}"/>
    <cellStyle name="Currency 4 2 4 4 5" xfId="2101" xr:uid="{BB08BD18-BBFF-449D-8E12-9B3570E578B8}"/>
    <cellStyle name="Currency 4 2 4 4 5 2" xfId="11301" xr:uid="{B6201B74-6154-4FB4-AA99-0B0B8242A951}"/>
    <cellStyle name="Currency 4 2 4 4 6" xfId="11295" xr:uid="{C48E090C-54C4-4FBE-B6C0-426C13BEC846}"/>
    <cellStyle name="Currency 4 2 4 5" xfId="2102" xr:uid="{24FC0350-A51D-455E-9B52-2F761CAA1DC1}"/>
    <cellStyle name="Currency 4 2 4 5 2" xfId="2103" xr:uid="{FFDF9FA9-A26B-4BF4-8A3E-64514E033E0C}"/>
    <cellStyle name="Currency 4 2 4 5 2 2" xfId="2104" xr:uid="{CDB5129F-2384-49AA-BD97-7377780F0869}"/>
    <cellStyle name="Currency 4 2 4 5 2 2 2" xfId="11304" xr:uid="{6591CD57-9F77-4DBD-913C-D9B80111E32E}"/>
    <cellStyle name="Currency 4 2 4 5 2 3" xfId="2105" xr:uid="{259B2BCB-525C-4CB7-96D5-6C0D1964EDB6}"/>
    <cellStyle name="Currency 4 2 4 5 2 3 2" xfId="11305" xr:uid="{429A3754-2B96-439C-B61D-78267C40766C}"/>
    <cellStyle name="Currency 4 2 4 5 2 4" xfId="11303" xr:uid="{53200172-15B7-4BAC-A571-374A512DFF66}"/>
    <cellStyle name="Currency 4 2 4 5 3" xfId="2106" xr:uid="{DDBB2906-7AD7-4123-AC11-4FB0C1983060}"/>
    <cellStyle name="Currency 4 2 4 5 3 2" xfId="11306" xr:uid="{8EB73CB5-D4E2-48F3-808E-7DA2CFA62DC2}"/>
    <cellStyle name="Currency 4 2 4 5 4" xfId="2107" xr:uid="{3437B2BE-F1D0-4A0F-A77A-DC3D20DCC272}"/>
    <cellStyle name="Currency 4 2 4 5 4 2" xfId="11307" xr:uid="{ABFC764A-D837-42A6-86C6-CFE9F92A6470}"/>
    <cellStyle name="Currency 4 2 4 5 5" xfId="2108" xr:uid="{063966E5-A260-41D9-A808-C48F04C7FDEA}"/>
    <cellStyle name="Currency 4 2 4 5 5 2" xfId="11308" xr:uid="{9AB1DE05-0822-4C43-A68D-336D24D9CC33}"/>
    <cellStyle name="Currency 4 2 4 5 6" xfId="11302" xr:uid="{A66DD78D-A48D-48FF-88F6-3FA5E95372DD}"/>
    <cellStyle name="Currency 4 2 4 6" xfId="2109" xr:uid="{391E724E-D952-47F1-9DD8-FCE9D67DF6AE}"/>
    <cellStyle name="Currency 4 2 4 6 2" xfId="2110" xr:uid="{1DAE713B-4B73-4836-84FB-FAADBE70B812}"/>
    <cellStyle name="Currency 4 2 4 6 2 2" xfId="11310" xr:uid="{A7576697-A743-4380-BF38-B5B9C09081B8}"/>
    <cellStyle name="Currency 4 2 4 6 3" xfId="2111" xr:uid="{F8B34E0E-1219-4032-A32D-5BFB84B8F5E1}"/>
    <cellStyle name="Currency 4 2 4 6 3 2" xfId="11311" xr:uid="{02E391BA-4824-45E3-8B1C-B49A6E6E615D}"/>
    <cellStyle name="Currency 4 2 4 6 4" xfId="11309" xr:uid="{76E9DE60-2885-4AE6-8346-915FA4B6BC79}"/>
    <cellStyle name="Currency 4 2 4 7" xfId="2112" xr:uid="{AE9C2227-F690-4CB0-A26D-AD584273049A}"/>
    <cellStyle name="Currency 4 2 4 7 2" xfId="11312" xr:uid="{0F3E7785-D345-4E74-9A01-2E142E2CF82D}"/>
    <cellStyle name="Currency 4 2 4 8" xfId="2113" xr:uid="{604BDCAE-8DD6-4597-B014-E0FAADE7B372}"/>
    <cellStyle name="Currency 4 2 4 8 2" xfId="11313" xr:uid="{CB20EF6B-C26D-48C8-9F03-1866C9A0330B}"/>
    <cellStyle name="Currency 4 2 4 9" xfId="2114" xr:uid="{14FD32E5-8DD3-4FA9-BDD9-7BD6AD9FC4C4}"/>
    <cellStyle name="Currency 4 2 4 9 2" xfId="11314" xr:uid="{CF679159-C840-408F-A899-A9008D2AAE16}"/>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2 2" xfId="11319" xr:uid="{0D582CD2-C960-4BD4-94D1-8197A2BF4579}"/>
    <cellStyle name="Currency 4 2 5 2 2 2 3" xfId="2120" xr:uid="{F2401A19-AE6F-48A8-9FAE-874465D0E884}"/>
    <cellStyle name="Currency 4 2 5 2 2 2 3 2" xfId="11320" xr:uid="{51E8A023-86F5-4714-9A46-98C2CA2DC046}"/>
    <cellStyle name="Currency 4 2 5 2 2 2 4" xfId="11318" xr:uid="{AADDF077-C632-4B16-9B43-7F1427ED3B4F}"/>
    <cellStyle name="Currency 4 2 5 2 2 3" xfId="2121" xr:uid="{2FD655AB-1224-4D7F-BB1F-40B31ADBA4B1}"/>
    <cellStyle name="Currency 4 2 5 2 2 3 2" xfId="11321" xr:uid="{8D68443A-F8D1-4022-93A0-94EF4C96A5A8}"/>
    <cellStyle name="Currency 4 2 5 2 2 4" xfId="2122" xr:uid="{ED8E2E46-08E8-41CA-B833-C8CF7E39A894}"/>
    <cellStyle name="Currency 4 2 5 2 2 4 2" xfId="11322" xr:uid="{0D831B65-3E5F-4876-B4FB-15659FA323EF}"/>
    <cellStyle name="Currency 4 2 5 2 2 5" xfId="2123" xr:uid="{603097C0-2025-4758-B92B-FCB6C609E5B6}"/>
    <cellStyle name="Currency 4 2 5 2 2 5 2" xfId="11323" xr:uid="{2A259337-A1C6-452D-8625-1ADBCF528EFD}"/>
    <cellStyle name="Currency 4 2 5 2 2 6" xfId="11317" xr:uid="{78CF8B12-FC8E-4D74-A3C7-373664E2328F}"/>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2 2" xfId="11326" xr:uid="{82B2821D-1EE3-42B0-870F-43D5C1BBDC7E}"/>
    <cellStyle name="Currency 4 2 5 2 3 2 3" xfId="2127" xr:uid="{120CC400-D67F-4442-95E0-727E825B0CB0}"/>
    <cellStyle name="Currency 4 2 5 2 3 2 3 2" xfId="11327" xr:uid="{E40AA0B4-2E18-4F5E-988F-C8CD578690A2}"/>
    <cellStyle name="Currency 4 2 5 2 3 2 4" xfId="11325" xr:uid="{96F411CA-D5A4-479C-B046-7BBABD83AD88}"/>
    <cellStyle name="Currency 4 2 5 2 3 3" xfId="2128" xr:uid="{0DB33962-F8F8-4895-9928-22A7FB4B2F15}"/>
    <cellStyle name="Currency 4 2 5 2 3 3 2" xfId="11328" xr:uid="{016C5EA9-0BF5-4709-B727-09C207C998FA}"/>
    <cellStyle name="Currency 4 2 5 2 3 4" xfId="2129" xr:uid="{9959C885-BC87-4304-82E7-CCDFF2917062}"/>
    <cellStyle name="Currency 4 2 5 2 3 4 2" xfId="11329" xr:uid="{92842702-736D-476F-A765-0140D8A61C32}"/>
    <cellStyle name="Currency 4 2 5 2 3 5" xfId="2130" xr:uid="{ABD72782-5E73-44C0-A71A-3A2F69DB9556}"/>
    <cellStyle name="Currency 4 2 5 2 3 5 2" xfId="11330" xr:uid="{D14C4B19-6A6D-4159-8A02-2E70EFC9A649}"/>
    <cellStyle name="Currency 4 2 5 2 3 6" xfId="11324" xr:uid="{1C02ADA3-8A96-4A86-B763-DB26DB7E5696}"/>
    <cellStyle name="Currency 4 2 5 2 4" xfId="2131" xr:uid="{8C881824-968E-46ED-AA0B-2BEA425F5CFC}"/>
    <cellStyle name="Currency 4 2 5 2 4 2" xfId="2132" xr:uid="{4037F5F3-1CE3-4827-B840-02520A63DF12}"/>
    <cellStyle name="Currency 4 2 5 2 4 2 2" xfId="11332" xr:uid="{C34B9876-99F2-4A10-95E3-BBA75B00FC80}"/>
    <cellStyle name="Currency 4 2 5 2 4 3" xfId="2133" xr:uid="{941B53B2-D854-4D18-B0ED-1C82D5C69AAF}"/>
    <cellStyle name="Currency 4 2 5 2 4 3 2" xfId="11333" xr:uid="{4DCAF3D0-5B87-41DA-B61C-DC373181F311}"/>
    <cellStyle name="Currency 4 2 5 2 4 4" xfId="11331" xr:uid="{B2386B3A-AB0D-4DE4-B68A-4BD79C869D7F}"/>
    <cellStyle name="Currency 4 2 5 2 5" xfId="2134" xr:uid="{795D7D60-BA89-4F67-A610-23822B1A75CB}"/>
    <cellStyle name="Currency 4 2 5 2 5 2" xfId="11334" xr:uid="{5D8E52C9-7332-4767-89A6-F1DBA0A0FFB4}"/>
    <cellStyle name="Currency 4 2 5 2 6" xfId="2135" xr:uid="{1DBE3F52-C7B9-4162-912A-FCA064364714}"/>
    <cellStyle name="Currency 4 2 5 2 6 2" xfId="11335" xr:uid="{2D4B3690-6F71-4FF4-9A63-59B961289B58}"/>
    <cellStyle name="Currency 4 2 5 2 7" xfId="2136" xr:uid="{05248776-4A93-4B30-8FAF-500F77B922F0}"/>
    <cellStyle name="Currency 4 2 5 2 7 2" xfId="11336" xr:uid="{86520F68-0CCB-4373-B927-49E8234ADD6A}"/>
    <cellStyle name="Currency 4 2 5 2 8" xfId="11316" xr:uid="{0107496D-75C6-45A5-92F6-CB273747E196}"/>
    <cellStyle name="Currency 4 2 5 3" xfId="2137" xr:uid="{5623F186-AF7B-4EE5-B609-04903E81E448}"/>
    <cellStyle name="Currency 4 2 5 3 2" xfId="2138" xr:uid="{7FC64E31-058A-4DC4-8BF7-47EE6F6399A9}"/>
    <cellStyle name="Currency 4 2 5 3 2 2" xfId="2139" xr:uid="{49B31E87-DDD5-4EE6-A142-E8ED20163169}"/>
    <cellStyle name="Currency 4 2 5 3 2 2 2" xfId="11339" xr:uid="{C4F9E72B-E727-43DF-89E5-7FF0652AED61}"/>
    <cellStyle name="Currency 4 2 5 3 2 3" xfId="2140" xr:uid="{14669D83-6186-4A9E-97CE-A8335CC9D0A8}"/>
    <cellStyle name="Currency 4 2 5 3 2 3 2" xfId="11340" xr:uid="{1FD534A1-B695-46BF-8656-DFF5E53C5987}"/>
    <cellStyle name="Currency 4 2 5 3 2 4" xfId="11338" xr:uid="{0CD2EE80-2C1E-4482-8303-02AA10749C7F}"/>
    <cellStyle name="Currency 4 2 5 3 3" xfId="2141" xr:uid="{58A138CE-81DC-4697-B89C-24845EE557FC}"/>
    <cellStyle name="Currency 4 2 5 3 3 2" xfId="11341" xr:uid="{97761201-2909-41DF-ACAC-A02D3DADCD3E}"/>
    <cellStyle name="Currency 4 2 5 3 4" xfId="2142" xr:uid="{2353287C-3208-498B-AD1F-CC17B83F6913}"/>
    <cellStyle name="Currency 4 2 5 3 4 2" xfId="11342" xr:uid="{85A9EA77-46B4-4706-AF7C-35486B0425C3}"/>
    <cellStyle name="Currency 4 2 5 3 5" xfId="2143" xr:uid="{C1B0AFDE-F1DD-404D-AE6E-E3E781EDADDB}"/>
    <cellStyle name="Currency 4 2 5 3 5 2" xfId="11343" xr:uid="{A901A31C-976D-4C99-95C7-A6AE1967205D}"/>
    <cellStyle name="Currency 4 2 5 3 6" xfId="11337" xr:uid="{D66134BB-D2B8-4119-8654-1A5C94A60A7E}"/>
    <cellStyle name="Currency 4 2 5 4" xfId="2144" xr:uid="{BB85FED1-432E-4A5A-B204-870995DEAC8D}"/>
    <cellStyle name="Currency 4 2 5 4 2" xfId="2145" xr:uid="{9B58D899-3250-4545-AA98-E3B86D323F7E}"/>
    <cellStyle name="Currency 4 2 5 4 2 2" xfId="2146" xr:uid="{BFC1DE12-6AD1-4C78-8158-A9A1C3E30EC6}"/>
    <cellStyle name="Currency 4 2 5 4 2 2 2" xfId="11346" xr:uid="{943A38DC-4211-4DA8-B81A-F59291BD0E2F}"/>
    <cellStyle name="Currency 4 2 5 4 2 3" xfId="2147" xr:uid="{317528A3-FD3A-4A40-9F40-9625892CDD41}"/>
    <cellStyle name="Currency 4 2 5 4 2 3 2" xfId="11347" xr:uid="{C10D4FFB-B43D-4EBE-89ED-4216B9AC548D}"/>
    <cellStyle name="Currency 4 2 5 4 2 4" xfId="11345" xr:uid="{8B67DFEC-BB31-4DA1-B3E7-F14494C8B4EA}"/>
    <cellStyle name="Currency 4 2 5 4 3" xfId="2148" xr:uid="{2BE13A70-DB0B-4401-9BA1-90A4119F6584}"/>
    <cellStyle name="Currency 4 2 5 4 3 2" xfId="11348" xr:uid="{887D8234-6150-4F61-83F1-A0D0F738C9FD}"/>
    <cellStyle name="Currency 4 2 5 4 4" xfId="2149" xr:uid="{C69E547A-401F-45FA-8810-350552ABF75E}"/>
    <cellStyle name="Currency 4 2 5 4 4 2" xfId="11349" xr:uid="{33C368BC-310B-4BE8-AA76-78F0779CAB9D}"/>
    <cellStyle name="Currency 4 2 5 4 5" xfId="2150" xr:uid="{69284612-0AD4-4137-B48B-644F94875810}"/>
    <cellStyle name="Currency 4 2 5 4 5 2" xfId="11350" xr:uid="{9FA39F2A-0AF4-4E2A-917C-9571105AE19B}"/>
    <cellStyle name="Currency 4 2 5 4 6" xfId="11344" xr:uid="{E18AEAE0-E7D3-4ABC-AA9A-887A19347C10}"/>
    <cellStyle name="Currency 4 2 5 5" xfId="2151" xr:uid="{F5F12F09-D0CD-417C-A542-34411FE9B0FB}"/>
    <cellStyle name="Currency 4 2 5 5 2" xfId="2152" xr:uid="{F476AED9-08F2-4750-87A2-89EBBB5CD9B6}"/>
    <cellStyle name="Currency 4 2 5 5 2 2" xfId="11352" xr:uid="{DA561D7E-5C87-4135-B6D1-452981357D74}"/>
    <cellStyle name="Currency 4 2 5 5 3" xfId="2153" xr:uid="{699BC7DE-46BF-4715-999A-073005BB3A04}"/>
    <cellStyle name="Currency 4 2 5 5 3 2" xfId="11353" xr:uid="{0B35689E-EA7E-4EF5-B9BE-1374B40BCCEA}"/>
    <cellStyle name="Currency 4 2 5 5 4" xfId="11351" xr:uid="{DBFA370A-C7E0-4234-A9C3-F977458E9E64}"/>
    <cellStyle name="Currency 4 2 5 6" xfId="2154" xr:uid="{B41D0F24-0583-4CF3-98E6-7024FC871689}"/>
    <cellStyle name="Currency 4 2 5 6 2" xfId="11354" xr:uid="{6FB7174B-2AB1-41AB-8CEF-71C9AB652BBB}"/>
    <cellStyle name="Currency 4 2 5 7" xfId="2155" xr:uid="{E5C6216C-1DF3-4737-ACF8-BE7D26B06E14}"/>
    <cellStyle name="Currency 4 2 5 7 2" xfId="11355" xr:uid="{0F393251-1BC1-41B5-AF4B-CE7572EDF5F5}"/>
    <cellStyle name="Currency 4 2 5 8" xfId="2156" xr:uid="{7AF9657C-BB41-49DD-9795-02FFA0F8A1E3}"/>
    <cellStyle name="Currency 4 2 5 8 2" xfId="11356" xr:uid="{8812E47D-FF04-4EC1-99B9-1055D32AA765}"/>
    <cellStyle name="Currency 4 2 5 9" xfId="11315" xr:uid="{430269BE-53D3-4B88-8F27-FFBAB128B1D0}"/>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2 2" xfId="11360" xr:uid="{B093BB9F-B052-4B2E-955B-8FE20FD8E58A}"/>
    <cellStyle name="Currency 4 2 7 2 2 3" xfId="2162" xr:uid="{51E320DD-5EFF-4229-8246-B1AB1CC946E9}"/>
    <cellStyle name="Currency 4 2 7 2 2 3 2" xfId="11361" xr:uid="{F33B49A9-9937-48EA-B9D5-0AC7D77782D2}"/>
    <cellStyle name="Currency 4 2 7 2 2 4" xfId="11359" xr:uid="{5AD8BAAD-36EE-447A-AB29-D786800DE0D8}"/>
    <cellStyle name="Currency 4 2 7 2 3" xfId="2163" xr:uid="{4286060B-8186-45F9-AF31-37DB98537974}"/>
    <cellStyle name="Currency 4 2 7 2 3 2" xfId="11362" xr:uid="{BC00BF11-2D80-4A35-93F4-4A955A7D8C54}"/>
    <cellStyle name="Currency 4 2 7 2 4" xfId="2164" xr:uid="{04EFFF07-2C85-4448-ACBC-E51599B59164}"/>
    <cellStyle name="Currency 4 2 7 2 4 2" xfId="11363" xr:uid="{99BD0071-0368-4683-991A-CC1FE93D5810}"/>
    <cellStyle name="Currency 4 2 7 2 5" xfId="2165" xr:uid="{1CBEA92E-AFBB-41AB-A2AB-C6B3BB7F5910}"/>
    <cellStyle name="Currency 4 2 7 2 5 2" xfId="11364" xr:uid="{0DC31D15-164C-4795-B341-97C43D9BCFBA}"/>
    <cellStyle name="Currency 4 2 7 2 6" xfId="11358" xr:uid="{EE0CADAB-AFC7-46C0-89A3-6EF2FB05DC83}"/>
    <cellStyle name="Currency 4 2 7 3" xfId="2166" xr:uid="{811A8ADF-873B-4307-8BB2-62A6B0DC7DD7}"/>
    <cellStyle name="Currency 4 2 7 3 2" xfId="2167" xr:uid="{57A74ED7-63F3-4DD8-B0F8-CF7552D41B2D}"/>
    <cellStyle name="Currency 4 2 7 3 2 2" xfId="2168" xr:uid="{59EB2E5C-7687-4622-91A9-8D433ED2B1CD}"/>
    <cellStyle name="Currency 4 2 7 3 2 2 2" xfId="11367" xr:uid="{4291B243-D2E5-4F4D-922B-24D9FB3DE605}"/>
    <cellStyle name="Currency 4 2 7 3 2 3" xfId="2169" xr:uid="{EA245DDB-E728-41EC-B4B3-173D166DE7A5}"/>
    <cellStyle name="Currency 4 2 7 3 2 3 2" xfId="11368" xr:uid="{164710BF-0D2B-4E2C-926D-5D199190CDD9}"/>
    <cellStyle name="Currency 4 2 7 3 2 4" xfId="11366" xr:uid="{38942D7E-FB5E-4E00-A80D-F510E26CA2BD}"/>
    <cellStyle name="Currency 4 2 7 3 3" xfId="2170" xr:uid="{991D77F6-5380-442A-ADBB-FF73004356A3}"/>
    <cellStyle name="Currency 4 2 7 3 3 2" xfId="11369" xr:uid="{8D95486F-99EB-4A3F-BB0F-72039F98D41C}"/>
    <cellStyle name="Currency 4 2 7 3 4" xfId="2171" xr:uid="{FB1E0305-35FB-4D55-A194-B7F671B7BB2D}"/>
    <cellStyle name="Currency 4 2 7 3 4 2" xfId="11370" xr:uid="{26FB4AF0-1754-4941-81C4-C967C8CCF745}"/>
    <cellStyle name="Currency 4 2 7 3 5" xfId="2172" xr:uid="{54B8A169-159C-4B40-8BC5-E96F800278D2}"/>
    <cellStyle name="Currency 4 2 7 3 5 2" xfId="11371" xr:uid="{37268CAA-DB51-4C08-88B4-102C92DBA313}"/>
    <cellStyle name="Currency 4 2 7 3 6" xfId="11365" xr:uid="{93FF9DD2-F27B-43E3-AD78-4EF763FF18A5}"/>
    <cellStyle name="Currency 4 2 7 4" xfId="2173" xr:uid="{3A68EE83-86F9-43DA-9224-664E6B114C02}"/>
    <cellStyle name="Currency 4 2 7 4 2" xfId="2174" xr:uid="{58BBA5B2-5764-47C7-8D49-ED4825537DD1}"/>
    <cellStyle name="Currency 4 2 7 4 2 2" xfId="11373" xr:uid="{8BE3D931-8FB1-4928-B947-91AFF9F98DC7}"/>
    <cellStyle name="Currency 4 2 7 4 3" xfId="2175" xr:uid="{06019ACD-838E-414D-AF91-92C3E7112317}"/>
    <cellStyle name="Currency 4 2 7 4 3 2" xfId="11374" xr:uid="{9813AD77-F03D-43A1-82AB-CC384E4ECBD2}"/>
    <cellStyle name="Currency 4 2 7 4 4" xfId="11372" xr:uid="{A489B889-C500-45E5-86AB-CC184E8D6D43}"/>
    <cellStyle name="Currency 4 2 7 5" xfId="2176" xr:uid="{11CB6C30-FDB3-4E9F-AD64-AB0F50967969}"/>
    <cellStyle name="Currency 4 2 7 5 2" xfId="11375" xr:uid="{9E8F05D6-0297-4EE2-80C5-92B35CA37660}"/>
    <cellStyle name="Currency 4 2 7 6" xfId="2177" xr:uid="{FB3A1A06-F181-4BED-ABF5-AF440D3EA50B}"/>
    <cellStyle name="Currency 4 2 7 6 2" xfId="11376" xr:uid="{3D15DBD3-2DC1-4C05-8364-5270F50184E2}"/>
    <cellStyle name="Currency 4 2 7 7" xfId="2178" xr:uid="{129A6B06-421C-475F-941D-670BC545A7E2}"/>
    <cellStyle name="Currency 4 2 7 7 2" xfId="11377" xr:uid="{06297B00-7523-4623-BB0D-884222E0EBB9}"/>
    <cellStyle name="Currency 4 2 7 8" xfId="11357" xr:uid="{43302155-9790-4457-A12E-7284F26AC9AB}"/>
    <cellStyle name="Currency 4 2 8" xfId="2179" xr:uid="{A94496AB-AD52-4F0D-8A49-A82239F4B569}"/>
    <cellStyle name="Currency 4 2 8 2" xfId="2180" xr:uid="{D4BAFC05-CCAE-4DF7-A511-0108A8FE8C5E}"/>
    <cellStyle name="Currency 4 2 8 2 2" xfId="2181" xr:uid="{B2BC1B15-8C7A-4A83-BE8B-BA9EE06F6E62}"/>
    <cellStyle name="Currency 4 2 8 2 2 2" xfId="11380" xr:uid="{39C79AA4-A496-4913-B807-50AD07F19906}"/>
    <cellStyle name="Currency 4 2 8 2 3" xfId="2182" xr:uid="{DA5FB87C-3918-4CC0-8791-518CE5DDE60C}"/>
    <cellStyle name="Currency 4 2 8 2 3 2" xfId="11381" xr:uid="{571DDFE3-05A9-417E-8239-D38C026CB9F6}"/>
    <cellStyle name="Currency 4 2 8 2 4" xfId="11379" xr:uid="{810C6F23-14FE-4A6C-A236-5824D908E8B2}"/>
    <cellStyle name="Currency 4 2 8 3" xfId="2183" xr:uid="{7DC6726A-59C7-4F11-8BCF-9CA83875BFBC}"/>
    <cellStyle name="Currency 4 2 8 3 2" xfId="11382" xr:uid="{F25FD978-C054-4C04-9C85-1B1B6F2D8E50}"/>
    <cellStyle name="Currency 4 2 8 4" xfId="2184" xr:uid="{7363E03F-6BAE-4BD1-BE9C-BA7638A89D5D}"/>
    <cellStyle name="Currency 4 2 8 4 2" xfId="11383" xr:uid="{96E13ACE-A4FD-4C80-97FF-0DD0194E6969}"/>
    <cellStyle name="Currency 4 2 8 5" xfId="2185" xr:uid="{45A3F061-05DA-4089-AE9D-7A9B67A8D0CA}"/>
    <cellStyle name="Currency 4 2 8 5 2" xfId="11384" xr:uid="{60BED8CF-8BF5-4198-9F27-89FE2E4ADB8E}"/>
    <cellStyle name="Currency 4 2 8 6" xfId="11378" xr:uid="{17830EA2-CE28-44FC-8955-86BB978B3640}"/>
    <cellStyle name="Currency 4 2 9" xfId="2186" xr:uid="{62DA4481-5EF4-4E69-85CE-3302058D3E15}"/>
    <cellStyle name="Currency 4 2 9 2" xfId="2187" xr:uid="{0814D0BB-112F-4B33-8178-5835F1D1FA51}"/>
    <cellStyle name="Currency 4 2 9 2 2" xfId="2188" xr:uid="{E96602E0-CE33-4629-A483-76C0D7078669}"/>
    <cellStyle name="Currency 4 2 9 2 2 2" xfId="11387" xr:uid="{2A93EE4B-5252-4507-890B-4C66F540E1C9}"/>
    <cellStyle name="Currency 4 2 9 2 3" xfId="2189" xr:uid="{5DC7DC81-714A-46C4-B90E-8960CBEA5566}"/>
    <cellStyle name="Currency 4 2 9 2 3 2" xfId="11388" xr:uid="{69360C98-F2CB-450A-910F-0F65A2C6FD45}"/>
    <cellStyle name="Currency 4 2 9 2 4" xfId="11386" xr:uid="{80E90C18-61FB-4AE0-9C79-688D07F1AD8C}"/>
    <cellStyle name="Currency 4 2 9 3" xfId="2190" xr:uid="{2E1236A1-C1C7-40F1-BF83-3BC0C07D4393}"/>
    <cellStyle name="Currency 4 2 9 3 2" xfId="11389" xr:uid="{43B8E021-E0C1-4642-8D84-2DBC62677934}"/>
    <cellStyle name="Currency 4 2 9 4" xfId="2191" xr:uid="{06566D02-8C5C-4B92-AF8D-9B664AE0AADA}"/>
    <cellStyle name="Currency 4 2 9 4 2" xfId="11390" xr:uid="{8071254E-9D54-4C13-9C7F-DB4D28F0D81E}"/>
    <cellStyle name="Currency 4 2 9 5" xfId="2192" xr:uid="{1E8CF4AC-E2CD-43D8-B164-1306AC62D2E7}"/>
    <cellStyle name="Currency 4 2 9 5 2" xfId="11391" xr:uid="{BA6BE2DF-B21C-4AF6-9EFA-E06FDC86EE41}"/>
    <cellStyle name="Currency 4 2 9 6" xfId="11385" xr:uid="{FAA2E5C9-1190-4F53-B91A-FF370867A96D}"/>
    <cellStyle name="Currency 4 3" xfId="251" xr:uid="{00000000-0005-0000-0000-000021010000}"/>
    <cellStyle name="Currency 4 3 10" xfId="2193" xr:uid="{2DC16E6C-EC9C-496B-BF40-E1C2F2289B09}"/>
    <cellStyle name="Currency 4 3 10 2" xfId="11392" xr:uid="{BDB7E01F-7F5A-477E-BD47-5973BE2CDD51}"/>
    <cellStyle name="Currency 4 3 11" xfId="10381" xr:uid="{F6BA4785-3ABE-42C8-B8BB-CDF9126D4DFE}"/>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2 2" xfId="11397" xr:uid="{6D467A9A-836C-4835-ABA7-BB919E3DD9A5}"/>
    <cellStyle name="Currency 4 3 2 2 2 2 3" xfId="2199" xr:uid="{BFE45598-8C41-4A66-BCD4-142E28FF3624}"/>
    <cellStyle name="Currency 4 3 2 2 2 2 3 2" xfId="11398" xr:uid="{D9CEAFDB-A28B-49E5-8142-1AB7BFE52B23}"/>
    <cellStyle name="Currency 4 3 2 2 2 2 4" xfId="11396" xr:uid="{A3CBFBF7-1C84-48F8-89DF-3FD9BCDC31E2}"/>
    <cellStyle name="Currency 4 3 2 2 2 3" xfId="2200" xr:uid="{DCCC87B3-E84D-4F20-A1C6-BD461EB17DEA}"/>
    <cellStyle name="Currency 4 3 2 2 2 3 2" xfId="11399" xr:uid="{8A3D6992-F85B-40FC-A746-AEBBEBDF20ED}"/>
    <cellStyle name="Currency 4 3 2 2 2 4" xfId="2201" xr:uid="{40F5DEDF-D31E-466D-A79E-A84C30EABC39}"/>
    <cellStyle name="Currency 4 3 2 2 2 4 2" xfId="11400" xr:uid="{0B86D9BD-A491-4E6A-8435-374A211BC518}"/>
    <cellStyle name="Currency 4 3 2 2 2 5" xfId="2202" xr:uid="{D512F6C9-F589-4397-842D-4EF3A1EE93EB}"/>
    <cellStyle name="Currency 4 3 2 2 2 5 2" xfId="11401" xr:uid="{7837C5BB-994B-4D4B-9D41-0A7B17AE48A9}"/>
    <cellStyle name="Currency 4 3 2 2 2 6" xfId="11395" xr:uid="{450CCA22-076B-4A08-82E4-D92F3B4228FD}"/>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2 2" xfId="11404" xr:uid="{EBE532E7-C831-4DA6-8550-BE73E7DE6C28}"/>
    <cellStyle name="Currency 4 3 2 2 3 2 3" xfId="2206" xr:uid="{F1681BB6-D105-42B4-86AE-B6C36600C4BE}"/>
    <cellStyle name="Currency 4 3 2 2 3 2 3 2" xfId="11405" xr:uid="{66DEE53E-6467-447D-8D25-0C4EFE0CA8B9}"/>
    <cellStyle name="Currency 4 3 2 2 3 2 4" xfId="11403" xr:uid="{39F89515-E7DD-441B-ABDF-FE35E4FE070B}"/>
    <cellStyle name="Currency 4 3 2 2 3 3" xfId="2207" xr:uid="{0173C0A5-7DBB-4CA8-9A70-C2B19E0AE358}"/>
    <cellStyle name="Currency 4 3 2 2 3 3 2" xfId="11406" xr:uid="{5242BC37-1EA2-4EE0-B0CA-47ECF76A45DA}"/>
    <cellStyle name="Currency 4 3 2 2 3 4" xfId="2208" xr:uid="{0B19C2AE-261C-4D97-91FA-A20E88A4B74F}"/>
    <cellStyle name="Currency 4 3 2 2 3 4 2" xfId="11407" xr:uid="{5C9964FA-3AD6-44D1-9149-119353065F4F}"/>
    <cellStyle name="Currency 4 3 2 2 3 5" xfId="2209" xr:uid="{205BD58E-0343-4CB4-82D2-2D69CD50DF84}"/>
    <cellStyle name="Currency 4 3 2 2 3 5 2" xfId="11408" xr:uid="{0C0680CF-620B-4EDE-825C-41BAF676CC40}"/>
    <cellStyle name="Currency 4 3 2 2 3 6" xfId="11402" xr:uid="{A5698BE0-6216-4C2A-86FC-32BE963AB688}"/>
    <cellStyle name="Currency 4 3 2 2 4" xfId="2210" xr:uid="{1CE9BB4A-58BE-478D-850A-5304B755EBAF}"/>
    <cellStyle name="Currency 4 3 2 2 4 2" xfId="2211" xr:uid="{41D1A018-2D76-403E-BBD7-8B400CCE85E4}"/>
    <cellStyle name="Currency 4 3 2 2 4 2 2" xfId="11410" xr:uid="{2B52951C-43B5-4864-B4E7-591F55E2D33B}"/>
    <cellStyle name="Currency 4 3 2 2 4 3" xfId="2212" xr:uid="{94544926-86EC-4D67-B633-2A4201B618D5}"/>
    <cellStyle name="Currency 4 3 2 2 4 3 2" xfId="11411" xr:uid="{DAD8DA13-AE9B-42D6-98A9-F59F16BB486B}"/>
    <cellStyle name="Currency 4 3 2 2 4 4" xfId="11409" xr:uid="{89B628F0-C20E-4B74-A906-A82DF020C6DD}"/>
    <cellStyle name="Currency 4 3 2 2 5" xfId="2213" xr:uid="{C4F40794-9161-4B8F-8725-F1DE89038F72}"/>
    <cellStyle name="Currency 4 3 2 2 5 2" xfId="11412" xr:uid="{5C6CDE52-8A60-41E1-965D-A8468D941986}"/>
    <cellStyle name="Currency 4 3 2 2 6" xfId="2214" xr:uid="{28C2DBDA-AF6B-4E29-9010-5469C383221B}"/>
    <cellStyle name="Currency 4 3 2 2 6 2" xfId="11413" xr:uid="{E38617B2-46B9-4D6D-8349-CA66F006ECC5}"/>
    <cellStyle name="Currency 4 3 2 2 7" xfId="2215" xr:uid="{4383C045-56D3-4EFA-AD84-B1E8877D2B2E}"/>
    <cellStyle name="Currency 4 3 2 2 7 2" xfId="11414" xr:uid="{7700A1AB-86DC-4C3D-B62E-9F181386D8D0}"/>
    <cellStyle name="Currency 4 3 2 2 8" xfId="11394" xr:uid="{CDA6D461-9174-493C-A06D-50668556CB4C}"/>
    <cellStyle name="Currency 4 3 2 3" xfId="2216" xr:uid="{203BA8C6-B96A-423E-8478-355F9B1A10B1}"/>
    <cellStyle name="Currency 4 3 2 3 2" xfId="2217" xr:uid="{3E0C53EF-C198-4147-A5C7-9FF454BC2716}"/>
    <cellStyle name="Currency 4 3 2 3 2 2" xfId="2218" xr:uid="{85D3328A-C02A-42E8-A6A8-CAFA70620060}"/>
    <cellStyle name="Currency 4 3 2 3 2 2 2" xfId="11417" xr:uid="{38DBF096-F082-4A6A-BC6E-00681BE581E4}"/>
    <cellStyle name="Currency 4 3 2 3 2 3" xfId="2219" xr:uid="{9CB44863-188A-4E3D-A7D1-F19591860716}"/>
    <cellStyle name="Currency 4 3 2 3 2 3 2" xfId="11418" xr:uid="{70E0E3FF-5854-4627-8D0A-AD4137AFC1F1}"/>
    <cellStyle name="Currency 4 3 2 3 2 4" xfId="11416" xr:uid="{C788AD65-B147-4CC1-8A08-38ABB8F7984A}"/>
    <cellStyle name="Currency 4 3 2 3 3" xfId="2220" xr:uid="{EC9DADAD-1C74-4665-90C7-019AA7EC8EEC}"/>
    <cellStyle name="Currency 4 3 2 3 3 2" xfId="11419" xr:uid="{78AB5019-41CA-4CD2-90CC-D4C3D1DA8501}"/>
    <cellStyle name="Currency 4 3 2 3 4" xfId="2221" xr:uid="{D6CEE532-E8A6-481A-A05A-1062AA9338A2}"/>
    <cellStyle name="Currency 4 3 2 3 4 2" xfId="11420" xr:uid="{76A5F294-C4F8-4DFC-A8AE-95AE07FC0AC5}"/>
    <cellStyle name="Currency 4 3 2 3 5" xfId="2222" xr:uid="{72FE98A9-8010-4068-A8A3-02E919B44D03}"/>
    <cellStyle name="Currency 4 3 2 3 5 2" xfId="11421" xr:uid="{DF3EF823-AF0B-47A6-B86F-8AC9484CEC49}"/>
    <cellStyle name="Currency 4 3 2 3 6" xfId="11415" xr:uid="{FDBB91CA-A8E8-4F98-BB52-380B5703ECD3}"/>
    <cellStyle name="Currency 4 3 2 4" xfId="2223" xr:uid="{44F3D98C-7C3E-4029-A7ED-3E20729DB442}"/>
    <cellStyle name="Currency 4 3 2 4 2" xfId="2224" xr:uid="{4AFFE493-A3AB-453B-A1B6-2589FBCE2E3F}"/>
    <cellStyle name="Currency 4 3 2 4 2 2" xfId="2225" xr:uid="{3908D8DB-C4A9-48F6-BAA3-C8D13FDFB3F0}"/>
    <cellStyle name="Currency 4 3 2 4 2 2 2" xfId="11424" xr:uid="{03637F6B-E4FE-494E-8477-2071C364040F}"/>
    <cellStyle name="Currency 4 3 2 4 2 3" xfId="2226" xr:uid="{D3DAD3A7-04F7-4DD2-8473-91E8EF0ECB01}"/>
    <cellStyle name="Currency 4 3 2 4 2 3 2" xfId="11425" xr:uid="{2C420D0A-0A9E-4BB8-8EC0-D7F3B7329BAC}"/>
    <cellStyle name="Currency 4 3 2 4 2 4" xfId="11423" xr:uid="{62F694CC-683F-4652-A15E-1A48303924B7}"/>
    <cellStyle name="Currency 4 3 2 4 3" xfId="2227" xr:uid="{9765AA64-5A92-49E1-9D7E-DDAFE808D9ED}"/>
    <cellStyle name="Currency 4 3 2 4 3 2" xfId="11426" xr:uid="{564D6FB3-39D6-43D7-8811-277A7D613954}"/>
    <cellStyle name="Currency 4 3 2 4 4" xfId="2228" xr:uid="{CD284CB1-1E24-49AF-8796-6DDD4112CE26}"/>
    <cellStyle name="Currency 4 3 2 4 4 2" xfId="11427" xr:uid="{3BE4BC53-24AD-4B17-B550-D863BB107484}"/>
    <cellStyle name="Currency 4 3 2 4 5" xfId="2229" xr:uid="{D0A58286-A488-4A56-B86D-C1BA62336209}"/>
    <cellStyle name="Currency 4 3 2 4 5 2" xfId="11428" xr:uid="{25F79A1F-ACAD-4871-B10C-D1D28E49FFD9}"/>
    <cellStyle name="Currency 4 3 2 4 6" xfId="11422" xr:uid="{5C2FCA3F-AB2C-4C0F-AE6A-0D38CB4D6CC6}"/>
    <cellStyle name="Currency 4 3 2 5" xfId="2230" xr:uid="{79A7CD43-F4B9-4CA0-876D-FBB3156D6B8F}"/>
    <cellStyle name="Currency 4 3 2 5 2" xfId="2231" xr:uid="{91FE5F43-1323-48CB-925D-B9C28B0F9019}"/>
    <cellStyle name="Currency 4 3 2 5 2 2" xfId="11430" xr:uid="{63EE47F5-475C-4BB8-B4A0-4234373A5A96}"/>
    <cellStyle name="Currency 4 3 2 5 3" xfId="2232" xr:uid="{77E139A8-E6F9-4C4D-B9BE-55AB88BA811B}"/>
    <cellStyle name="Currency 4 3 2 5 3 2" xfId="11431" xr:uid="{D2662F54-36DD-4F45-A12A-FB10C7047FB1}"/>
    <cellStyle name="Currency 4 3 2 5 4" xfId="11429" xr:uid="{F5962D5E-8EC2-4AD3-B18C-CF204BC9A377}"/>
    <cellStyle name="Currency 4 3 2 6" xfId="2233" xr:uid="{7ED559A9-757A-488F-AA52-5ECD15AA7102}"/>
    <cellStyle name="Currency 4 3 2 6 2" xfId="11432" xr:uid="{DA4AB4D6-B144-4D3D-A02C-DD04B9179021}"/>
    <cellStyle name="Currency 4 3 2 7" xfId="2234" xr:uid="{B780470B-0562-44D4-B7BC-8514CF914C39}"/>
    <cellStyle name="Currency 4 3 2 7 2" xfId="11433" xr:uid="{C3D5CAED-D82F-4AC0-AB7E-00C71FC1144C}"/>
    <cellStyle name="Currency 4 3 2 8" xfId="2235" xr:uid="{A44781B9-7DF7-4058-BD6A-55D9CDB85CF4}"/>
    <cellStyle name="Currency 4 3 2 8 2" xfId="11434" xr:uid="{868A0AC8-E87B-4FA9-8038-4BD568F57921}"/>
    <cellStyle name="Currency 4 3 2 9" xfId="2194" xr:uid="{F8EB56F0-1F8C-4655-A122-CEE38A9E9860}"/>
    <cellStyle name="Currency 4 3 2 9 2" xfId="11393" xr:uid="{2498AC09-F3B3-44C5-A70E-15E77BCC61EE}"/>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2 2" xfId="11438" xr:uid="{6B792480-AF3F-488F-AF49-ADB830EAAEC6}"/>
    <cellStyle name="Currency 4 3 3 2 2 3" xfId="2240" xr:uid="{07721037-D50C-4535-8337-BCC4E21ED253}"/>
    <cellStyle name="Currency 4 3 3 2 2 3 2" xfId="11439" xr:uid="{FC9C24EA-7E0F-4548-B43D-55C0599A360C}"/>
    <cellStyle name="Currency 4 3 3 2 2 4" xfId="11437" xr:uid="{070BBF85-8016-4DA6-93AA-3F578A399E42}"/>
    <cellStyle name="Currency 4 3 3 2 3" xfId="2241" xr:uid="{59F87686-79BC-4DB6-950A-F2076289076D}"/>
    <cellStyle name="Currency 4 3 3 2 3 2" xfId="11440" xr:uid="{1C1A9FBA-F62C-4D95-86D6-AD9A491204FF}"/>
    <cellStyle name="Currency 4 3 3 2 4" xfId="2242" xr:uid="{D6F7B05C-7AF5-4A6A-8427-69DDCF8DF7D2}"/>
    <cellStyle name="Currency 4 3 3 2 4 2" xfId="11441" xr:uid="{99A0F410-AB61-492B-825F-3C88A2638F65}"/>
    <cellStyle name="Currency 4 3 3 2 5" xfId="2243" xr:uid="{F9845155-920B-40F5-8A18-3B7BD7A65C29}"/>
    <cellStyle name="Currency 4 3 3 2 5 2" xfId="11442" xr:uid="{B6B985D9-DED8-47E3-AFB9-210929326878}"/>
    <cellStyle name="Currency 4 3 3 2 6" xfId="11436" xr:uid="{DF0F3755-ACCC-46C2-B96E-DE7208BEFD02}"/>
    <cellStyle name="Currency 4 3 3 3" xfId="2244" xr:uid="{D62EF6EC-306C-4023-9F1D-26CA43683437}"/>
    <cellStyle name="Currency 4 3 3 3 2" xfId="2245" xr:uid="{F605CF09-E5A2-41BF-92D3-D94EA816C91C}"/>
    <cellStyle name="Currency 4 3 3 3 2 2" xfId="2246" xr:uid="{F6B88332-3034-4A27-B35D-6230161226A8}"/>
    <cellStyle name="Currency 4 3 3 3 2 2 2" xfId="11445" xr:uid="{B4880C44-0BBF-4E1C-A1A0-58F0C26F4145}"/>
    <cellStyle name="Currency 4 3 3 3 2 3" xfId="2247" xr:uid="{2E8176B9-6570-498F-A7C7-74BB7676ACE8}"/>
    <cellStyle name="Currency 4 3 3 3 2 3 2" xfId="11446" xr:uid="{0445E508-7026-4D54-9AA3-5D8712CAD139}"/>
    <cellStyle name="Currency 4 3 3 3 2 4" xfId="11444" xr:uid="{79071BA7-E906-4CD0-B4E7-5113A4083BC2}"/>
    <cellStyle name="Currency 4 3 3 3 3" xfId="2248" xr:uid="{E83A955F-0E63-4E50-8049-F3D67A43FCDE}"/>
    <cellStyle name="Currency 4 3 3 3 3 2" xfId="11447" xr:uid="{ABF7AAA6-AE82-4A18-BE9D-DB39DFB5A24F}"/>
    <cellStyle name="Currency 4 3 3 3 4" xfId="2249" xr:uid="{B4DA1494-168F-45FE-9151-3D66376876E2}"/>
    <cellStyle name="Currency 4 3 3 3 4 2" xfId="11448" xr:uid="{804A5CD7-E996-4EE1-BEA5-6D05F501E404}"/>
    <cellStyle name="Currency 4 3 3 3 5" xfId="2250" xr:uid="{9452D976-712D-4375-9668-82BBF1D676F9}"/>
    <cellStyle name="Currency 4 3 3 3 5 2" xfId="11449" xr:uid="{E78B1C09-B57B-4C0E-AFC2-203ABDD2B4B5}"/>
    <cellStyle name="Currency 4 3 3 3 6" xfId="11443" xr:uid="{288F5526-46FA-49B1-A8A4-B3B115F0A804}"/>
    <cellStyle name="Currency 4 3 3 4" xfId="2251" xr:uid="{23E9792A-9EA3-42FD-B31A-4F5058974544}"/>
    <cellStyle name="Currency 4 3 3 4 2" xfId="2252" xr:uid="{BFCB82E3-8C2D-430B-8BE0-80BB3B2B6D37}"/>
    <cellStyle name="Currency 4 3 3 4 2 2" xfId="11451" xr:uid="{014A00DE-210E-41AF-8670-2A0AE579600D}"/>
    <cellStyle name="Currency 4 3 3 4 3" xfId="2253" xr:uid="{C1FA4760-9951-4116-8E46-F3CB2913AC30}"/>
    <cellStyle name="Currency 4 3 3 4 3 2" xfId="11452" xr:uid="{1AF7EE82-AB3E-4A1A-8875-E13885E8B0AA}"/>
    <cellStyle name="Currency 4 3 3 4 4" xfId="11450" xr:uid="{A2671E49-E0D9-4E7B-8C0F-898B50F37558}"/>
    <cellStyle name="Currency 4 3 3 5" xfId="2254" xr:uid="{879723E0-BDDB-474C-8191-4E03F09F9F34}"/>
    <cellStyle name="Currency 4 3 3 5 2" xfId="11453" xr:uid="{5C1B1F5C-5203-42ED-8969-B97590713556}"/>
    <cellStyle name="Currency 4 3 3 6" xfId="2255" xr:uid="{7ED0DB14-4F4D-472A-9385-D396421D5347}"/>
    <cellStyle name="Currency 4 3 3 6 2" xfId="11454" xr:uid="{03216AB3-C01F-46B2-9C05-242A36AD3A62}"/>
    <cellStyle name="Currency 4 3 3 7" xfId="2256" xr:uid="{FF67BC89-F417-4F6B-9BAC-170ADB6882FB}"/>
    <cellStyle name="Currency 4 3 3 7 2" xfId="11455" xr:uid="{DD9E28CB-5152-4B04-B3F8-ADD3AB026661}"/>
    <cellStyle name="Currency 4 3 3 8" xfId="2236" xr:uid="{88370A63-0E95-4564-8E4F-B13444EE9779}"/>
    <cellStyle name="Currency 4 3 3 8 2" xfId="11435" xr:uid="{CD16449A-3232-4B46-96AE-1C698A3587ED}"/>
    <cellStyle name="Currency 4 3 3 9" xfId="10463" xr:uid="{D1F31603-40E5-4066-ADF6-0A089C2CB51F}"/>
    <cellStyle name="Currency 4 3 4" xfId="2257" xr:uid="{A49B5A94-A477-43C2-AF70-587A84893FCD}"/>
    <cellStyle name="Currency 4 3 4 2" xfId="2258" xr:uid="{0FCD2F38-E7EE-4F1A-AF2D-DEDC4A978E2B}"/>
    <cellStyle name="Currency 4 3 4 2 2" xfId="2259" xr:uid="{BC3B27FA-CFEE-4935-B392-1543EE69CD2C}"/>
    <cellStyle name="Currency 4 3 4 2 2 2" xfId="11458" xr:uid="{B7F92AA2-38BA-4ED2-B45D-96F8308917DF}"/>
    <cellStyle name="Currency 4 3 4 2 3" xfId="2260" xr:uid="{D40B7403-4B66-40FD-A8B4-3D74AD291472}"/>
    <cellStyle name="Currency 4 3 4 2 3 2" xfId="11459" xr:uid="{521EC0ED-DC8F-40D8-B6B5-0363715A552B}"/>
    <cellStyle name="Currency 4 3 4 2 4" xfId="11457" xr:uid="{7FDE87F6-1BBC-4E1E-A140-0F387B7235A6}"/>
    <cellStyle name="Currency 4 3 4 3" xfId="2261" xr:uid="{E21688D2-7AC3-4572-B4E6-4D3B84864AE1}"/>
    <cellStyle name="Currency 4 3 4 3 2" xfId="11460" xr:uid="{A3047252-D165-4375-81D4-8B97CDE81405}"/>
    <cellStyle name="Currency 4 3 4 4" xfId="2262" xr:uid="{603AF0F5-4B60-4B32-8C0E-FF57BA5EE123}"/>
    <cellStyle name="Currency 4 3 4 4 2" xfId="11461" xr:uid="{48B5F06E-3CBA-4FF9-97FD-6A775E446A78}"/>
    <cellStyle name="Currency 4 3 4 5" xfId="2263" xr:uid="{1CC2A2A4-B38E-4D0B-A0F1-575E977E15D4}"/>
    <cellStyle name="Currency 4 3 4 5 2" xfId="11462" xr:uid="{64008A1E-CDF8-4000-993D-733170C2AF7A}"/>
    <cellStyle name="Currency 4 3 4 6" xfId="11456" xr:uid="{F93986EF-CDB3-42AE-9F8F-8EB874E03620}"/>
    <cellStyle name="Currency 4 3 5" xfId="2264" xr:uid="{05302498-7F90-4D73-9356-78AB886E11E7}"/>
    <cellStyle name="Currency 4 3 5 2" xfId="2265" xr:uid="{04081EBC-F2B4-4626-98DD-BD58249F3FDF}"/>
    <cellStyle name="Currency 4 3 5 2 2" xfId="2266" xr:uid="{BE784BFB-89A8-4FF0-9DB6-4A9AF327A97E}"/>
    <cellStyle name="Currency 4 3 5 2 2 2" xfId="11465" xr:uid="{8EEA6233-F842-4BA2-8CCC-8755F08D61F8}"/>
    <cellStyle name="Currency 4 3 5 2 3" xfId="2267" xr:uid="{2B58D7D0-7ABD-4BE1-A5AA-AC2613049CDB}"/>
    <cellStyle name="Currency 4 3 5 2 3 2" xfId="11466" xr:uid="{CC2FE0FA-25A1-4836-8CE3-B002626ED12C}"/>
    <cellStyle name="Currency 4 3 5 2 4" xfId="11464" xr:uid="{ED977764-0AB0-4FAB-9DF1-1F0689608F80}"/>
    <cellStyle name="Currency 4 3 5 3" xfId="2268" xr:uid="{7AAD9530-DFAC-4257-8282-7F586E712C46}"/>
    <cellStyle name="Currency 4 3 5 3 2" xfId="11467" xr:uid="{E101061E-A845-4096-B437-782F1AF65D72}"/>
    <cellStyle name="Currency 4 3 5 4" xfId="2269" xr:uid="{F47A5E94-B534-466C-9CCF-3804B5C5B038}"/>
    <cellStyle name="Currency 4 3 5 4 2" xfId="11468" xr:uid="{309641EC-F0D7-480C-B13A-7D8D68D1CD07}"/>
    <cellStyle name="Currency 4 3 5 5" xfId="2270" xr:uid="{47BF0725-9E4D-45B8-8342-5F3C299E285F}"/>
    <cellStyle name="Currency 4 3 5 5 2" xfId="11469" xr:uid="{EF207513-EBFD-43CE-AC0B-A1C130CE49AA}"/>
    <cellStyle name="Currency 4 3 5 6" xfId="11463" xr:uid="{634BBC1E-0D84-4EF0-A3DF-1ED2898678DE}"/>
    <cellStyle name="Currency 4 3 6" xfId="2271" xr:uid="{22F8CF56-DDAC-41D3-B7F4-8558947671FE}"/>
    <cellStyle name="Currency 4 3 6 2" xfId="2272" xr:uid="{575DC45E-BEC9-44C9-B722-4B0A79398D76}"/>
    <cellStyle name="Currency 4 3 6 2 2" xfId="11471" xr:uid="{3E570AC7-FDA1-4C67-A70B-F8BA35D84F6F}"/>
    <cellStyle name="Currency 4 3 6 3" xfId="2273" xr:uid="{4CFA3351-8E87-43E3-B6A1-A5FA187C6B17}"/>
    <cellStyle name="Currency 4 3 6 3 2" xfId="11472" xr:uid="{8AD2C650-7B0B-4F9B-B0C8-A588D38CCE3D}"/>
    <cellStyle name="Currency 4 3 6 4" xfId="11470" xr:uid="{6BF66AE6-FDD0-443B-9540-D6DCF0CBC079}"/>
    <cellStyle name="Currency 4 3 7" xfId="2274" xr:uid="{2CD908C9-6788-4E34-B645-486C9E2C5745}"/>
    <cellStyle name="Currency 4 3 7 2" xfId="11473" xr:uid="{06C50625-6377-4D95-B64C-4AE0BC7E7F30}"/>
    <cellStyle name="Currency 4 3 8" xfId="2275" xr:uid="{A07A719C-4A59-4A11-AAB8-0B9F30B224DD}"/>
    <cellStyle name="Currency 4 3 8 2" xfId="11474" xr:uid="{F08C64B8-9029-4D3F-B26B-32E6B0D5BC79}"/>
    <cellStyle name="Currency 4 3 9" xfId="2276" xr:uid="{DA1D482D-C8EC-415A-ACA3-8E96EACFB25C}"/>
    <cellStyle name="Currency 4 3 9 2" xfId="11475" xr:uid="{D89033DA-CD6D-4753-A4ED-0402976B46BE}"/>
    <cellStyle name="Currency 4 4" xfId="2277" xr:uid="{0D0CB05F-8BCA-48C3-96F9-344A6D29DAFE}"/>
    <cellStyle name="Currency 4 4 10" xfId="11476" xr:uid="{6C2CE159-469C-42B8-A3CC-3995AD08A9A0}"/>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2 2" xfId="11481" xr:uid="{E0EE3AE9-9169-430D-88E0-2B426CF97E56}"/>
    <cellStyle name="Currency 4 4 2 2 2 2 3" xfId="2283" xr:uid="{768D575C-E86C-4080-8FF4-381377A95041}"/>
    <cellStyle name="Currency 4 4 2 2 2 2 3 2" xfId="11482" xr:uid="{F7FCD926-1659-4086-82BB-B2EEA2FBBB87}"/>
    <cellStyle name="Currency 4 4 2 2 2 2 4" xfId="11480" xr:uid="{52C9CAF7-8CD7-4D6C-B496-2703B55903ED}"/>
    <cellStyle name="Currency 4 4 2 2 2 3" xfId="2284" xr:uid="{E3B6F526-DCE6-4B7C-9349-321A0E524207}"/>
    <cellStyle name="Currency 4 4 2 2 2 3 2" xfId="11483" xr:uid="{E893ED93-B4C3-4726-8700-72A9C03C6836}"/>
    <cellStyle name="Currency 4 4 2 2 2 4" xfId="2285" xr:uid="{01E2740B-DF4A-493A-8561-B2C5E52AF6C5}"/>
    <cellStyle name="Currency 4 4 2 2 2 4 2" xfId="11484" xr:uid="{95C0A5DD-3CB9-471A-A03F-15B5A80C2887}"/>
    <cellStyle name="Currency 4 4 2 2 2 5" xfId="2286" xr:uid="{99095288-1126-49E6-903E-72B2EF661F53}"/>
    <cellStyle name="Currency 4 4 2 2 2 5 2" xfId="11485" xr:uid="{375D3A72-3912-4F79-9658-8C45F9FFB07D}"/>
    <cellStyle name="Currency 4 4 2 2 2 6" xfId="11479" xr:uid="{F10A8BA6-4FAB-4875-B32D-839D3D7BDD62}"/>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2 2" xfId="11488" xr:uid="{3AF399E6-2D7C-4085-853C-6AA225A40DE7}"/>
    <cellStyle name="Currency 4 4 2 2 3 2 3" xfId="2290" xr:uid="{3085CD18-68DF-4450-B39C-803DFC1255B9}"/>
    <cellStyle name="Currency 4 4 2 2 3 2 3 2" xfId="11489" xr:uid="{686CCB83-E514-49EF-B164-223F44034E62}"/>
    <cellStyle name="Currency 4 4 2 2 3 2 4" xfId="11487" xr:uid="{353CCEB2-02DB-4655-8030-D658F615D2DF}"/>
    <cellStyle name="Currency 4 4 2 2 3 3" xfId="2291" xr:uid="{AE6FA0D6-F785-40E2-B22E-E74E8A118150}"/>
    <cellStyle name="Currency 4 4 2 2 3 3 2" xfId="11490" xr:uid="{CC292A6A-7D92-4943-9DCD-E0EA2C761205}"/>
    <cellStyle name="Currency 4 4 2 2 3 4" xfId="2292" xr:uid="{CF212935-3B15-4ECD-A3F4-08B675EE10DC}"/>
    <cellStyle name="Currency 4 4 2 2 3 4 2" xfId="11491" xr:uid="{C78925AD-709C-4CDA-9D51-6A9829131F5C}"/>
    <cellStyle name="Currency 4 4 2 2 3 5" xfId="2293" xr:uid="{0E7117A7-BB03-440A-BA3D-15282E06B4D6}"/>
    <cellStyle name="Currency 4 4 2 2 3 5 2" xfId="11492" xr:uid="{FA46898E-FF31-4C1E-B261-CB4DE74587EC}"/>
    <cellStyle name="Currency 4 4 2 2 3 6" xfId="11486" xr:uid="{7BD6ABB7-5923-4E6A-9472-7EBFA5A844BF}"/>
    <cellStyle name="Currency 4 4 2 2 4" xfId="2294" xr:uid="{53256A4A-B8A3-46E0-BBAB-EC43DB646C01}"/>
    <cellStyle name="Currency 4 4 2 2 4 2" xfId="2295" xr:uid="{35FF9AC3-5536-4F2A-83AA-3AF543EA7F25}"/>
    <cellStyle name="Currency 4 4 2 2 4 2 2" xfId="11494" xr:uid="{7EC117CB-5CD5-4E05-A75A-F9D0C83D0C37}"/>
    <cellStyle name="Currency 4 4 2 2 4 3" xfId="2296" xr:uid="{DA7A83BD-DFEB-4B92-9623-B2148A42B3A5}"/>
    <cellStyle name="Currency 4 4 2 2 4 3 2" xfId="11495" xr:uid="{D233D611-1853-4F69-9AF0-65CBA36AAF58}"/>
    <cellStyle name="Currency 4 4 2 2 4 4" xfId="11493" xr:uid="{C2E613F6-38D5-4A1C-871B-B4C7B0F1F63A}"/>
    <cellStyle name="Currency 4 4 2 2 5" xfId="2297" xr:uid="{A8A841C3-8502-4688-B681-7D2C64068016}"/>
    <cellStyle name="Currency 4 4 2 2 5 2" xfId="11496" xr:uid="{B14C5B8D-DE9E-4677-8C76-76A646D149C0}"/>
    <cellStyle name="Currency 4 4 2 2 6" xfId="2298" xr:uid="{0DC9B5DB-EFCA-4963-BC90-3A95DAC74716}"/>
    <cellStyle name="Currency 4 4 2 2 6 2" xfId="11497" xr:uid="{55FC8825-F31E-4E48-811A-F2984B4DFB6D}"/>
    <cellStyle name="Currency 4 4 2 2 7" xfId="2299" xr:uid="{9293AFA9-64C1-4F9C-9B9A-4DDE9EA64537}"/>
    <cellStyle name="Currency 4 4 2 2 7 2" xfId="11498" xr:uid="{057DB88B-D660-4E5F-823A-6B8A16CF7B85}"/>
    <cellStyle name="Currency 4 4 2 2 8" xfId="11478" xr:uid="{3C7B01F0-28C7-445C-BD35-E1145C34ECF9}"/>
    <cellStyle name="Currency 4 4 2 3" xfId="2300" xr:uid="{99CADDB2-71A2-44E7-BFC9-12FA78937C63}"/>
    <cellStyle name="Currency 4 4 2 3 2" xfId="2301" xr:uid="{17527277-616F-421E-A384-57873BEF1F66}"/>
    <cellStyle name="Currency 4 4 2 3 2 2" xfId="2302" xr:uid="{C063A9FC-D8E4-405D-91E0-B039C36F147C}"/>
    <cellStyle name="Currency 4 4 2 3 2 2 2" xfId="11501" xr:uid="{4D837C9C-FBFC-42F5-8C34-768BA68E2339}"/>
    <cellStyle name="Currency 4 4 2 3 2 3" xfId="2303" xr:uid="{8A740990-CE3A-4D6F-86F9-2E481086E64F}"/>
    <cellStyle name="Currency 4 4 2 3 2 3 2" xfId="11502" xr:uid="{197348CF-04CC-4092-AFE6-D06057B1AFBE}"/>
    <cellStyle name="Currency 4 4 2 3 2 4" xfId="11500" xr:uid="{5E67D4AD-8748-4CD6-9DF6-FC4838FDCA90}"/>
    <cellStyle name="Currency 4 4 2 3 3" xfId="2304" xr:uid="{6D9625B3-617A-449C-984E-FF64B20B65F2}"/>
    <cellStyle name="Currency 4 4 2 3 3 2" xfId="11503" xr:uid="{A356A41B-EB2F-4200-BAF0-53D860535A18}"/>
    <cellStyle name="Currency 4 4 2 3 4" xfId="2305" xr:uid="{8D92DFFE-2906-430C-BAF0-168F11FBF118}"/>
    <cellStyle name="Currency 4 4 2 3 4 2" xfId="11504" xr:uid="{0910F117-ED75-44CA-AEB4-E2C6770202A1}"/>
    <cellStyle name="Currency 4 4 2 3 5" xfId="2306" xr:uid="{CB640C4E-117A-4ED3-821E-590BD696F115}"/>
    <cellStyle name="Currency 4 4 2 3 5 2" xfId="11505" xr:uid="{4F9E1188-38F1-428B-A29F-BD8C5BFE1F7E}"/>
    <cellStyle name="Currency 4 4 2 3 6" xfId="11499" xr:uid="{7E870111-8BC8-448C-A30E-4DABA9EA40E3}"/>
    <cellStyle name="Currency 4 4 2 4" xfId="2307" xr:uid="{422C77FE-F04A-477F-AF5F-9DF43F0E7B94}"/>
    <cellStyle name="Currency 4 4 2 4 2" xfId="2308" xr:uid="{D45E919A-9461-4C4B-BB8D-5751E47406BC}"/>
    <cellStyle name="Currency 4 4 2 4 2 2" xfId="2309" xr:uid="{4662DC52-F9B0-406A-8F6C-2693B0270465}"/>
    <cellStyle name="Currency 4 4 2 4 2 2 2" xfId="11508" xr:uid="{51CB0C76-347D-4E23-8EBE-DDA5C131BD5F}"/>
    <cellStyle name="Currency 4 4 2 4 2 3" xfId="2310" xr:uid="{81F650BB-3F5F-4E0E-9B58-6A2FB6A185A0}"/>
    <cellStyle name="Currency 4 4 2 4 2 3 2" xfId="11509" xr:uid="{9A63BBD3-C01A-476D-A256-AC26D1BF3A20}"/>
    <cellStyle name="Currency 4 4 2 4 2 4" xfId="11507" xr:uid="{18D04C8C-ADED-431B-9CC8-FD7DCD716C2B}"/>
    <cellStyle name="Currency 4 4 2 4 3" xfId="2311" xr:uid="{A5365BD1-3440-401B-8812-97DA907CC028}"/>
    <cellStyle name="Currency 4 4 2 4 3 2" xfId="11510" xr:uid="{F64B214C-E709-47B7-8627-08A75C4B8A31}"/>
    <cellStyle name="Currency 4 4 2 4 4" xfId="2312" xr:uid="{E5E53C47-518A-4DAC-A729-17B2466A29BD}"/>
    <cellStyle name="Currency 4 4 2 4 4 2" xfId="11511" xr:uid="{BD521FB9-BE59-4841-9CBA-CC6142CDF760}"/>
    <cellStyle name="Currency 4 4 2 4 5" xfId="2313" xr:uid="{132945CE-2C01-470E-B409-1495723506BA}"/>
    <cellStyle name="Currency 4 4 2 4 5 2" xfId="11512" xr:uid="{CBD8E708-41A5-47CA-98DD-7D900A93C3A1}"/>
    <cellStyle name="Currency 4 4 2 4 6" xfId="11506" xr:uid="{D6CC2716-C36F-4A8F-B03E-893D0A874016}"/>
    <cellStyle name="Currency 4 4 2 5" xfId="2314" xr:uid="{9A29CD91-6584-4908-A791-63DDCF2729F3}"/>
    <cellStyle name="Currency 4 4 2 5 2" xfId="2315" xr:uid="{3F90D651-BF4F-4CF1-A61C-4F4AA8669087}"/>
    <cellStyle name="Currency 4 4 2 5 2 2" xfId="11514" xr:uid="{AB8576AD-3492-4135-BD72-F996F61C98AE}"/>
    <cellStyle name="Currency 4 4 2 5 3" xfId="2316" xr:uid="{3D81CB50-8DDA-4A9E-A6FD-39914828334D}"/>
    <cellStyle name="Currency 4 4 2 5 3 2" xfId="11515" xr:uid="{9096998F-AEA0-4E85-825C-AF125D800137}"/>
    <cellStyle name="Currency 4 4 2 5 4" xfId="11513" xr:uid="{A7BAE2D5-3AC1-49A4-8FE3-93D4BA655F02}"/>
    <cellStyle name="Currency 4 4 2 6" xfId="2317" xr:uid="{99DAB130-1303-46B2-8727-549E7266D0BA}"/>
    <cellStyle name="Currency 4 4 2 6 2" xfId="11516" xr:uid="{4271E294-EF3D-4F45-B0B5-F837E995C140}"/>
    <cellStyle name="Currency 4 4 2 7" xfId="2318" xr:uid="{5BFBF598-3495-42DF-8055-A53475EE3F30}"/>
    <cellStyle name="Currency 4 4 2 7 2" xfId="11517" xr:uid="{9A6097BF-B03A-4FAF-A4B4-8CDFCB8681E6}"/>
    <cellStyle name="Currency 4 4 2 8" xfId="2319" xr:uid="{76A85364-FA0C-42AA-B66F-EE5D972205F9}"/>
    <cellStyle name="Currency 4 4 2 8 2" xfId="11518" xr:uid="{FCC5CCB2-0DEF-4822-B637-747F69DCD0C0}"/>
    <cellStyle name="Currency 4 4 2 9" xfId="11477" xr:uid="{176D43F6-344A-4596-AAE3-D0445096AD33}"/>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2 2" xfId="11522" xr:uid="{2C3E9A5C-D16B-4A80-A618-971484A67A0B}"/>
    <cellStyle name="Currency 4 4 3 2 2 3" xfId="2324" xr:uid="{80A99289-E995-4055-BA1E-1FBB998D95F9}"/>
    <cellStyle name="Currency 4 4 3 2 2 3 2" xfId="11523" xr:uid="{35A37726-E55B-4AB5-AA0B-DECB678D0DBB}"/>
    <cellStyle name="Currency 4 4 3 2 2 4" xfId="11521" xr:uid="{A4F85EA1-4686-40CA-BD5B-DCE15BA9586E}"/>
    <cellStyle name="Currency 4 4 3 2 3" xfId="2325" xr:uid="{72089B66-FA7D-427F-A309-C0D3D11C8725}"/>
    <cellStyle name="Currency 4 4 3 2 3 2" xfId="11524" xr:uid="{42D74E21-C0B0-4355-A477-61F320F62FDD}"/>
    <cellStyle name="Currency 4 4 3 2 4" xfId="2326" xr:uid="{1F2607EE-587C-4EF4-AAA8-29328565FF4C}"/>
    <cellStyle name="Currency 4 4 3 2 4 2" xfId="11525" xr:uid="{9C8CB080-55A3-4677-99A8-549B9EAB7988}"/>
    <cellStyle name="Currency 4 4 3 2 5" xfId="2327" xr:uid="{4DE4AA47-1110-4E15-870F-58BAE2FB62FB}"/>
    <cellStyle name="Currency 4 4 3 2 5 2" xfId="11526" xr:uid="{BC328E3E-8673-4898-A678-CE8DBA61480F}"/>
    <cellStyle name="Currency 4 4 3 2 6" xfId="11520" xr:uid="{EE3838C2-36F8-4990-994B-E8B87A6004BE}"/>
    <cellStyle name="Currency 4 4 3 3" xfId="2328" xr:uid="{415B602F-43B1-4C42-BA5C-EA7A01528C2D}"/>
    <cellStyle name="Currency 4 4 3 3 2" xfId="2329" xr:uid="{6A0530DD-912C-4ABB-8C1C-1FE9A41EB4A1}"/>
    <cellStyle name="Currency 4 4 3 3 2 2" xfId="2330" xr:uid="{D19D9A91-4A72-44D2-B192-A721980EEED1}"/>
    <cellStyle name="Currency 4 4 3 3 2 2 2" xfId="11529" xr:uid="{30F800E8-3C1A-4725-AE35-B882E06DC5A4}"/>
    <cellStyle name="Currency 4 4 3 3 2 3" xfId="2331" xr:uid="{A8140657-7898-44B0-987C-4110C53A8CC5}"/>
    <cellStyle name="Currency 4 4 3 3 2 3 2" xfId="11530" xr:uid="{6E304F86-A735-4433-9B6E-0F9ACB5AE209}"/>
    <cellStyle name="Currency 4 4 3 3 2 4" xfId="11528" xr:uid="{BBA444B1-1479-4A53-ABE1-4931D45BDCD6}"/>
    <cellStyle name="Currency 4 4 3 3 3" xfId="2332" xr:uid="{A63080CC-5DD3-4DDF-BE32-18F9AF440D40}"/>
    <cellStyle name="Currency 4 4 3 3 3 2" xfId="11531" xr:uid="{095D1656-01E5-435B-B881-8FE3C92D8997}"/>
    <cellStyle name="Currency 4 4 3 3 4" xfId="2333" xr:uid="{91CC12C3-CC1F-4D19-8939-EF9B80AEB123}"/>
    <cellStyle name="Currency 4 4 3 3 4 2" xfId="11532" xr:uid="{F921C07F-CC5D-45A0-97AD-1924A5BB4C1E}"/>
    <cellStyle name="Currency 4 4 3 3 5" xfId="2334" xr:uid="{C333D258-7092-4DF0-B630-3108230AFF27}"/>
    <cellStyle name="Currency 4 4 3 3 5 2" xfId="11533" xr:uid="{79012AA8-B827-4C8A-829B-B4878FBCBAE5}"/>
    <cellStyle name="Currency 4 4 3 3 6" xfId="11527" xr:uid="{2ABD1349-688B-4978-B550-AC3696027FA8}"/>
    <cellStyle name="Currency 4 4 3 4" xfId="2335" xr:uid="{4762F3ED-8A2A-4CA5-AC44-449750058063}"/>
    <cellStyle name="Currency 4 4 3 4 2" xfId="2336" xr:uid="{9457EE36-0D09-4A5B-A062-4EC25755D129}"/>
    <cellStyle name="Currency 4 4 3 4 2 2" xfId="11535" xr:uid="{548DE926-642C-4EB2-8029-2F759C7EEA59}"/>
    <cellStyle name="Currency 4 4 3 4 3" xfId="2337" xr:uid="{ED38360D-5A4D-4514-98D1-AA10BDE0D77D}"/>
    <cellStyle name="Currency 4 4 3 4 3 2" xfId="11536" xr:uid="{CC32287D-CB9E-4C77-9B5F-8AAB3B8B8311}"/>
    <cellStyle name="Currency 4 4 3 4 4" xfId="11534" xr:uid="{B0409B06-8DFA-41A1-8125-2BB35169DB28}"/>
    <cellStyle name="Currency 4 4 3 5" xfId="2338" xr:uid="{2F92CCF6-E018-4187-9C07-8C9849D28D0F}"/>
    <cellStyle name="Currency 4 4 3 5 2" xfId="11537" xr:uid="{C51B3AE9-C13C-45F0-B988-947A3B8A01CD}"/>
    <cellStyle name="Currency 4 4 3 6" xfId="2339" xr:uid="{8A4FF1F4-8750-4148-AF8E-A9B182229B68}"/>
    <cellStyle name="Currency 4 4 3 6 2" xfId="11538" xr:uid="{16512937-0BCF-4140-B01F-1354C98050D4}"/>
    <cellStyle name="Currency 4 4 3 7" xfId="2340" xr:uid="{DDCA5BA8-C495-495A-A4BE-2114C8CD9EB8}"/>
    <cellStyle name="Currency 4 4 3 7 2" xfId="11539" xr:uid="{6453DA38-D8C3-46B7-A6AB-A5B1E7253F66}"/>
    <cellStyle name="Currency 4 4 3 8" xfId="11519" xr:uid="{CA10E333-BE1E-430E-B9C7-EC976D8FE1D9}"/>
    <cellStyle name="Currency 4 4 4" xfId="2341" xr:uid="{CD180F18-E583-4338-A07B-B72793E60307}"/>
    <cellStyle name="Currency 4 4 4 2" xfId="2342" xr:uid="{59F74416-ECD2-413D-BA55-C985E637C865}"/>
    <cellStyle name="Currency 4 4 4 2 2" xfId="2343" xr:uid="{E47D2CD3-71AC-4558-BA87-415FD172D0DA}"/>
    <cellStyle name="Currency 4 4 4 2 2 2" xfId="11542" xr:uid="{888C3BA9-13E1-4AB9-A5C8-37E865EEDC11}"/>
    <cellStyle name="Currency 4 4 4 2 3" xfId="2344" xr:uid="{5C2DB862-9A95-4589-9383-8EB86113D9C2}"/>
    <cellStyle name="Currency 4 4 4 2 3 2" xfId="11543" xr:uid="{CC47E427-97E6-4E8D-997F-31CBAB71F674}"/>
    <cellStyle name="Currency 4 4 4 2 4" xfId="11541" xr:uid="{8A687ACA-1B15-4C29-9696-9BC8B7F3D783}"/>
    <cellStyle name="Currency 4 4 4 3" xfId="2345" xr:uid="{00755307-5E80-49F8-91A0-1712F19246B1}"/>
    <cellStyle name="Currency 4 4 4 3 2" xfId="11544" xr:uid="{BECB7053-0452-4A10-BE25-BC7C3C6D0288}"/>
    <cellStyle name="Currency 4 4 4 4" xfId="2346" xr:uid="{5BF58F46-B161-487D-BDC8-855C85210F3B}"/>
    <cellStyle name="Currency 4 4 4 4 2" xfId="11545" xr:uid="{093E2B79-CB6F-49B8-A98C-E3A21DE5D063}"/>
    <cellStyle name="Currency 4 4 4 5" xfId="2347" xr:uid="{D980E2D3-28CC-40B9-901F-159286F93F0D}"/>
    <cellStyle name="Currency 4 4 4 5 2" xfId="11546" xr:uid="{17DEE8B6-577C-403F-A0E5-0DA7B412ADF2}"/>
    <cellStyle name="Currency 4 4 4 6" xfId="11540" xr:uid="{429CA591-7C44-4C8D-A596-1C5148E9D3EF}"/>
    <cellStyle name="Currency 4 4 5" xfId="2348" xr:uid="{38FD6C58-8BE1-408E-984B-0D46F20711E7}"/>
    <cellStyle name="Currency 4 4 5 2" xfId="2349" xr:uid="{1E10FC36-BF0E-4CC0-96D7-E80C68FF565C}"/>
    <cellStyle name="Currency 4 4 5 2 2" xfId="2350" xr:uid="{8768ED9C-CA86-4D15-96A4-DBDEBE4A4461}"/>
    <cellStyle name="Currency 4 4 5 2 2 2" xfId="11549" xr:uid="{509A7484-5911-4338-8440-EF56E1EEDF0C}"/>
    <cellStyle name="Currency 4 4 5 2 3" xfId="2351" xr:uid="{C167AA8B-F14C-49EE-B74B-61CF56BE7FD2}"/>
    <cellStyle name="Currency 4 4 5 2 3 2" xfId="11550" xr:uid="{A40B5A2E-4A30-4EAD-B2B8-EEEFB3C7608C}"/>
    <cellStyle name="Currency 4 4 5 2 4" xfId="11548" xr:uid="{190C1B05-45FC-4C73-9353-B6329648A330}"/>
    <cellStyle name="Currency 4 4 5 3" xfId="2352" xr:uid="{114540A9-62CE-40E5-8B46-493CF74B7768}"/>
    <cellStyle name="Currency 4 4 5 3 2" xfId="11551" xr:uid="{86C66868-FF50-48F9-B9B3-64F2738B8D84}"/>
    <cellStyle name="Currency 4 4 5 4" xfId="2353" xr:uid="{634862B1-B898-4E5B-95B7-C45DA3081320}"/>
    <cellStyle name="Currency 4 4 5 4 2" xfId="11552" xr:uid="{3CD426D6-EDB0-4318-9E4E-074032DBD3A9}"/>
    <cellStyle name="Currency 4 4 5 5" xfId="2354" xr:uid="{CB10E946-A567-4D1A-A8A0-03100C6E8094}"/>
    <cellStyle name="Currency 4 4 5 5 2" xfId="11553" xr:uid="{19192561-8747-421A-854B-45B9E5393124}"/>
    <cellStyle name="Currency 4 4 5 6" xfId="11547" xr:uid="{A85A87F2-5282-4206-9532-A1D7E327F080}"/>
    <cellStyle name="Currency 4 4 6" xfId="2355" xr:uid="{4FCE2412-8BD6-4908-B551-C1094BEB0CFD}"/>
    <cellStyle name="Currency 4 4 6 2" xfId="2356" xr:uid="{2B22B5C5-06AF-4B6A-8DF7-43B112BF3658}"/>
    <cellStyle name="Currency 4 4 6 2 2" xfId="11555" xr:uid="{31D1EAD8-C622-4E3E-933B-81875D5FCFB4}"/>
    <cellStyle name="Currency 4 4 6 3" xfId="2357" xr:uid="{33D197B1-2CD6-48E6-8096-8E29FC7E5512}"/>
    <cellStyle name="Currency 4 4 6 3 2" xfId="11556" xr:uid="{4141D9A9-A212-4AC5-9581-F0BA000F4D7B}"/>
    <cellStyle name="Currency 4 4 6 4" xfId="11554" xr:uid="{392D26AA-6978-461D-B07C-901F2B277AE2}"/>
    <cellStyle name="Currency 4 4 7" xfId="2358" xr:uid="{5A9446A4-96F7-4DDF-87EF-BE6D87298285}"/>
    <cellStyle name="Currency 4 4 7 2" xfId="11557" xr:uid="{A176B8E7-6B43-47D7-92B8-C2D8B1B9DD74}"/>
    <cellStyle name="Currency 4 4 8" xfId="2359" xr:uid="{3EAAF586-B2AB-4A56-90F6-EFF55AAD71E4}"/>
    <cellStyle name="Currency 4 4 8 2" xfId="11558" xr:uid="{2B34102F-D6D8-4B03-97BD-06B9C4760301}"/>
    <cellStyle name="Currency 4 4 9" xfId="2360" xr:uid="{76C8FD1C-F678-4552-821E-9A3AA6A8415A}"/>
    <cellStyle name="Currency 4 4 9 2" xfId="11559" xr:uid="{81349773-5A1B-4847-A68D-EDCC3A41AD54}"/>
    <cellStyle name="Currency 4 5" xfId="2361" xr:uid="{8DE19DCB-4D50-4669-BFDB-58583A9EAD53}"/>
    <cellStyle name="Currency 4 5 10" xfId="11560" xr:uid="{3F432BA6-0E64-43CC-BD1E-A5AB72533E29}"/>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2 2" xfId="11565" xr:uid="{D876E392-FE80-46BD-98F2-873EA82EB896}"/>
    <cellStyle name="Currency 4 5 2 2 2 2 3" xfId="2367" xr:uid="{A4CE8024-1D7C-4F78-B7D0-378A2B013D63}"/>
    <cellStyle name="Currency 4 5 2 2 2 2 3 2" xfId="11566" xr:uid="{44B7D18E-4B35-4933-817D-30AE7FBEF025}"/>
    <cellStyle name="Currency 4 5 2 2 2 2 4" xfId="11564" xr:uid="{334DE290-E6A3-4DA3-B106-108CA15D5765}"/>
    <cellStyle name="Currency 4 5 2 2 2 3" xfId="2368" xr:uid="{CD6FFB32-AD31-421A-85E2-CB6077183A6F}"/>
    <cellStyle name="Currency 4 5 2 2 2 3 2" xfId="11567" xr:uid="{2420AF2D-F107-4694-8D9A-EDB2F3EAA9F7}"/>
    <cellStyle name="Currency 4 5 2 2 2 4" xfId="2369" xr:uid="{869C0F03-696D-4120-925C-4DCBF1D870C8}"/>
    <cellStyle name="Currency 4 5 2 2 2 4 2" xfId="11568" xr:uid="{5964E9DF-2DC0-48DD-8941-743CF7EBD3BA}"/>
    <cellStyle name="Currency 4 5 2 2 2 5" xfId="2370" xr:uid="{8D968F8B-06AC-4CD7-AACD-9B366105C17B}"/>
    <cellStyle name="Currency 4 5 2 2 2 5 2" xfId="11569" xr:uid="{CAE37C00-FDF9-4008-B882-7F9D0ECE0A9C}"/>
    <cellStyle name="Currency 4 5 2 2 2 6" xfId="11563" xr:uid="{1CCFC97F-2703-4CD0-A51C-00AC074BBB7D}"/>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2 2" xfId="11572" xr:uid="{FDF938E5-6F8D-4297-A25E-D4D015E0ACD9}"/>
    <cellStyle name="Currency 4 5 2 2 3 2 3" xfId="2374" xr:uid="{B68616FB-86B9-4A43-8C7B-519C5A5807C9}"/>
    <cellStyle name="Currency 4 5 2 2 3 2 3 2" xfId="11573" xr:uid="{0D3F6C15-2655-47FA-97E6-85A5D9F5B318}"/>
    <cellStyle name="Currency 4 5 2 2 3 2 4" xfId="11571" xr:uid="{28DCEA93-D792-4F07-84E2-A490421BA312}"/>
    <cellStyle name="Currency 4 5 2 2 3 3" xfId="2375" xr:uid="{CE95838B-7657-4A07-A1F0-788E11DBF44D}"/>
    <cellStyle name="Currency 4 5 2 2 3 3 2" xfId="11574" xr:uid="{B2E5DB15-6C17-482A-B8A4-DA5972F0FEBA}"/>
    <cellStyle name="Currency 4 5 2 2 3 4" xfId="2376" xr:uid="{27DD55E1-3CA2-457E-90D8-8141443343A1}"/>
    <cellStyle name="Currency 4 5 2 2 3 4 2" xfId="11575" xr:uid="{BBDB7413-73D6-480E-AE79-7CFFD3D2DF71}"/>
    <cellStyle name="Currency 4 5 2 2 3 5" xfId="2377" xr:uid="{E10A843B-2579-492C-A7E8-CC370933EEE1}"/>
    <cellStyle name="Currency 4 5 2 2 3 5 2" xfId="11576" xr:uid="{3B6A9478-5EAD-4F13-84D2-32E8BC922A39}"/>
    <cellStyle name="Currency 4 5 2 2 3 6" xfId="11570" xr:uid="{FA177639-16BF-4D9C-8907-422218FEEA72}"/>
    <cellStyle name="Currency 4 5 2 2 4" xfId="2378" xr:uid="{36947104-60C0-4DDB-9BEA-0F256FAA97A0}"/>
    <cellStyle name="Currency 4 5 2 2 4 2" xfId="2379" xr:uid="{40143CDC-0B8F-473B-B19F-375F40FF3285}"/>
    <cellStyle name="Currency 4 5 2 2 4 2 2" xfId="11578" xr:uid="{91229F31-0320-4F6F-A85C-2BB0646D8638}"/>
    <cellStyle name="Currency 4 5 2 2 4 3" xfId="2380" xr:uid="{F93291B1-73B2-4158-81C9-4ABD3D26E2B4}"/>
    <cellStyle name="Currency 4 5 2 2 4 3 2" xfId="11579" xr:uid="{AEE61B9E-1F63-40AF-B8B2-97E72F1D147D}"/>
    <cellStyle name="Currency 4 5 2 2 4 4" xfId="11577" xr:uid="{1FB943C4-8BF7-4008-85A9-48A2D6A4DEFB}"/>
    <cellStyle name="Currency 4 5 2 2 5" xfId="2381" xr:uid="{17E6FB3A-E78B-40F7-A987-4E31CF81D53D}"/>
    <cellStyle name="Currency 4 5 2 2 5 2" xfId="11580" xr:uid="{0B24252F-ADBC-4FF6-9B9A-3E66313665CC}"/>
    <cellStyle name="Currency 4 5 2 2 6" xfId="2382" xr:uid="{599CE779-EFE2-4FBE-BE9D-5F3B99532D57}"/>
    <cellStyle name="Currency 4 5 2 2 6 2" xfId="11581" xr:uid="{75E3F5BE-460E-4640-B696-F3B30C0A675D}"/>
    <cellStyle name="Currency 4 5 2 2 7" xfId="2383" xr:uid="{FE0095AC-D884-4C82-BBB8-ED113AD8DE34}"/>
    <cellStyle name="Currency 4 5 2 2 7 2" xfId="11582" xr:uid="{6093B208-F5D1-435A-9C3D-0607F8FD2ED0}"/>
    <cellStyle name="Currency 4 5 2 2 8" xfId="11562" xr:uid="{E6FD94BB-A9B6-4394-830C-98FE6C9B989D}"/>
    <cellStyle name="Currency 4 5 2 3" xfId="2384" xr:uid="{C89F7D36-5EE8-4263-B5ED-3ECDE8C99E74}"/>
    <cellStyle name="Currency 4 5 2 3 2" xfId="2385" xr:uid="{292E1CF9-64A2-4312-8447-67D0A5A2B455}"/>
    <cellStyle name="Currency 4 5 2 3 2 2" xfId="2386" xr:uid="{C1D4457A-B83A-46CC-855E-53CEBDE446C0}"/>
    <cellStyle name="Currency 4 5 2 3 2 2 2" xfId="11585" xr:uid="{93E110EF-97C9-416B-8BA1-FF909D4496DC}"/>
    <cellStyle name="Currency 4 5 2 3 2 3" xfId="2387" xr:uid="{B5958460-F99A-4C35-BEB6-A39F991F32DD}"/>
    <cellStyle name="Currency 4 5 2 3 2 3 2" xfId="11586" xr:uid="{5403AE7F-3420-44D1-B2C1-A206F7DBBC97}"/>
    <cellStyle name="Currency 4 5 2 3 2 4" xfId="11584" xr:uid="{61C49477-F7CF-41FC-BC87-9BF89C078911}"/>
    <cellStyle name="Currency 4 5 2 3 3" xfId="2388" xr:uid="{EE08CE87-6826-41E2-957D-401F73C7F5E0}"/>
    <cellStyle name="Currency 4 5 2 3 3 2" xfId="11587" xr:uid="{7E63A513-2508-457E-AD26-F07B03CA4B11}"/>
    <cellStyle name="Currency 4 5 2 3 4" xfId="2389" xr:uid="{C3AB2A4C-44AE-4369-A66A-C8E921440613}"/>
    <cellStyle name="Currency 4 5 2 3 4 2" xfId="11588" xr:uid="{F125DDEB-D6F9-4D76-9381-AE82570685A5}"/>
    <cellStyle name="Currency 4 5 2 3 5" xfId="2390" xr:uid="{158A7556-04BA-4D98-AE78-EB70B9914051}"/>
    <cellStyle name="Currency 4 5 2 3 5 2" xfId="11589" xr:uid="{310F98F7-C214-41B1-AEDB-A65B0AC6A5E1}"/>
    <cellStyle name="Currency 4 5 2 3 6" xfId="11583" xr:uid="{7DFC61C7-A0E6-4592-AFA1-FC0A6AE92F81}"/>
    <cellStyle name="Currency 4 5 2 4" xfId="2391" xr:uid="{81DB2241-2726-426F-A7FE-0EB6A750FBC0}"/>
    <cellStyle name="Currency 4 5 2 4 2" xfId="2392" xr:uid="{70057C76-1073-49C4-B328-AD59C5977BEC}"/>
    <cellStyle name="Currency 4 5 2 4 2 2" xfId="2393" xr:uid="{2773E72E-E618-4E59-8591-5B467A259705}"/>
    <cellStyle name="Currency 4 5 2 4 2 2 2" xfId="11592" xr:uid="{54528B4E-4807-4B1B-80FC-A644E9538F57}"/>
    <cellStyle name="Currency 4 5 2 4 2 3" xfId="2394" xr:uid="{2D9AD0F9-68C8-4F6C-8A94-9749A1257953}"/>
    <cellStyle name="Currency 4 5 2 4 2 3 2" xfId="11593" xr:uid="{85139ACC-A02E-4874-AAAD-115286BE8841}"/>
    <cellStyle name="Currency 4 5 2 4 2 4" xfId="11591" xr:uid="{B2B4C3EA-698B-4FCD-8B5E-B570813D46AF}"/>
    <cellStyle name="Currency 4 5 2 4 3" xfId="2395" xr:uid="{1F205ED9-E9BA-41CE-A69F-D157F2E9570D}"/>
    <cellStyle name="Currency 4 5 2 4 3 2" xfId="11594" xr:uid="{D93B4DAA-6B8E-46BC-9AF4-68034A882394}"/>
    <cellStyle name="Currency 4 5 2 4 4" xfId="2396" xr:uid="{DB6AA60C-250E-4C7D-8283-9130FB8AD893}"/>
    <cellStyle name="Currency 4 5 2 4 4 2" xfId="11595" xr:uid="{508A4D98-89E5-4E7F-B92A-75B9D26ED15E}"/>
    <cellStyle name="Currency 4 5 2 4 5" xfId="2397" xr:uid="{EBE75676-9913-4D9C-9F78-5638CB254784}"/>
    <cellStyle name="Currency 4 5 2 4 5 2" xfId="11596" xr:uid="{4902BDE8-EFCF-4C44-B403-D71D9454B9AB}"/>
    <cellStyle name="Currency 4 5 2 4 6" xfId="11590" xr:uid="{E6556CD2-8D6C-4A40-97F9-04851F310C03}"/>
    <cellStyle name="Currency 4 5 2 5" xfId="2398" xr:uid="{C8202DDC-86FD-4A75-91BF-2B6B82F7264D}"/>
    <cellStyle name="Currency 4 5 2 5 2" xfId="2399" xr:uid="{A99799B1-44BE-420E-9281-65CF8341006A}"/>
    <cellStyle name="Currency 4 5 2 5 2 2" xfId="11598" xr:uid="{912D44D6-F6F8-4FA3-95C0-158B5D8CDE83}"/>
    <cellStyle name="Currency 4 5 2 5 3" xfId="2400" xr:uid="{2B2C66C3-A073-4619-8989-C4F67D682EEE}"/>
    <cellStyle name="Currency 4 5 2 5 3 2" xfId="11599" xr:uid="{E9086626-E025-4607-8D3A-DF7B0E548492}"/>
    <cellStyle name="Currency 4 5 2 5 4" xfId="11597" xr:uid="{0BB3F840-ECDA-483F-A3ED-DA1B17AB069A}"/>
    <cellStyle name="Currency 4 5 2 6" xfId="2401" xr:uid="{01177E31-1CB7-464D-A1E9-18CE6290832E}"/>
    <cellStyle name="Currency 4 5 2 6 2" xfId="11600" xr:uid="{C61CE0AD-4086-49CA-BE10-8F1BEB938832}"/>
    <cellStyle name="Currency 4 5 2 7" xfId="2402" xr:uid="{BEE90A33-3268-43A8-AC09-074A46C8C39C}"/>
    <cellStyle name="Currency 4 5 2 7 2" xfId="11601" xr:uid="{6C64AF8E-4885-41EA-BD50-9A9FE3C5D75B}"/>
    <cellStyle name="Currency 4 5 2 8" xfId="2403" xr:uid="{BF83465B-781B-41F7-959F-B9943B570AAE}"/>
    <cellStyle name="Currency 4 5 2 8 2" xfId="11602" xr:uid="{BEAA2D30-43D2-436B-B8A6-0D7C9E5E55F5}"/>
    <cellStyle name="Currency 4 5 2 9" xfId="11561" xr:uid="{C1510D65-802F-4C3D-8E69-90D13A0DDAC9}"/>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2 2" xfId="11606" xr:uid="{4C106AC3-4D53-4949-B0FF-60DA01BDD7B9}"/>
    <cellStyle name="Currency 4 5 3 2 2 3" xfId="2408" xr:uid="{0D309B72-77B9-4E8F-AABF-18A20AF620B2}"/>
    <cellStyle name="Currency 4 5 3 2 2 3 2" xfId="11607" xr:uid="{2804D716-F13A-45BE-B560-D97D34D4C05D}"/>
    <cellStyle name="Currency 4 5 3 2 2 4" xfId="11605" xr:uid="{B2F990E1-AB64-4657-AAF8-F67D42254BD7}"/>
    <cellStyle name="Currency 4 5 3 2 3" xfId="2409" xr:uid="{B4D6AC31-F325-4749-B24F-6395F2F18D6D}"/>
    <cellStyle name="Currency 4 5 3 2 3 2" xfId="11608" xr:uid="{A9330A36-7834-4466-B26D-10E417F13EF1}"/>
    <cellStyle name="Currency 4 5 3 2 4" xfId="2410" xr:uid="{D667D6D9-903B-4E6D-9615-5A73A72EB7A8}"/>
    <cellStyle name="Currency 4 5 3 2 4 2" xfId="11609" xr:uid="{81FF0E27-3F5D-4A29-9112-DC46350A0472}"/>
    <cellStyle name="Currency 4 5 3 2 5" xfId="2411" xr:uid="{FDD5D696-490E-4440-8B28-82D696FAA370}"/>
    <cellStyle name="Currency 4 5 3 2 5 2" xfId="11610" xr:uid="{1C085446-11F6-461E-BA18-D24D28831A84}"/>
    <cellStyle name="Currency 4 5 3 2 6" xfId="11604" xr:uid="{6FD2C711-1378-498B-9C41-75E49A4FD02D}"/>
    <cellStyle name="Currency 4 5 3 3" xfId="2412" xr:uid="{B01BBEE4-B096-4E53-B9C8-4795BBD8C6A7}"/>
    <cellStyle name="Currency 4 5 3 3 2" xfId="2413" xr:uid="{9E55B7C9-8B6B-4847-BBE0-FB25726633DF}"/>
    <cellStyle name="Currency 4 5 3 3 2 2" xfId="2414" xr:uid="{1EFA7F94-957E-4E76-9844-25A224272495}"/>
    <cellStyle name="Currency 4 5 3 3 2 2 2" xfId="11613" xr:uid="{9814E5AF-AD7A-4547-9D58-6895311C7321}"/>
    <cellStyle name="Currency 4 5 3 3 2 3" xfId="2415" xr:uid="{F7254459-0F2C-4074-89D1-554F670FC682}"/>
    <cellStyle name="Currency 4 5 3 3 2 3 2" xfId="11614" xr:uid="{941D7A15-78FE-425B-962F-DF6C6846A4A0}"/>
    <cellStyle name="Currency 4 5 3 3 2 4" xfId="11612" xr:uid="{CC2E4905-72B3-4D97-BF81-C13CD7F0D714}"/>
    <cellStyle name="Currency 4 5 3 3 3" xfId="2416" xr:uid="{0644BD4B-2A8D-4BC8-B8AA-D1B573C1B486}"/>
    <cellStyle name="Currency 4 5 3 3 3 2" xfId="11615" xr:uid="{C27F2BF5-240A-4B28-ABA2-CD1A4ADA9A98}"/>
    <cellStyle name="Currency 4 5 3 3 4" xfId="2417" xr:uid="{DE9D4686-C633-49C3-B755-99D09793A229}"/>
    <cellStyle name="Currency 4 5 3 3 4 2" xfId="11616" xr:uid="{1E076CDA-0AE1-4502-919E-2C868D8657E6}"/>
    <cellStyle name="Currency 4 5 3 3 5" xfId="2418" xr:uid="{9C919175-96B8-47DC-AC36-B5558D196C83}"/>
    <cellStyle name="Currency 4 5 3 3 5 2" xfId="11617" xr:uid="{B8528628-C7DB-4379-8D0E-C20CA8971F48}"/>
    <cellStyle name="Currency 4 5 3 3 6" xfId="11611" xr:uid="{1262F9E9-962E-4291-B85A-00222CDD7887}"/>
    <cellStyle name="Currency 4 5 3 4" xfId="2419" xr:uid="{AA3BD90B-ECFE-4D92-ABAD-0AF8AE1C2044}"/>
    <cellStyle name="Currency 4 5 3 4 2" xfId="2420" xr:uid="{688B4BE2-96B5-4F9B-AA6B-C0B7E3BF2162}"/>
    <cellStyle name="Currency 4 5 3 4 2 2" xfId="11619" xr:uid="{E8BC5E4D-82D7-46C7-BE40-450B6D82B2CF}"/>
    <cellStyle name="Currency 4 5 3 4 3" xfId="2421" xr:uid="{4CD252A3-332B-4951-89DB-A177B08D12E4}"/>
    <cellStyle name="Currency 4 5 3 4 3 2" xfId="11620" xr:uid="{A80C3252-5E50-4F9E-9D90-CDDA3CB56FFA}"/>
    <cellStyle name="Currency 4 5 3 4 4" xfId="11618" xr:uid="{4174807A-B0C6-4EB6-9A7C-D31150CBEAAC}"/>
    <cellStyle name="Currency 4 5 3 5" xfId="2422" xr:uid="{0E041CA9-3BFE-4B19-ACF0-C202137705AC}"/>
    <cellStyle name="Currency 4 5 3 5 2" xfId="11621" xr:uid="{AFE1A82F-382E-44B9-974D-09A8DBCA156E}"/>
    <cellStyle name="Currency 4 5 3 6" xfId="2423" xr:uid="{D58D5396-7389-44EC-A139-7A3EA4AF7477}"/>
    <cellStyle name="Currency 4 5 3 6 2" xfId="11622" xr:uid="{6922E12C-DF12-46B4-A515-397155BA85E5}"/>
    <cellStyle name="Currency 4 5 3 7" xfId="2424" xr:uid="{F4729266-032D-4125-9D8D-C2157F526D45}"/>
    <cellStyle name="Currency 4 5 3 7 2" xfId="11623" xr:uid="{11566BB5-7350-42C9-8CD2-C6BEFE7FD337}"/>
    <cellStyle name="Currency 4 5 3 8" xfId="11603" xr:uid="{145CBBA3-2630-4DEC-A121-6DC1CC583694}"/>
    <cellStyle name="Currency 4 5 4" xfId="2425" xr:uid="{A5E645C0-E5AC-4B45-94E1-C0AF342DCE39}"/>
    <cellStyle name="Currency 4 5 4 2" xfId="2426" xr:uid="{B86C78C8-8E1E-420A-9587-53AEBF95D020}"/>
    <cellStyle name="Currency 4 5 4 2 2" xfId="2427" xr:uid="{6730DA40-1471-4F23-AE47-7F43151D4155}"/>
    <cellStyle name="Currency 4 5 4 2 2 2" xfId="11626" xr:uid="{3255C7C6-6E5B-483D-A183-315689E3C1AD}"/>
    <cellStyle name="Currency 4 5 4 2 3" xfId="2428" xr:uid="{ECD9F7B0-F7C0-4F9A-A308-47788038972D}"/>
    <cellStyle name="Currency 4 5 4 2 3 2" xfId="11627" xr:uid="{1156DF2E-212E-4C84-81A5-A0C62EFCBC3F}"/>
    <cellStyle name="Currency 4 5 4 2 4" xfId="11625" xr:uid="{3C0E4366-F97F-4FBB-BE85-04619187F145}"/>
    <cellStyle name="Currency 4 5 4 3" xfId="2429" xr:uid="{3A0F9A9F-B2A9-46C9-8AAE-EE1A982AA949}"/>
    <cellStyle name="Currency 4 5 4 3 2" xfId="11628" xr:uid="{BE6991B1-1951-4D4B-84B0-63C5939B71B6}"/>
    <cellStyle name="Currency 4 5 4 4" xfId="2430" xr:uid="{1DA8A7E1-C666-49CD-B1DA-1A1D5C00E8FD}"/>
    <cellStyle name="Currency 4 5 4 4 2" xfId="11629" xr:uid="{7830F7FA-2575-4859-B54E-52ED9F409304}"/>
    <cellStyle name="Currency 4 5 4 5" xfId="2431" xr:uid="{DCEF7700-15A7-4B88-A4F6-E645CB531582}"/>
    <cellStyle name="Currency 4 5 4 5 2" xfId="11630" xr:uid="{C18E96F2-3BA2-4F97-93C1-DFE2C8E73DB6}"/>
    <cellStyle name="Currency 4 5 4 6" xfId="11624" xr:uid="{913742E3-2AE4-4162-9563-624DE4919DFD}"/>
    <cellStyle name="Currency 4 5 5" xfId="2432" xr:uid="{55B56834-52BA-4800-9CE0-0189F933E6BB}"/>
    <cellStyle name="Currency 4 5 5 2" xfId="2433" xr:uid="{A09730B1-B3F7-4779-A0C6-3BFAA936ABC1}"/>
    <cellStyle name="Currency 4 5 5 2 2" xfId="2434" xr:uid="{3A6868B6-6FFB-4917-99BE-5E0C0D65AACC}"/>
    <cellStyle name="Currency 4 5 5 2 2 2" xfId="11633" xr:uid="{62302DF7-E13C-4DD9-BD7D-61F4BDEFC70B}"/>
    <cellStyle name="Currency 4 5 5 2 3" xfId="2435" xr:uid="{F238681F-2B6E-4085-BB1F-4BD2E384826B}"/>
    <cellStyle name="Currency 4 5 5 2 3 2" xfId="11634" xr:uid="{9C705838-0A83-4137-920F-6EAC063548AC}"/>
    <cellStyle name="Currency 4 5 5 2 4" xfId="11632" xr:uid="{C2153A14-3E53-4F27-9B0E-4A1FA96A6CFF}"/>
    <cellStyle name="Currency 4 5 5 3" xfId="2436" xr:uid="{D24E3866-E514-49F3-BEA6-46C6476DBEE7}"/>
    <cellStyle name="Currency 4 5 5 3 2" xfId="11635" xr:uid="{81EFB4DC-5924-4B40-BEB6-6EA9DBED86E2}"/>
    <cellStyle name="Currency 4 5 5 4" xfId="2437" xr:uid="{3FA30653-8459-4A58-BE00-47E10830B6D7}"/>
    <cellStyle name="Currency 4 5 5 4 2" xfId="11636" xr:uid="{3B35DB71-BEC7-4493-B49C-8F3145953CED}"/>
    <cellStyle name="Currency 4 5 5 5" xfId="2438" xr:uid="{D05B2DAF-A6EF-41DE-AB0F-57AD969E1B20}"/>
    <cellStyle name="Currency 4 5 5 5 2" xfId="11637" xr:uid="{CD707D48-3D42-4A73-98C7-84C99486DFF1}"/>
    <cellStyle name="Currency 4 5 5 6" xfId="11631" xr:uid="{6D3781D3-79D5-48CB-88B7-9C2640080E55}"/>
    <cellStyle name="Currency 4 5 6" xfId="2439" xr:uid="{EBA3282A-B82F-40DE-89B7-5A8FCADDE259}"/>
    <cellStyle name="Currency 4 5 6 2" xfId="2440" xr:uid="{F28F68C2-F786-446E-AA13-32CAF271A39D}"/>
    <cellStyle name="Currency 4 5 6 2 2" xfId="11639" xr:uid="{CAB108D9-1386-4787-BC13-4A9D60F4E302}"/>
    <cellStyle name="Currency 4 5 6 3" xfId="2441" xr:uid="{E5F637B0-D1E0-4384-A114-B68162A6975E}"/>
    <cellStyle name="Currency 4 5 6 3 2" xfId="11640" xr:uid="{7EED76D1-D1CC-4486-951C-671CFBBAF653}"/>
    <cellStyle name="Currency 4 5 6 4" xfId="11638" xr:uid="{A4E0B067-5A67-4778-883A-2EE826C1BF4C}"/>
    <cellStyle name="Currency 4 5 7" xfId="2442" xr:uid="{0128AAE2-B74F-4E9F-8CC9-7BE2B7DB9DEC}"/>
    <cellStyle name="Currency 4 5 7 2" xfId="11641" xr:uid="{727411D7-CC81-4D6C-83FC-A2FE09364534}"/>
    <cellStyle name="Currency 4 5 8" xfId="2443" xr:uid="{1B096171-44BB-406E-8C69-DFFFB6EEA884}"/>
    <cellStyle name="Currency 4 5 8 2" xfId="11642" xr:uid="{4A0E7535-982B-4FFA-9DF0-D7A3ED6CDFBC}"/>
    <cellStyle name="Currency 4 5 9" xfId="2444" xr:uid="{D83C64EA-7B19-4F4A-AD90-E19EDE327A3E}"/>
    <cellStyle name="Currency 4 5 9 2" xfId="11643" xr:uid="{7EF9F534-534A-4E1F-9A82-6D5F61489C93}"/>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2 2" xfId="11648" xr:uid="{BDF64D58-23C9-4A60-AA49-B53216898D1D}"/>
    <cellStyle name="Currency 4 6 2 2 2 3" xfId="2450" xr:uid="{78BEABA6-ABF0-429A-905A-05E36077B2B9}"/>
    <cellStyle name="Currency 4 6 2 2 2 3 2" xfId="11649" xr:uid="{00F57C0F-9CA2-491D-AD6E-F0541CBC5D19}"/>
    <cellStyle name="Currency 4 6 2 2 2 4" xfId="11647" xr:uid="{3480E801-68E6-4006-AE59-083130014C97}"/>
    <cellStyle name="Currency 4 6 2 2 3" xfId="2451" xr:uid="{9327A771-A38E-4205-A3C7-35FB0B369F15}"/>
    <cellStyle name="Currency 4 6 2 2 3 2" xfId="11650" xr:uid="{C8D2ED38-1098-4456-99B3-31AB5B1AAD31}"/>
    <cellStyle name="Currency 4 6 2 2 4" xfId="2452" xr:uid="{7B24A66E-F2EA-4D7B-A179-8CA2D9A9E6B3}"/>
    <cellStyle name="Currency 4 6 2 2 4 2" xfId="11651" xr:uid="{FBF3FC5E-286E-4AFE-9C01-0C19179C13D8}"/>
    <cellStyle name="Currency 4 6 2 2 5" xfId="2453" xr:uid="{F60F4497-D89F-49CB-8443-92B803A9AB94}"/>
    <cellStyle name="Currency 4 6 2 2 5 2" xfId="11652" xr:uid="{F51DD245-014A-482F-A078-C3DD392C5D79}"/>
    <cellStyle name="Currency 4 6 2 2 6" xfId="11646" xr:uid="{FBA8D38F-4366-46E3-BDD7-B45715DE9BDC}"/>
    <cellStyle name="Currency 4 6 2 3" xfId="2454" xr:uid="{BC521D6F-C372-471D-987B-39D47F9DFDBC}"/>
    <cellStyle name="Currency 4 6 2 3 2" xfId="2455" xr:uid="{193BFDA2-5756-4AE2-ACB2-0BE7B934759E}"/>
    <cellStyle name="Currency 4 6 2 3 2 2" xfId="2456" xr:uid="{C1FCE915-EA29-44E8-AD3A-84F097263684}"/>
    <cellStyle name="Currency 4 6 2 3 2 2 2" xfId="11655" xr:uid="{8F901D65-6995-4600-8712-58CEE2BAEAFA}"/>
    <cellStyle name="Currency 4 6 2 3 2 3" xfId="2457" xr:uid="{61714E30-EA3D-411D-856F-339D74198177}"/>
    <cellStyle name="Currency 4 6 2 3 2 3 2" xfId="11656" xr:uid="{7D5CF0A6-D7A0-4BBE-9758-73525428FDF1}"/>
    <cellStyle name="Currency 4 6 2 3 2 4" xfId="11654" xr:uid="{EAA93949-F01F-4944-9DD1-484F46125436}"/>
    <cellStyle name="Currency 4 6 2 3 3" xfId="2458" xr:uid="{36149E4C-4AB4-4D99-B281-39702D71A8EE}"/>
    <cellStyle name="Currency 4 6 2 3 3 2" xfId="11657" xr:uid="{84781EED-08F3-4DF2-865A-7DEB651100B9}"/>
    <cellStyle name="Currency 4 6 2 3 4" xfId="2459" xr:uid="{C1B55949-13E7-4ED0-BDD5-22A9EA25C301}"/>
    <cellStyle name="Currency 4 6 2 3 4 2" xfId="11658" xr:uid="{2B475113-1694-43A2-8761-8A57B0637C0E}"/>
    <cellStyle name="Currency 4 6 2 3 5" xfId="2460" xr:uid="{E480BBC9-FA9F-4F0E-8DA8-510DAA165404}"/>
    <cellStyle name="Currency 4 6 2 3 5 2" xfId="11659" xr:uid="{73E0EABA-E0F1-4EF3-B7CD-92FF322E853B}"/>
    <cellStyle name="Currency 4 6 2 3 6" xfId="11653" xr:uid="{E9B9672C-CE40-40C0-8F5F-F12D9009C527}"/>
    <cellStyle name="Currency 4 6 2 4" xfId="2461" xr:uid="{D91B7F52-A41A-4940-8598-C6717093CCE7}"/>
    <cellStyle name="Currency 4 6 2 4 2" xfId="2462" xr:uid="{8CAFEF5A-9985-415E-AEE5-AC343B557679}"/>
    <cellStyle name="Currency 4 6 2 4 2 2" xfId="11661" xr:uid="{195288F4-D215-4AB8-A830-19966612DD4F}"/>
    <cellStyle name="Currency 4 6 2 4 3" xfId="2463" xr:uid="{6F602151-AC00-40FB-BFA5-C4AB990DC6E3}"/>
    <cellStyle name="Currency 4 6 2 4 3 2" xfId="11662" xr:uid="{4507CABF-B830-4110-B2F2-0ADA7F0534B4}"/>
    <cellStyle name="Currency 4 6 2 4 4" xfId="11660" xr:uid="{B085CE92-F468-42E2-8EC6-515BFA51D583}"/>
    <cellStyle name="Currency 4 6 2 5" xfId="2464" xr:uid="{A2F6ADE4-5BCC-432D-87E3-495250EB243B}"/>
    <cellStyle name="Currency 4 6 2 5 2" xfId="11663" xr:uid="{1034C421-F41F-4E34-9CD5-6FD18E7771D6}"/>
    <cellStyle name="Currency 4 6 2 6" xfId="2465" xr:uid="{FC2C9F61-62ED-4BC4-9314-8AAEBAA5DDB0}"/>
    <cellStyle name="Currency 4 6 2 6 2" xfId="11664" xr:uid="{FD6C38B8-3BFB-4F65-985D-A1D857AE7DAE}"/>
    <cellStyle name="Currency 4 6 2 7" xfId="2466" xr:uid="{AB5E2F2D-9751-4D97-86FA-766BF6B7F2A9}"/>
    <cellStyle name="Currency 4 6 2 7 2" xfId="11665" xr:uid="{322FAA24-3F78-42CA-A985-298F88194FA3}"/>
    <cellStyle name="Currency 4 6 2 8" xfId="11645" xr:uid="{CF6BDFAE-D5C7-4902-B98F-489487F1472E}"/>
    <cellStyle name="Currency 4 6 3" xfId="2467" xr:uid="{C21F8762-5BB0-4591-B720-273A12E3D938}"/>
    <cellStyle name="Currency 4 6 3 2" xfId="2468" xr:uid="{16DC91C9-AAC1-47B3-A044-F3A191986350}"/>
    <cellStyle name="Currency 4 6 3 2 2" xfId="2469" xr:uid="{E3D6D6EE-2CD7-4922-8D54-A301CEBF4275}"/>
    <cellStyle name="Currency 4 6 3 2 2 2" xfId="11668" xr:uid="{E87B50A0-3D55-42A0-898C-F66465EC16D0}"/>
    <cellStyle name="Currency 4 6 3 2 3" xfId="2470" xr:uid="{666953BE-CB94-4307-92BF-CAA667E386EA}"/>
    <cellStyle name="Currency 4 6 3 2 3 2" xfId="11669" xr:uid="{94D36051-6EC1-4508-8FC5-F06D469D5DFC}"/>
    <cellStyle name="Currency 4 6 3 2 4" xfId="11667" xr:uid="{80FDF1AE-8C20-471D-878E-FF6BB1A2867C}"/>
    <cellStyle name="Currency 4 6 3 3" xfId="2471" xr:uid="{F46B1E1C-26F4-435F-AF64-0CD5A5EE2DA2}"/>
    <cellStyle name="Currency 4 6 3 3 2" xfId="11670" xr:uid="{8C80015A-7501-4142-86CF-DF7267DC59A0}"/>
    <cellStyle name="Currency 4 6 3 4" xfId="2472" xr:uid="{AB4B1991-C1CA-4A54-8782-6D44994C8449}"/>
    <cellStyle name="Currency 4 6 3 4 2" xfId="11671" xr:uid="{F77C89E3-8E3C-45EC-9993-11CEFF5E3F8D}"/>
    <cellStyle name="Currency 4 6 3 5" xfId="2473" xr:uid="{6F156014-2D4D-48F8-869B-A07E28461220}"/>
    <cellStyle name="Currency 4 6 3 5 2" xfId="11672" xr:uid="{CF9445F7-8F8F-400B-A0B7-3F6FEFB2F7AC}"/>
    <cellStyle name="Currency 4 6 3 6" xfId="11666" xr:uid="{957DADB4-4EE0-4EB0-A4FE-44240628609B}"/>
    <cellStyle name="Currency 4 6 4" xfId="2474" xr:uid="{E88FD2AD-69FA-4A56-848B-2640BCC3EF13}"/>
    <cellStyle name="Currency 4 6 4 2" xfId="2475" xr:uid="{84A02369-4999-4B40-9E79-3E547D9DA1EF}"/>
    <cellStyle name="Currency 4 6 4 2 2" xfId="2476" xr:uid="{152D8F8F-181F-4AF1-AD07-A5E191E13AA1}"/>
    <cellStyle name="Currency 4 6 4 2 2 2" xfId="11675" xr:uid="{00A0B322-9754-4D4D-B713-5E2E5DA135ED}"/>
    <cellStyle name="Currency 4 6 4 2 3" xfId="2477" xr:uid="{CB71DE55-119B-4DE7-940F-70F280799975}"/>
    <cellStyle name="Currency 4 6 4 2 3 2" xfId="11676" xr:uid="{60315366-FC12-4F85-95D2-64AF8D63A82D}"/>
    <cellStyle name="Currency 4 6 4 2 4" xfId="11674" xr:uid="{40FA91B8-5B04-4E53-AE13-89767EE27309}"/>
    <cellStyle name="Currency 4 6 4 3" xfId="2478" xr:uid="{6C16D05E-F6C2-4D75-BE68-E1E33824B627}"/>
    <cellStyle name="Currency 4 6 4 3 2" xfId="11677" xr:uid="{C1951666-255F-44E6-B022-E98C46F99F30}"/>
    <cellStyle name="Currency 4 6 4 4" xfId="2479" xr:uid="{80CA83E6-05C3-4254-84FF-8FFC564EDA10}"/>
    <cellStyle name="Currency 4 6 4 4 2" xfId="11678" xr:uid="{BE8C38F4-D186-49B6-A636-BF4BF684CB97}"/>
    <cellStyle name="Currency 4 6 4 5" xfId="2480" xr:uid="{2C59C9C9-88E6-4F14-8C5D-78B1AB5E5E64}"/>
    <cellStyle name="Currency 4 6 4 5 2" xfId="11679" xr:uid="{7733A54B-5C1C-4C4E-B714-6750969059BD}"/>
    <cellStyle name="Currency 4 6 4 6" xfId="11673" xr:uid="{443FA3B4-5283-48AB-8645-282F7B94440D}"/>
    <cellStyle name="Currency 4 6 5" xfId="2481" xr:uid="{7E2A535C-DB51-4315-AE4E-1203C9FF5F7C}"/>
    <cellStyle name="Currency 4 6 5 2" xfId="2482" xr:uid="{C11CCC2E-62BA-48E7-B2C1-00991F1BFFB3}"/>
    <cellStyle name="Currency 4 6 5 2 2" xfId="11681" xr:uid="{4FF04220-362D-4FBD-BE8D-3BB0DEAC5F3E}"/>
    <cellStyle name="Currency 4 6 5 3" xfId="2483" xr:uid="{EEFA420A-53B6-4002-81F4-40E2214B7BFA}"/>
    <cellStyle name="Currency 4 6 5 3 2" xfId="11682" xr:uid="{6125F8B7-343E-4FA9-A325-1B7E97C31CAC}"/>
    <cellStyle name="Currency 4 6 5 4" xfId="11680" xr:uid="{C0610995-5F58-46EB-A45F-D37E5D9A98CB}"/>
    <cellStyle name="Currency 4 6 6" xfId="2484" xr:uid="{B226AC9E-645C-4681-9A17-BCD2BBC0735C}"/>
    <cellStyle name="Currency 4 6 6 2" xfId="11683" xr:uid="{42A885A1-E766-4E22-807A-FE583D987C9A}"/>
    <cellStyle name="Currency 4 6 7" xfId="2485" xr:uid="{81FF93F9-5691-4B6C-8FE4-DFD5D60A3806}"/>
    <cellStyle name="Currency 4 6 7 2" xfId="11684" xr:uid="{52FF1A76-7353-4864-95EE-8A77CF34AE84}"/>
    <cellStyle name="Currency 4 6 8" xfId="2486" xr:uid="{5AF33E3F-3831-433F-ADDB-E914E4A864E2}"/>
    <cellStyle name="Currency 4 6 8 2" xfId="11685" xr:uid="{A3DFCDED-F448-4209-93B5-DB41B327A3D8}"/>
    <cellStyle name="Currency 4 6 9" xfId="11644" xr:uid="{F321E1BE-5593-4D5B-A973-60C033C55680}"/>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2 2" xfId="11688" xr:uid="{1F877F0C-B411-42A6-8B71-1F59863F1045}"/>
    <cellStyle name="Currency 4 7 2 2 3" xfId="2491" xr:uid="{AEB1C91E-B772-4876-98F3-325707E81F4F}"/>
    <cellStyle name="Currency 4 7 2 2 3 2" xfId="11689" xr:uid="{0443736D-DDC3-4824-A89A-37B543E91AB5}"/>
    <cellStyle name="Currency 4 7 2 2 4" xfId="11687" xr:uid="{643F2D7A-77B7-4E2B-BAEA-9230CA4B2C04}"/>
    <cellStyle name="Currency 4 7 2 3" xfId="2492" xr:uid="{78F3CD6A-4E1A-42F9-AC96-3C9D6DAB4365}"/>
    <cellStyle name="Currency 4 7 2 3 2" xfId="11690" xr:uid="{35B4699B-5CCE-4AC8-9888-FE70901218E8}"/>
    <cellStyle name="Currency 4 7 2 4" xfId="2493" xr:uid="{AB233C40-7C15-4267-A00F-3B6F346B67A2}"/>
    <cellStyle name="Currency 4 7 2 4 2" xfId="11691" xr:uid="{10E6F51E-1D2E-40A7-BB89-84CC693A04EE}"/>
    <cellStyle name="Currency 4 7 2 5" xfId="2494" xr:uid="{848D9135-3779-48E4-BBC6-15C3619CF4F0}"/>
    <cellStyle name="Currency 4 7 2 5 2" xfId="11692" xr:uid="{4E86C38B-EEC4-475A-9AF9-01D5074C9C73}"/>
    <cellStyle name="Currency 4 7 2 6" xfId="11686" xr:uid="{7FCB3F11-BBB1-4B9A-9D46-2AFEDCD79DCE}"/>
    <cellStyle name="Currency 4 7 3" xfId="2495" xr:uid="{D13B493B-0159-4646-ACBA-C26A92A7B2E6}"/>
    <cellStyle name="Currency 4 7 3 2" xfId="2496" xr:uid="{68A4B6FC-2043-4823-B6FE-4F49EA172B68}"/>
    <cellStyle name="Currency 4 7 3 2 2" xfId="2497" xr:uid="{B12EC231-EB4F-4DDB-B218-FF95C098AE96}"/>
    <cellStyle name="Currency 4 7 3 2 2 2" xfId="11695" xr:uid="{CF3B60F6-1BB9-4956-898F-397B4BE45FAF}"/>
    <cellStyle name="Currency 4 7 3 2 3" xfId="2498" xr:uid="{343163F0-B0CD-471C-8C31-9E72C511A79B}"/>
    <cellStyle name="Currency 4 7 3 2 3 2" xfId="11696" xr:uid="{1B1A8F5E-E91E-4E59-A5B1-C0E43384A33C}"/>
    <cellStyle name="Currency 4 7 3 2 4" xfId="11694" xr:uid="{380A0432-4ED6-4883-A15A-E1456EAFB5F5}"/>
    <cellStyle name="Currency 4 7 3 3" xfId="2499" xr:uid="{CDE8EA68-6D54-42F8-A786-CA961D599B64}"/>
    <cellStyle name="Currency 4 7 3 3 2" xfId="11697" xr:uid="{5E097F07-86BA-4A93-A593-8F83BE81A403}"/>
    <cellStyle name="Currency 4 7 3 4" xfId="2500" xr:uid="{8A08A60B-FF72-4B1A-A608-F5D15E736F50}"/>
    <cellStyle name="Currency 4 7 3 4 2" xfId="11698" xr:uid="{23CD958F-E4D4-42B7-A500-FC3CA3FD275F}"/>
    <cellStyle name="Currency 4 7 3 5" xfId="2501" xr:uid="{1BC47866-B405-4AD8-A0FF-EA486FB41152}"/>
    <cellStyle name="Currency 4 7 3 5 2" xfId="11699" xr:uid="{480B4975-87C4-4094-9E89-41C485D55169}"/>
    <cellStyle name="Currency 4 7 3 6" xfId="11693" xr:uid="{645FFBD1-678E-41DA-BB96-F8702D2C1F70}"/>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2 2" xfId="11703" xr:uid="{2A906223-6AE3-45E0-87F0-48B2C013DB7F}"/>
    <cellStyle name="Currency 4 8 2 2 3" xfId="2506" xr:uid="{61383244-A5C2-4707-B06C-686A11D17893}"/>
    <cellStyle name="Currency 4 8 2 2 3 2" xfId="11704" xr:uid="{11FF0CF0-065B-43DD-AF53-F2A03FA4E5C1}"/>
    <cellStyle name="Currency 4 8 2 2 4" xfId="11702" xr:uid="{F8FB5D70-A270-4E7C-9332-DF30D8677BDC}"/>
    <cellStyle name="Currency 4 8 2 3" xfId="2507" xr:uid="{1BA76684-2AFF-419D-9228-92AFF5DD0395}"/>
    <cellStyle name="Currency 4 8 2 3 2" xfId="11705" xr:uid="{5353A4C3-C004-479E-9791-595487778C65}"/>
    <cellStyle name="Currency 4 8 2 4" xfId="2508" xr:uid="{EF1B977C-854A-44DC-BC88-C7071352FBD7}"/>
    <cellStyle name="Currency 4 8 2 4 2" xfId="11706" xr:uid="{EA2805BF-1B74-40FC-974B-7A8C34323009}"/>
    <cellStyle name="Currency 4 8 2 5" xfId="2509" xr:uid="{D96004A3-6B4C-4A16-93CD-229119CA6233}"/>
    <cellStyle name="Currency 4 8 2 5 2" xfId="11707" xr:uid="{A1CACB4B-2F5E-4310-9DA6-4261E18BD319}"/>
    <cellStyle name="Currency 4 8 2 6" xfId="11701" xr:uid="{5270F8AC-8298-4043-A014-966696146528}"/>
    <cellStyle name="Currency 4 8 3" xfId="2510" xr:uid="{FB181961-EE63-45F3-A4DD-69062E2C3BF9}"/>
    <cellStyle name="Currency 4 8 3 2" xfId="2511" xr:uid="{2BDDF5B7-69D8-4A0D-A037-B31474F5BE29}"/>
    <cellStyle name="Currency 4 8 3 2 2" xfId="2512" xr:uid="{40F82124-93AA-4E80-8735-BA3CB10D533D}"/>
    <cellStyle name="Currency 4 8 3 2 2 2" xfId="11710" xr:uid="{55FE4CC0-947B-4F63-8738-651AAE32568E}"/>
    <cellStyle name="Currency 4 8 3 2 3" xfId="2513" xr:uid="{EBFF83B4-88B4-4AE6-86F9-4EF3E907B79A}"/>
    <cellStyle name="Currency 4 8 3 2 3 2" xfId="11711" xr:uid="{531461E2-A3CB-4643-8BA3-58DA01B8BCA5}"/>
    <cellStyle name="Currency 4 8 3 2 4" xfId="11709" xr:uid="{3A44E880-7EC0-4F46-A410-9E14ABD1B665}"/>
    <cellStyle name="Currency 4 8 3 3" xfId="2514" xr:uid="{9FBB4078-8E14-4F69-892D-2E6E1712AE3D}"/>
    <cellStyle name="Currency 4 8 3 3 2" xfId="11712" xr:uid="{56C05BE2-A5CE-4B0B-8A92-3D882FFF9D19}"/>
    <cellStyle name="Currency 4 8 3 4" xfId="2515" xr:uid="{28D08BBD-35CC-4906-860E-481E56AC716D}"/>
    <cellStyle name="Currency 4 8 3 4 2" xfId="11713" xr:uid="{646A65E0-62E5-41E2-AC36-EFEAA8B509CB}"/>
    <cellStyle name="Currency 4 8 3 5" xfId="2516" xr:uid="{00266525-AC55-44F5-AA11-62B266F633C0}"/>
    <cellStyle name="Currency 4 8 3 5 2" xfId="11714" xr:uid="{FFC3282E-552D-42C0-9E69-14754CC3057B}"/>
    <cellStyle name="Currency 4 8 3 6" xfId="11708" xr:uid="{009C9E8A-30B9-48A7-95D2-091A1B850552}"/>
    <cellStyle name="Currency 4 8 4" xfId="2517" xr:uid="{86C96088-B94C-4AB8-903B-8081E194830F}"/>
    <cellStyle name="Currency 4 8 4 2" xfId="2518" xr:uid="{DFC83A81-9FEC-4476-8A30-0AE1A5FFC91B}"/>
    <cellStyle name="Currency 4 8 4 2 2" xfId="11716" xr:uid="{EF57BC09-7ACD-4624-AF95-FC884BB65A49}"/>
    <cellStyle name="Currency 4 8 4 3" xfId="2519" xr:uid="{1DFDDB14-17E8-4C92-8FFB-CD84D2931B1B}"/>
    <cellStyle name="Currency 4 8 4 3 2" xfId="11717" xr:uid="{D074A865-96BE-416E-B026-B36A12F08A31}"/>
    <cellStyle name="Currency 4 8 4 4" xfId="11715" xr:uid="{424093B7-768D-4714-AB97-8CC8B56F7851}"/>
    <cellStyle name="Currency 4 8 5" xfId="2520" xr:uid="{E9D283FF-271B-4A49-9590-F03236CB4BC7}"/>
    <cellStyle name="Currency 4 8 5 2" xfId="11718" xr:uid="{5C1A4522-B847-4BCE-8682-7933D8F93CEF}"/>
    <cellStyle name="Currency 4 8 6" xfId="2521" xr:uid="{D3966D8B-2884-42C4-B558-D10D2964B9CC}"/>
    <cellStyle name="Currency 4 8 6 2" xfId="11719" xr:uid="{226B5375-22E8-475B-9128-E3F7E424EB60}"/>
    <cellStyle name="Currency 4 8 7" xfId="2522" xr:uid="{2961ECD6-49AC-4B25-B803-739F322EBF56}"/>
    <cellStyle name="Currency 4 8 7 2" xfId="11720" xr:uid="{8B25BDA4-3B2C-401B-B53B-B443343C952B}"/>
    <cellStyle name="Currency 4 8 8" xfId="11700" xr:uid="{18E5643A-367E-430A-8A2C-6361B233531A}"/>
    <cellStyle name="Currency 4 9" xfId="2523" xr:uid="{4DFD0AD0-7130-4301-B000-054AB52096DD}"/>
    <cellStyle name="Currency 4 9 2" xfId="2524" xr:uid="{4FCDF97A-7449-4E2D-B1D0-9181B6B11E5D}"/>
    <cellStyle name="Currency 4 9 2 2" xfId="2525" xr:uid="{BC3589F1-162C-4BF2-9E69-9C22D1551ED1}"/>
    <cellStyle name="Currency 4 9 2 2 2" xfId="11723" xr:uid="{C590F399-F264-40ED-99DF-D84643B04552}"/>
    <cellStyle name="Currency 4 9 2 3" xfId="2526" xr:uid="{1F531730-77DE-4A56-9D29-79A765523F39}"/>
    <cellStyle name="Currency 4 9 2 3 2" xfId="11724" xr:uid="{CE121590-D642-4015-88FD-B2450530A913}"/>
    <cellStyle name="Currency 4 9 2 4" xfId="11722" xr:uid="{03AB9CC4-907B-41A4-A466-ECB2B8876B74}"/>
    <cellStyle name="Currency 4 9 3" xfId="2527" xr:uid="{DF1C24E5-EA99-4364-973B-9590886D47A9}"/>
    <cellStyle name="Currency 4 9 3 2" xfId="11725" xr:uid="{B7196006-677C-49D1-9C52-D9C800DC2530}"/>
    <cellStyle name="Currency 4 9 4" xfId="2528" xr:uid="{7B3E3E38-54E9-4369-963A-61D3F9E7C0D6}"/>
    <cellStyle name="Currency 4 9 4 2" xfId="11726" xr:uid="{97C5CBA6-A16D-431D-97D1-80973B77261C}"/>
    <cellStyle name="Currency 4 9 5" xfId="2529" xr:uid="{BECBC17C-8B0D-43C4-8BAB-1F84E2556D78}"/>
    <cellStyle name="Currency 4 9 5 2" xfId="11727" xr:uid="{5B0F3467-525B-4CEF-AE2B-9916FE4FBF50}"/>
    <cellStyle name="Currency 4 9 6" xfId="11721" xr:uid="{A4B607E5-2EA4-41ED-9181-95F82005AD92}"/>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3 2" xfId="10464" xr:uid="{06FE7916-8539-40EC-A955-E973EAF985F8}"/>
    <cellStyle name="Currency 6 4" xfId="988" xr:uid="{BF3D7162-9ABD-4E54-A300-7D7FDCB23C2D}"/>
    <cellStyle name="Currency 6 5" xfId="10382" xr:uid="{0FA41B33-6A11-4A8E-9F04-3D41E0F1932F}"/>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0 2 2" xfId="18950" xr:uid="{B92C6CC6-2F67-4C84-A90E-0048539B2963}"/>
    <cellStyle name="Normal 10 10 3" xfId="10741" xr:uid="{019707CE-0770-436E-A158-42E28AC59D5E}"/>
    <cellStyle name="Normal 10 11" xfId="9858" xr:uid="{AC956A41-8D61-46AC-964C-BC17A4736462}"/>
    <cellStyle name="Normal 10 11 2" xfId="18734" xr:uid="{73DD8856-629F-449D-AE51-7DBD8A6E77E6}"/>
    <cellStyle name="Normal 10 12" xfId="730" xr:uid="{2C735AA8-9B78-4609-BF5E-3415CEEB312B}"/>
    <cellStyle name="Normal 10 12 2" xfId="10524" xr:uid="{89E6D471-4827-499F-B0A5-4E6B63A0BA5E}"/>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2 2" xfId="19035" xr:uid="{3E7DD048-BF3E-4C7A-B6FE-A98871B36996}"/>
    <cellStyle name="Normal 10 2 2 2 3" xfId="1427" xr:uid="{441741B4-F65A-48E3-9A6C-B21BE665F7F0}"/>
    <cellStyle name="Normal 10 2 2 2 3 2" xfId="10826" xr:uid="{8E3857A2-2ED4-4A0F-AFAF-AF8B4A6C5514}"/>
    <cellStyle name="Normal 10 2 2 3" xfId="9945" xr:uid="{D2BE9C85-0978-478F-ADC3-923F863C4EF1}"/>
    <cellStyle name="Normal 10 2 2 3 2" xfId="18819" xr:uid="{9404024E-A299-4189-8246-74B2313C7F74}"/>
    <cellStyle name="Normal 10 2 2 4" xfId="10610" xr:uid="{0FB099FF-C53A-4F93-B22C-5C4C7E06123E}"/>
    <cellStyle name="Normal 10 2 3" xfId="1283" xr:uid="{74F9537E-001E-48D9-9A77-1F584F6D87C0}"/>
    <cellStyle name="Normal 10 2 3 2" xfId="1499" xr:uid="{0F92B8C7-D9C0-4D99-A313-9F2900774C24}"/>
    <cellStyle name="Normal 10 2 3 2 2" xfId="10233" xr:uid="{AAE0BC7E-0ACE-4A6B-BA85-F8C15DA98AC4}"/>
    <cellStyle name="Normal 10 2 3 2 2 2" xfId="19107" xr:uid="{E46CB1EB-1CA7-4464-8B91-B602FA618A80}"/>
    <cellStyle name="Normal 10 2 3 2 3" xfId="10898" xr:uid="{58BC0B76-FA50-4CE9-AAFD-9027260F8D59}"/>
    <cellStyle name="Normal 10 2 3 3" xfId="10017" xr:uid="{AD2CCC8B-9DCA-413D-85EB-56CA19F53F17}"/>
    <cellStyle name="Normal 10 2 3 3 2" xfId="18891" xr:uid="{AEE53E15-0185-4E0D-8652-0DA8767B43A1}"/>
    <cellStyle name="Normal 10 2 3 4" xfId="10682" xr:uid="{4A59A6B8-674B-4238-B704-011F99F6E546}"/>
    <cellStyle name="Normal 10 2 4" xfId="1355" xr:uid="{BB67E699-49A3-4927-8A93-C57A7317D617}"/>
    <cellStyle name="Normal 10 2 4 2" xfId="10089" xr:uid="{E218A218-F272-4142-80D9-E5F6F7CD99E8}"/>
    <cellStyle name="Normal 10 2 4 2 2" xfId="18963" xr:uid="{879ACCFE-025E-462C-90CB-BB40B391CB0C}"/>
    <cellStyle name="Normal 10 2 4 3" xfId="10754" xr:uid="{DD74CFDD-B2EB-4253-87A1-4651700BA669}"/>
    <cellStyle name="Normal 10 2 5" xfId="9873" xr:uid="{2E59B057-21BF-4081-BE55-A9BCC7670DFB}"/>
    <cellStyle name="Normal 10 2 5 2" xfId="18747" xr:uid="{7F1CAF71-774B-4BD8-815B-442DF79AF1EB}"/>
    <cellStyle name="Normal 10 2 6" xfId="10538" xr:uid="{8682F5E7-C52F-420B-B0E7-41FD2623DD1F}"/>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2 2 2" xfId="19048" xr:uid="{6F6DDD43-8282-4A0C-81C2-488A96D0BA9C}"/>
    <cellStyle name="Normal 10 3 2 2 3" xfId="10839" xr:uid="{2047CF72-8D88-486F-849B-BB94319026B0}"/>
    <cellStyle name="Normal 10 3 2 3" xfId="9958" xr:uid="{238D4DFC-090F-4518-8A2B-97D2F34E0648}"/>
    <cellStyle name="Normal 10 3 2 3 2" xfId="18832" xr:uid="{0A91716C-1042-48EB-9C59-3C51A2C80261}"/>
    <cellStyle name="Normal 10 3 2 4" xfId="10623" xr:uid="{C7F37063-BAF8-40CA-84B6-7B7CEC62CD8A}"/>
    <cellStyle name="Normal 10 3 3" xfId="1296" xr:uid="{C43A5322-7E8F-4B4B-AB9D-0161E7841130}"/>
    <cellStyle name="Normal 10 3 3 2" xfId="1512" xr:uid="{523CECE9-1039-4F03-B7DF-0D1782D80717}"/>
    <cellStyle name="Normal 10 3 3 2 2" xfId="10246" xr:uid="{EF922CFA-7700-4800-8BDD-B4EC53D87CA9}"/>
    <cellStyle name="Normal 10 3 3 2 2 2" xfId="19120" xr:uid="{84D6F438-48FC-494B-A97F-720F52FA568B}"/>
    <cellStyle name="Normal 10 3 3 2 3" xfId="10911" xr:uid="{E9DFF5FF-B824-4C81-9129-DC95C5E38ACB}"/>
    <cellStyle name="Normal 10 3 3 3" xfId="10030" xr:uid="{66DB64FA-A2D5-4942-9610-48507C9C239A}"/>
    <cellStyle name="Normal 10 3 3 3 2" xfId="18904" xr:uid="{FFA81E56-7B47-4714-9582-3CA69614E91B}"/>
    <cellStyle name="Normal 10 3 3 4" xfId="10695" xr:uid="{BAC9A6AD-3455-4CB4-A78F-757B1731986D}"/>
    <cellStyle name="Normal 10 3 4" xfId="1368" xr:uid="{87411399-5FB3-4719-B4D3-58AA9070ED4E}"/>
    <cellStyle name="Normal 10 3 4 2" xfId="10102" xr:uid="{E619D958-856B-4A1A-A029-BAC7ECBAC6FB}"/>
    <cellStyle name="Normal 10 3 4 2 2" xfId="18976" xr:uid="{84073EFD-B78F-4910-A20A-ED86AD558929}"/>
    <cellStyle name="Normal 10 3 4 3" xfId="10767" xr:uid="{923CF051-837E-461D-BDB2-E6C10002E8A1}"/>
    <cellStyle name="Normal 10 3 5" xfId="9886" xr:uid="{12CD82E9-447F-4890-B3A8-79D90A4D6B5B}"/>
    <cellStyle name="Normal 10 3 5 2" xfId="18760" xr:uid="{F8330CFB-F2BB-48E1-88EC-D1F2BD49C4C4}"/>
    <cellStyle name="Normal 10 3 6" xfId="10551" xr:uid="{973F9A62-C5CA-422D-9831-F40857D53799}"/>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2 2 2" xfId="19065" xr:uid="{6962A5B8-9D94-472F-9E71-7DCD6C6E7FCC}"/>
    <cellStyle name="Normal 10 4 2 2 3" xfId="10856" xr:uid="{0B70EE39-7CEF-48BF-AA3B-02D4841711F1}"/>
    <cellStyle name="Normal 10 4 2 3" xfId="9975" xr:uid="{05051BFD-86F1-41E0-94DE-058058A6202C}"/>
    <cellStyle name="Normal 10 4 2 3 2" xfId="18849" xr:uid="{FABD7C98-A69F-4CC4-A986-E334A4EEB369}"/>
    <cellStyle name="Normal 10 4 2 4" xfId="10640" xr:uid="{D35A5C3A-06F6-4D35-BD4C-0AEBD73BCDB0}"/>
    <cellStyle name="Normal 10 4 3" xfId="1313" xr:uid="{F390A8EC-D919-4976-AD5B-F73DF058E62F}"/>
    <cellStyle name="Normal 10 4 3 2" xfId="1529" xr:uid="{5E88B78C-9F71-4E0C-805E-C3E47237BA94}"/>
    <cellStyle name="Normal 10 4 3 2 2" xfId="10263" xr:uid="{999E7EB5-76CD-49B8-A375-558A7035E7BB}"/>
    <cellStyle name="Normal 10 4 3 2 2 2" xfId="19137" xr:uid="{81A46DE5-7686-4251-90D9-15AB2E7F8CF9}"/>
    <cellStyle name="Normal 10 4 3 2 3" xfId="10928" xr:uid="{5E738C98-56F6-4257-B541-D4AA72227647}"/>
    <cellStyle name="Normal 10 4 3 3" xfId="10047" xr:uid="{97D57D44-160F-4FFB-B4E7-339885E9110F}"/>
    <cellStyle name="Normal 10 4 3 3 2" xfId="18921" xr:uid="{3D477A86-FF63-414B-8823-D8216F38AE80}"/>
    <cellStyle name="Normal 10 4 3 4" xfId="10712" xr:uid="{4016553C-740E-4426-ACCF-53D16187C5A1}"/>
    <cellStyle name="Normal 10 4 4" xfId="1385" xr:uid="{72247493-44FA-4FFE-996E-A793A2115FDF}"/>
    <cellStyle name="Normal 10 4 4 2" xfId="10119" xr:uid="{8B642F9E-4E18-42A3-84B5-2F9C3CCFB54F}"/>
    <cellStyle name="Normal 10 4 4 2 2" xfId="18993" xr:uid="{72C650BA-621C-4D46-91A7-94D70DF4732E}"/>
    <cellStyle name="Normal 10 4 4 3" xfId="10784" xr:uid="{10A4C0CD-1C8E-4122-A82E-E4457435F851}"/>
    <cellStyle name="Normal 10 4 5" xfId="9903" xr:uid="{3EA2A9A2-6E96-4117-A93E-BD379A5DF7A5}"/>
    <cellStyle name="Normal 10 4 5 2" xfId="18777" xr:uid="{BE62132A-1928-4B84-8B1B-CC8B56D1E69E}"/>
    <cellStyle name="Normal 10 4 6" xfId="10568" xr:uid="{0167A5E5-85F4-42A8-BA07-D6540F289658}"/>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2 2 2" xfId="19071" xr:uid="{8D285AA0-0B8A-4EE6-90C7-CD54B1649A01}"/>
    <cellStyle name="Normal 10 5 2 2 3" xfId="10862" xr:uid="{5BBCE2C6-62E4-4CA7-89DC-7411599F0DA4}"/>
    <cellStyle name="Normal 10 5 2 3" xfId="9981" xr:uid="{931FFF2E-2C83-4AD7-A943-1E1B4EF56851}"/>
    <cellStyle name="Normal 10 5 2 3 2" xfId="18855" xr:uid="{DC5A4FD9-37F4-4FC9-9950-8A0DAC15B0A8}"/>
    <cellStyle name="Normal 10 5 2 4" xfId="10646" xr:uid="{147FA284-4C60-462A-8957-500D4BF3036F}"/>
    <cellStyle name="Normal 10 5 3" xfId="1319" xr:uid="{DA23ACC1-0AE2-4E7D-AB3C-23938A94FA6E}"/>
    <cellStyle name="Normal 10 5 3 2" xfId="1535" xr:uid="{2ED2E0A9-FDB8-4E42-BCB1-792A991316F9}"/>
    <cellStyle name="Normal 10 5 3 2 2" xfId="10269" xr:uid="{10C8D5CB-08C7-47AF-8563-F606CC2BDEAF}"/>
    <cellStyle name="Normal 10 5 3 2 2 2" xfId="19143" xr:uid="{E50CE413-26BE-420F-8E3A-D7F1A7C423EF}"/>
    <cellStyle name="Normal 10 5 3 2 3" xfId="10934" xr:uid="{5FD2CFC0-01E2-46F3-BED2-0B1BBDBBF71B}"/>
    <cellStyle name="Normal 10 5 3 3" xfId="10053" xr:uid="{7D758896-2EA4-43F3-8978-69A6611EB62E}"/>
    <cellStyle name="Normal 10 5 3 3 2" xfId="18927" xr:uid="{2AAB5C0A-BA4E-4486-9D04-1E81D1D23D53}"/>
    <cellStyle name="Normal 10 5 3 4" xfId="10718" xr:uid="{902D96C5-7F97-480B-AD37-A1100E6163CE}"/>
    <cellStyle name="Normal 10 5 4" xfId="1391" xr:uid="{3D62508C-381E-4CED-8CDF-185EBFF33113}"/>
    <cellStyle name="Normal 10 5 4 2" xfId="10125" xr:uid="{C776C22C-D519-4F5E-9706-2F9B236A94E1}"/>
    <cellStyle name="Normal 10 5 4 2 2" xfId="18999" xr:uid="{97893AFC-64FA-4406-99C0-72BC6E08EFEE}"/>
    <cellStyle name="Normal 10 5 4 3" xfId="10790" xr:uid="{4150124A-38E0-4BDC-9B4D-FDA1FDBA4138}"/>
    <cellStyle name="Normal 10 5 5" xfId="9909" xr:uid="{5760898D-99E6-4F80-973B-F98860235C3B}"/>
    <cellStyle name="Normal 10 5 5 2" xfId="18783" xr:uid="{2B6E6651-5F2E-4D82-8F40-74C3F3D1ECD4}"/>
    <cellStyle name="Normal 10 5 6" xfId="10574" xr:uid="{21E0D9E6-BCD4-46C4-89C3-8CB0B75040F8}"/>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2 2 2" xfId="19075" xr:uid="{A999F1D6-BA4F-4D81-8182-4F9BB229EBA7}"/>
    <cellStyle name="Normal 10 6 2 2 3" xfId="10866" xr:uid="{719B7DA2-C0DF-4A13-9005-9D3BE4A98D76}"/>
    <cellStyle name="Normal 10 6 2 3" xfId="9985" xr:uid="{68770543-2A20-448B-B28E-AEF98D242877}"/>
    <cellStyle name="Normal 10 6 2 3 2" xfId="18859" xr:uid="{3E372802-17FC-420B-B6EE-8321DAC62B48}"/>
    <cellStyle name="Normal 10 6 2 4" xfId="10650" xr:uid="{38207372-965A-443E-A967-129DE90E3B09}"/>
    <cellStyle name="Normal 10 6 3" xfId="1323" xr:uid="{2FB0870D-BED8-44FF-A257-F4E3DB462694}"/>
    <cellStyle name="Normal 10 6 3 2" xfId="1539" xr:uid="{E23F5155-4CE1-46AC-BB7C-FA0CE02C035D}"/>
    <cellStyle name="Normal 10 6 3 2 2" xfId="10273" xr:uid="{A9321CF8-7BB9-45AC-AA39-5E4F5A4CB7EE}"/>
    <cellStyle name="Normal 10 6 3 2 2 2" xfId="19147" xr:uid="{C4486262-7E7D-4494-9819-B943B02C01D6}"/>
    <cellStyle name="Normal 10 6 3 2 3" xfId="10938" xr:uid="{32640142-2324-4987-95B4-7E5086EB11A6}"/>
    <cellStyle name="Normal 10 6 3 3" xfId="10057" xr:uid="{8AD00881-BABB-42BF-8631-35AEBED3C388}"/>
    <cellStyle name="Normal 10 6 3 3 2" xfId="18931" xr:uid="{28E8862D-D7BF-4E0D-A33F-1BD463166138}"/>
    <cellStyle name="Normal 10 6 3 4" xfId="10722" xr:uid="{179EF2C6-1A32-4115-ABA2-1FDAF57EBAF3}"/>
    <cellStyle name="Normal 10 6 4" xfId="1395" xr:uid="{9047A574-3975-4E5B-83A4-0133CB7BEF34}"/>
    <cellStyle name="Normal 10 6 4 2" xfId="10129" xr:uid="{38999E4B-33F8-402F-A7D0-C7FF397E6B74}"/>
    <cellStyle name="Normal 10 6 4 2 2" xfId="19003" xr:uid="{F7D69CED-3BF5-4DBE-A9D8-F5E6EAB70E4D}"/>
    <cellStyle name="Normal 10 6 4 3" xfId="10794" xr:uid="{C77DFF62-E5A3-49AF-86AE-C31E8031E791}"/>
    <cellStyle name="Normal 10 6 5" xfId="9913" xr:uid="{41591390-195C-44B7-9F33-C7B26BF45B7F}"/>
    <cellStyle name="Normal 10 6 5 2" xfId="18787" xr:uid="{1D0F4794-F55E-48E9-B787-8A5CBF139B78}"/>
    <cellStyle name="Normal 10 6 6" xfId="10578" xr:uid="{6C31F0FB-41FC-4343-812C-AF54B9DDAD11}"/>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2 2 2" xfId="19090" xr:uid="{BE420455-F56D-47E8-B390-9D22C9827A1D}"/>
    <cellStyle name="Normal 10 7 2 2 3" xfId="10881" xr:uid="{628FC06D-4737-485F-B0F0-7041ADBD2062}"/>
    <cellStyle name="Normal 10 7 2 3" xfId="10000" xr:uid="{FD5DD163-8C1A-4304-AF8E-97B0497683B9}"/>
    <cellStyle name="Normal 10 7 2 3 2" xfId="18874" xr:uid="{3D119D36-49E3-427C-BF98-E919BD58846A}"/>
    <cellStyle name="Normal 10 7 2 4" xfId="10665" xr:uid="{C478D36D-C826-4CAA-A62B-CD1E7722CCD3}"/>
    <cellStyle name="Normal 10 7 3" xfId="1338" xr:uid="{8E9CDF16-332B-432E-958E-7009009880CB}"/>
    <cellStyle name="Normal 10 7 3 2" xfId="1554" xr:uid="{E75DEA6D-3C47-492E-8C86-1C7602DD7566}"/>
    <cellStyle name="Normal 10 7 3 2 2" xfId="10288" xr:uid="{4CBF0A8F-7D33-476E-A7F3-B9449C3A1226}"/>
    <cellStyle name="Normal 10 7 3 2 2 2" xfId="19162" xr:uid="{85ED24DF-8337-46D2-9FD5-80DB0B52358C}"/>
    <cellStyle name="Normal 10 7 3 2 3" xfId="10953" xr:uid="{F97C42D8-CEBC-49B8-AADD-DE6B338EE6B2}"/>
    <cellStyle name="Normal 10 7 3 3" xfId="10072" xr:uid="{05B24570-8AD6-4681-90A0-EEC4A7D9B5E5}"/>
    <cellStyle name="Normal 10 7 3 3 2" xfId="18946" xr:uid="{3478C2B6-C1EC-4061-8162-4E4A9FFCB812}"/>
    <cellStyle name="Normal 10 7 3 4" xfId="10737" xr:uid="{92BAFE90-DBD3-49DC-855C-6A8B66DF6D58}"/>
    <cellStyle name="Normal 10 7 4" xfId="1410" xr:uid="{AFF12D58-59D3-46B4-8D21-2F9D34956F9C}"/>
    <cellStyle name="Normal 10 7 4 2" xfId="10144" xr:uid="{A54084C1-53E9-4AE0-8B0E-91A8695E9A41}"/>
    <cellStyle name="Normal 10 7 4 2 2" xfId="19018" xr:uid="{2C09D6E2-798A-49B6-B909-23E1FF82024E}"/>
    <cellStyle name="Normal 10 7 4 3" xfId="10809" xr:uid="{95364B71-3C9A-41FD-AEFE-B8FBA6584B06}"/>
    <cellStyle name="Normal 10 7 5" xfId="9928" xr:uid="{3341F7A2-7C5B-4DF8-BBFD-879E709DA0BF}"/>
    <cellStyle name="Normal 10 7 5 2" xfId="18802" xr:uid="{C93FDC33-D913-45F8-9FED-D5FEECAF3E30}"/>
    <cellStyle name="Normal 10 7 6" xfId="10593" xr:uid="{9A5AA345-9ABF-4AA0-989B-77EDDC4DA33A}"/>
    <cellStyle name="Normal 10 8" xfId="1187" xr:uid="{5BD548EC-1F53-4552-B914-F275AD4E36BE}"/>
    <cellStyle name="Normal 10 8 2" xfId="1414" xr:uid="{B8AB3C22-75CB-4B8B-9A09-7DAAD47E6B0B}"/>
    <cellStyle name="Normal 10 8 2 2" xfId="10148" xr:uid="{4DF5731C-EA62-41E9-B2CC-C9FE34CC83D6}"/>
    <cellStyle name="Normal 10 8 2 2 2" xfId="19022" xr:uid="{70A394E8-8785-4D1A-9792-5704CDE70FEE}"/>
    <cellStyle name="Normal 10 8 2 3" xfId="10813" xr:uid="{590A2D87-DE9A-44E8-BD48-5C340603892B}"/>
    <cellStyle name="Normal 10 8 3" xfId="9932" xr:uid="{33F9021D-2747-403D-80E0-AD4C38F2BBDA}"/>
    <cellStyle name="Normal 10 8 3 2" xfId="18806" xr:uid="{612CD0B1-8A05-49EC-ACE5-DCB689E1B9AA}"/>
    <cellStyle name="Normal 10 8 4" xfId="10597" xr:uid="{4CE63D6B-4A15-4A0D-A47C-C6F94726BCF6}"/>
    <cellStyle name="Normal 10 9" xfId="1270" xr:uid="{B4C3CDE2-61AE-454C-A82C-5B5EAD257ACE}"/>
    <cellStyle name="Normal 10 9 2" xfId="1486" xr:uid="{572E0433-4691-4EEE-ABC6-129F10B86EEC}"/>
    <cellStyle name="Normal 10 9 2 2" xfId="10220" xr:uid="{E3C890EE-2256-4A32-864B-43167FA2D451}"/>
    <cellStyle name="Normal 10 9 2 2 2" xfId="19094" xr:uid="{ABC4D4EE-B45E-4498-BD49-53846561929E}"/>
    <cellStyle name="Normal 10 9 2 3" xfId="10885" xr:uid="{EABD441D-ED56-49B9-BB7B-F7FB9A8547D5}"/>
    <cellStyle name="Normal 10 9 3" xfId="10004" xr:uid="{4CC67DB8-B65D-47B4-BEF0-CE96845A0BFC}"/>
    <cellStyle name="Normal 10 9 3 2" xfId="18878" xr:uid="{631D4658-EBA5-496A-A76E-6F51BCDCE545}"/>
    <cellStyle name="Normal 10 9 4" xfId="10669" xr:uid="{18FBF068-411B-4F56-B399-20C1D5C3042B}"/>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2 2 2" xfId="19066" xr:uid="{16568F04-EE20-4665-99C3-3DE6336162FC}"/>
    <cellStyle name="Normal 11 2 2 2 3" xfId="10857" xr:uid="{6DBCB327-975E-4572-BA3A-0D5B61642284}"/>
    <cellStyle name="Normal 11 2 2 3" xfId="9976" xr:uid="{CFE48525-1218-4E65-A014-BC70DA381FC9}"/>
    <cellStyle name="Normal 11 2 2 3 2" xfId="18850" xr:uid="{97A953DE-CEE4-41A4-9819-6EB8A46DF1B7}"/>
    <cellStyle name="Normal 11 2 2 4" xfId="10641" xr:uid="{EB627236-4FE1-4AAE-AEB9-17C4CE93B3B0}"/>
    <cellStyle name="Normal 11 2 3" xfId="1314" xr:uid="{ACD454E2-997D-43E5-80DC-E41CFD73DBC1}"/>
    <cellStyle name="Normal 11 2 3 2" xfId="1530" xr:uid="{257E0F49-0644-4333-A06B-68BC96648E62}"/>
    <cellStyle name="Normal 11 2 3 2 2" xfId="10264" xr:uid="{F0BC1F9C-BBCC-4838-B4AA-5C64329CBDF1}"/>
    <cellStyle name="Normal 11 2 3 2 2 2" xfId="19138" xr:uid="{0421A8C1-D937-4750-A40B-11B11BA941B2}"/>
    <cellStyle name="Normal 11 2 3 2 3" xfId="10929" xr:uid="{E73E7FDD-5CE6-44D8-92DE-1C8410759339}"/>
    <cellStyle name="Normal 11 2 3 3" xfId="10048" xr:uid="{25A6E148-3007-4347-BA51-43325B4E1CBF}"/>
    <cellStyle name="Normal 11 2 3 3 2" xfId="18922" xr:uid="{155B4AB4-48EE-4277-BD51-F41B66E7EF5C}"/>
    <cellStyle name="Normal 11 2 3 4" xfId="10713" xr:uid="{4FA7F658-12C3-4BA3-AEE4-EDF52159A2FF}"/>
    <cellStyle name="Normal 11 2 4" xfId="1386" xr:uid="{ED4D2E15-8C55-49E1-8BF2-F554599F746F}"/>
    <cellStyle name="Normal 11 2 4 2" xfId="10120" xr:uid="{69AE1353-C541-49F3-9F48-98596F43444E}"/>
    <cellStyle name="Normal 11 2 4 2 2" xfId="18994" xr:uid="{B9A74F06-6F81-4DD9-898A-ED5CA07C99F7}"/>
    <cellStyle name="Normal 11 2 4 3" xfId="10785" xr:uid="{F7B48BBE-5D40-4904-B1AC-040A759AB9AA}"/>
    <cellStyle name="Normal 11 2 5" xfId="9904" xr:uid="{C78B1509-8459-4051-A145-8B1C8F8F0CAC}"/>
    <cellStyle name="Normal 11 2 5 2" xfId="18778" xr:uid="{977E57B2-3EB1-4CF3-8260-FBDFABF5AE8E}"/>
    <cellStyle name="Normal 11 2 6" xfId="1119" xr:uid="{B1AA6227-4BBF-4DE9-9115-8B17CFE49752}"/>
    <cellStyle name="Normal 11 2 6 2" xfId="10569" xr:uid="{82FB3DA0-0189-453A-82A3-3C22801BBF71}"/>
    <cellStyle name="Normal 11 2 7" xfId="10465" xr:uid="{B46E5455-B5AF-4869-9E26-DA5C729E0800}"/>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2 2 2" xfId="19072" xr:uid="{30B02784-0AC1-415E-9DED-B5E304240408}"/>
    <cellStyle name="Normal 11 3 2 2 3" xfId="10863" xr:uid="{E688DE69-D6F6-494F-A8C9-EAC6277EC800}"/>
    <cellStyle name="Normal 11 3 2 3" xfId="9982" xr:uid="{5CB9A631-A53C-4460-888A-80DACBF041EF}"/>
    <cellStyle name="Normal 11 3 2 3 2" xfId="18856" xr:uid="{1124FC0E-56B6-498A-89F9-D99E45E31363}"/>
    <cellStyle name="Normal 11 3 2 4" xfId="10647" xr:uid="{EBEBAC27-E019-4763-A79C-9CC943B7A646}"/>
    <cellStyle name="Normal 11 3 3" xfId="1320" xr:uid="{203DFA16-3AA6-485C-921D-1D51EC9A9C3B}"/>
    <cellStyle name="Normal 11 3 3 2" xfId="1536" xr:uid="{06E92054-A2FD-4813-A6AC-FB39CCBC82D2}"/>
    <cellStyle name="Normal 11 3 3 2 2" xfId="10270" xr:uid="{17EC7FF0-4B88-44B1-9708-BC3A9536B6D5}"/>
    <cellStyle name="Normal 11 3 3 2 2 2" xfId="19144" xr:uid="{333E5A37-8B65-4C68-B698-68A2ECBC88B5}"/>
    <cellStyle name="Normal 11 3 3 2 3" xfId="10935" xr:uid="{D248D841-83CE-4AF6-8E33-E42553D7AF02}"/>
    <cellStyle name="Normal 11 3 3 3" xfId="10054" xr:uid="{4085E52F-BB31-4DD7-9013-228AE7773AE0}"/>
    <cellStyle name="Normal 11 3 3 3 2" xfId="18928" xr:uid="{C320DCEF-EC35-4412-BD40-8B96C676DE45}"/>
    <cellStyle name="Normal 11 3 3 4" xfId="10719" xr:uid="{E05A3BA5-E39B-404B-8157-CC3F137BB33D}"/>
    <cellStyle name="Normal 11 3 4" xfId="1392" xr:uid="{F340C00B-9931-42A0-BD9F-611A0023721B}"/>
    <cellStyle name="Normal 11 3 4 2" xfId="10126" xr:uid="{32B342B4-4123-47D4-B76D-16E5605C2F57}"/>
    <cellStyle name="Normal 11 3 4 2 2" xfId="19000" xr:uid="{4B220B48-4283-43A6-B342-E251D650F0C1}"/>
    <cellStyle name="Normal 11 3 4 3" xfId="10791" xr:uid="{1359A035-1AEB-4CC4-8E86-6B39E72C1EDD}"/>
    <cellStyle name="Normal 11 3 5" xfId="9910" xr:uid="{CDB8CC6E-08BF-41EF-83EE-7C421C4CB19E}"/>
    <cellStyle name="Normal 11 3 5 2" xfId="18784" xr:uid="{3BE3C572-81F4-43E5-9D5A-14AFDA86E6D5}"/>
    <cellStyle name="Normal 11 3 6" xfId="10575" xr:uid="{0A22F84F-09BA-4824-8EAC-3988478B710F}"/>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2 2 2" xfId="19091" xr:uid="{4575350B-A1D5-4A74-92F8-AD2B465EB484}"/>
    <cellStyle name="Normal 11 4 2 2 3" xfId="10882" xr:uid="{EA302DA6-6976-4C58-AD56-A26710FA9493}"/>
    <cellStyle name="Normal 11 4 2 3" xfId="10001" xr:uid="{D1D6D106-AECF-4D30-8BF5-B9CE0539C248}"/>
    <cellStyle name="Normal 11 4 2 3 2" xfId="18875" xr:uid="{1BFDEFF7-7DAF-4F18-AAAD-9256F88C79C1}"/>
    <cellStyle name="Normal 11 4 2 4" xfId="10666" xr:uid="{3BEDEEEB-F13E-4487-8D56-2DC5EBA0F55E}"/>
    <cellStyle name="Normal 11 4 3" xfId="1339" xr:uid="{1624256E-073F-4887-AF4F-60FF8E1948F6}"/>
    <cellStyle name="Normal 11 4 3 2" xfId="1555" xr:uid="{6CD83129-977B-4ACE-9B0B-023C160345AB}"/>
    <cellStyle name="Normal 11 4 3 2 2" xfId="10289" xr:uid="{378DA1B2-3443-4380-BD84-F19EECF4D63B}"/>
    <cellStyle name="Normal 11 4 3 2 2 2" xfId="19163" xr:uid="{C750C838-2AEE-4267-B2A2-B416CB96E26E}"/>
    <cellStyle name="Normal 11 4 3 2 3" xfId="10954" xr:uid="{19D56FBB-49F8-4FB7-BD31-6ABDE9614766}"/>
    <cellStyle name="Normal 11 4 3 3" xfId="10073" xr:uid="{B89DB351-0150-4BCE-9022-70F7783BC281}"/>
    <cellStyle name="Normal 11 4 3 3 2" xfId="18947" xr:uid="{E5DC81DD-5869-4222-88A3-0BBAEA58E223}"/>
    <cellStyle name="Normal 11 4 3 4" xfId="10738" xr:uid="{D5A265E4-D0E7-4E4A-9DB5-ADA55477C523}"/>
    <cellStyle name="Normal 11 4 4" xfId="1411" xr:uid="{B419126D-6208-474F-84D1-F49CD4B3D406}"/>
    <cellStyle name="Normal 11 4 4 2" xfId="10145" xr:uid="{32646A42-8BC8-452B-AEF0-91537E3B00BD}"/>
    <cellStyle name="Normal 11 4 4 2 2" xfId="19019" xr:uid="{AF42EBBA-2591-4835-AF91-EC01AB41D20E}"/>
    <cellStyle name="Normal 11 4 4 3" xfId="10810" xr:uid="{1B6B3431-A6F2-4146-A24B-6B0B19CCD9F6}"/>
    <cellStyle name="Normal 11 4 5" xfId="9929" xr:uid="{F6F00F9F-F2B6-4021-8A0E-9A25C1C64A6E}"/>
    <cellStyle name="Normal 11 4 5 2" xfId="18803" xr:uid="{D05D049F-DA58-4DAD-96B4-54E5AF8CE2B6}"/>
    <cellStyle name="Normal 11 4 6" xfId="10594" xr:uid="{67E91975-7F6A-47F9-BE38-D500314874B4}"/>
    <cellStyle name="Normal 11 5" xfId="731" xr:uid="{B155847F-A771-4DCC-AC96-9E73A5984D85}"/>
    <cellStyle name="Normal 11 6" xfId="10383" xr:uid="{0F8AAB92-32B9-40B5-9862-E77552083E76}"/>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2 3" xfId="10466" xr:uid="{48E09412-725E-4867-B164-02E3399CAE98}"/>
    <cellStyle name="Normal 12 3" xfId="1200" xr:uid="{936EFB27-ADE7-4537-8649-27D78C9D877E}"/>
    <cellStyle name="Normal 12 4" xfId="1558" xr:uid="{7348C44B-C6BC-4B51-AC2E-6D7660F0C6B6}"/>
    <cellStyle name="Normal 12 4 2" xfId="10292" xr:uid="{63961A5C-F341-432C-9467-82A37F125D74}"/>
    <cellStyle name="Normal 12 4 2 2" xfId="19166" xr:uid="{519EE476-35AB-4456-9CDA-36799F0BC599}"/>
    <cellStyle name="Normal 12 4 3" xfId="10957" xr:uid="{53A4A923-7CEC-47A1-85C2-3BD407C7CB6E}"/>
    <cellStyle name="Normal 12 5" xfId="886" xr:uid="{3CE56113-B681-431C-B73F-753945692DF2}"/>
    <cellStyle name="Normal 12 6" xfId="10384" xr:uid="{9BFCEC84-433E-47B3-BC94-88BB673D16C3}"/>
    <cellStyle name="Normal 13" xfId="293" xr:uid="{00000000-0005-0000-0000-000053010000}"/>
    <cellStyle name="Normal 13 2" xfId="485" xr:uid="{00000000-0005-0000-0000-000054010000}"/>
    <cellStyle name="Normal 13 2 2" xfId="2601" xr:uid="{70FD3F5C-CE2A-4277-8C23-11FCA59F0FC7}"/>
    <cellStyle name="Normal 13 2 2 2" xfId="11729" xr:uid="{CAF8B430-CAE8-45AA-AFC9-955B0F7F7179}"/>
    <cellStyle name="Normal 13 2 3" xfId="2602" xr:uid="{C74788A4-5EFC-4556-BEC1-6F9AE27BB6D8}"/>
    <cellStyle name="Normal 13 2 3 2" xfId="11730" xr:uid="{133849E8-3AA1-4FE5-821D-0EE9C4A868CE}"/>
    <cellStyle name="Normal 13 2 4" xfId="2600" xr:uid="{E0E7D858-071B-4F09-B691-5DFE97E7E6D0}"/>
    <cellStyle name="Normal 13 2 4 2" xfId="11728" xr:uid="{DA80A3FE-AEE9-4852-984E-93682D19EFC5}"/>
    <cellStyle name="Normal 13 2 5" xfId="10467" xr:uid="{BCFF456D-E0BD-49BA-AC01-1E4A2030E7AE}"/>
    <cellStyle name="Normal 13 3" xfId="2603" xr:uid="{FE856BC3-F343-42FF-8641-3D12860570F0}"/>
    <cellStyle name="Normal 13 3 2" xfId="11731" xr:uid="{AFD93617-55A6-4E72-85CD-BD4B32E9731E}"/>
    <cellStyle name="Normal 13 4" xfId="2604" xr:uid="{7C767416-6552-4296-9C61-8C94505B3C46}"/>
    <cellStyle name="Normal 13 4 2" xfId="11732" xr:uid="{1AE1B755-BA99-4035-BBB7-510AEF3E678A}"/>
    <cellStyle name="Normal 13 5" xfId="2605" xr:uid="{BAEF65F5-6247-42C4-9834-95C159858295}"/>
    <cellStyle name="Normal 13 5 2" xfId="11733" xr:uid="{A202E47A-43A6-409C-A718-66C6B1F90E55}"/>
    <cellStyle name="Normal 13 6" xfId="985" xr:uid="{BD906F8B-DC1E-4E3F-8C3A-183F1C9100FF}"/>
    <cellStyle name="Normal 13 7" xfId="10385" xr:uid="{8914FD84-8100-4F36-A50F-3F23B8B31146}"/>
    <cellStyle name="Normal 14" xfId="294" xr:uid="{00000000-0005-0000-0000-000055010000}"/>
    <cellStyle name="Normal 14 2" xfId="486" xr:uid="{00000000-0005-0000-0000-000056010000}"/>
    <cellStyle name="Normal 14 2 2" xfId="2606" xr:uid="{DC1D8B1D-B0F7-41DF-AB3C-A56B7D81789A}"/>
    <cellStyle name="Normal 14 2 3" xfId="10468" xr:uid="{34EA57D7-33BD-490A-A2C0-6AFED63B8E78}"/>
    <cellStyle name="Normal 14 3" xfId="984" xr:uid="{AD2DDF0A-4F74-4664-BB63-96D7C0A3D03F}"/>
    <cellStyle name="Normal 14 4" xfId="10386" xr:uid="{1B4D0A88-AF12-449E-9DB7-6D1525F296C4}"/>
    <cellStyle name="Normal 15" xfId="295" xr:uid="{00000000-0005-0000-0000-000057010000}"/>
    <cellStyle name="Normal 15 2" xfId="487" xr:uid="{00000000-0005-0000-0000-000058010000}"/>
    <cellStyle name="Normal 15 2 2" xfId="10469" xr:uid="{5CB3D4A2-1440-4630-BA9F-496E9BE98F51}"/>
    <cellStyle name="Normal 15 3" xfId="983" xr:uid="{615D0648-D92B-402A-8E5A-F5A0B63014FB}"/>
    <cellStyle name="Normal 15 4" xfId="10387" xr:uid="{323AF7AD-25E1-4373-AC1B-B7EBF42907A8}"/>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0" xfId="10338" xr:uid="{BB6F22B2-C966-4D57-9AB7-52CD0CAD8E94}"/>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2 2 2" xfId="19067" xr:uid="{63224F6B-86BD-4033-8574-CC5815FE9015}"/>
    <cellStyle name="Normal 2 2 3 2 2 3" xfId="10858" xr:uid="{09E4916B-9DAA-43A8-9B6D-2F16326B2D40}"/>
    <cellStyle name="Normal 2 2 3 2 3" xfId="9977" xr:uid="{57053BBC-0275-43E4-831C-EA1EC9D96079}"/>
    <cellStyle name="Normal 2 2 3 2 3 2" xfId="18851" xr:uid="{FCC139A3-3DB0-4660-8735-FDD32134979A}"/>
    <cellStyle name="Normal 2 2 3 2 4" xfId="10642" xr:uid="{E80335F4-345D-4115-8198-6B62BAA46377}"/>
    <cellStyle name="Normal 2 2 3 3" xfId="1315" xr:uid="{806F057E-4498-494F-B869-28FFC86E53AE}"/>
    <cellStyle name="Normal 2 2 3 3 2" xfId="1531" xr:uid="{EC7A0963-2461-4297-97D6-552B00E8D274}"/>
    <cellStyle name="Normal 2 2 3 3 2 2" xfId="10265" xr:uid="{4A385958-3DB3-459E-AB3B-2DD39790823E}"/>
    <cellStyle name="Normal 2 2 3 3 2 2 2" xfId="19139" xr:uid="{79704C79-50ED-48BC-AA08-C1F00F7DDD13}"/>
    <cellStyle name="Normal 2 2 3 3 2 3" xfId="10930" xr:uid="{5043B5CA-309A-46D7-BC59-77CBF19C6C89}"/>
    <cellStyle name="Normal 2 2 3 3 3" xfId="10049" xr:uid="{067BF3CF-189F-4810-BCFE-54FC18BF543B}"/>
    <cellStyle name="Normal 2 2 3 3 3 2" xfId="18923" xr:uid="{14305EAD-09F7-4D6E-A5A8-FDB60AC0320B}"/>
    <cellStyle name="Normal 2 2 3 3 4" xfId="10714" xr:uid="{6669915E-F5B3-4384-AE54-DBE4788A52F4}"/>
    <cellStyle name="Normal 2 2 3 4" xfId="1387" xr:uid="{4FF4093C-08AB-4229-8BE4-5C41F09F08C4}"/>
    <cellStyle name="Normal 2 2 3 4 2" xfId="10121" xr:uid="{4799DD13-6ACD-470E-BDB3-5F02BBBEBFD9}"/>
    <cellStyle name="Normal 2 2 3 4 2 2" xfId="18995" xr:uid="{324FA907-A767-4F78-9C8B-B310D7AB9C17}"/>
    <cellStyle name="Normal 2 2 3 4 3" xfId="10786" xr:uid="{EAFF434D-F090-45D7-8F45-247D33BB0B7E}"/>
    <cellStyle name="Normal 2 2 3 5" xfId="9905" xr:uid="{7CF6EA2D-8D03-4CF8-9E2D-30B7DD67BB9F}"/>
    <cellStyle name="Normal 2 2 3 5 2" xfId="18779" xr:uid="{7F5B7EBC-3984-427E-AF8E-09AB7A91AAFD}"/>
    <cellStyle name="Normal 2 2 3 6" xfId="1122" xr:uid="{B5BF6793-7DEA-4374-ABD5-44BD61F2C58C}"/>
    <cellStyle name="Normal 2 2 3 6 2" xfId="10570" xr:uid="{B686D7A1-6020-4D0B-9D37-0C7AFE628DFC}"/>
    <cellStyle name="Normal 2 2 3 7" xfId="10503" xr:uid="{6316CF32-C9A1-4AC7-9063-D484BD8533CB}"/>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2 2 2" xfId="19073" xr:uid="{AC71CCE8-FB0E-414E-9547-D4A2B3290F95}"/>
    <cellStyle name="Normal 2 2 4 2 2 3" xfId="10864" xr:uid="{66DEA643-54C4-40E0-AB0D-27EE70DC2A58}"/>
    <cellStyle name="Normal 2 2 4 2 3" xfId="9983" xr:uid="{AD685A77-7F31-4BE4-8E7C-8F9C68789FBA}"/>
    <cellStyle name="Normal 2 2 4 2 3 2" xfId="18857" xr:uid="{D6EDA025-D8F3-4546-88A6-E35403F1A97A}"/>
    <cellStyle name="Normal 2 2 4 2 4" xfId="10648" xr:uid="{FAF9931A-96F3-491E-99BD-D9D7AD55B974}"/>
    <cellStyle name="Normal 2 2 4 3" xfId="1321" xr:uid="{D7F7F776-E7A2-4F28-84B6-2105CCDF7F04}"/>
    <cellStyle name="Normal 2 2 4 3 2" xfId="1537" xr:uid="{EF49BED9-F28B-4165-932B-15FD5F1C06C2}"/>
    <cellStyle name="Normal 2 2 4 3 2 2" xfId="10271" xr:uid="{455660D8-CCC3-4E75-BBFB-C47843E38488}"/>
    <cellStyle name="Normal 2 2 4 3 2 2 2" xfId="19145" xr:uid="{6E891695-B9A5-45DC-8DFF-4EF4C355D915}"/>
    <cellStyle name="Normal 2 2 4 3 2 3" xfId="10936" xr:uid="{3CB494D2-482E-4E50-9350-D7B13DB4D7B6}"/>
    <cellStyle name="Normal 2 2 4 3 3" xfId="10055" xr:uid="{EB720837-212A-4DCD-AD4E-852BBF476235}"/>
    <cellStyle name="Normal 2 2 4 3 3 2" xfId="18929" xr:uid="{F729A9C5-71B2-44EB-9991-E6897D038249}"/>
    <cellStyle name="Normal 2 2 4 3 4" xfId="10720" xr:uid="{4C6B7EDC-F8BF-4B97-B2D2-C01D92C06AD9}"/>
    <cellStyle name="Normal 2 2 4 4" xfId="1393" xr:uid="{5136994D-6C24-4D2F-B839-564E35DE47A0}"/>
    <cellStyle name="Normal 2 2 4 4 2" xfId="10127" xr:uid="{E9767D7D-25D5-4698-9A9F-0312E7CBA791}"/>
    <cellStyle name="Normal 2 2 4 4 2 2" xfId="19001" xr:uid="{80BBECF2-0B67-4F6F-B24A-789153D90528}"/>
    <cellStyle name="Normal 2 2 4 4 3" xfId="10792" xr:uid="{0101D889-0858-4DA1-BB21-ABC630B6599C}"/>
    <cellStyle name="Normal 2 2 4 5" xfId="9911" xr:uid="{63D481FE-BA60-493A-B2F3-1C2D7619C316}"/>
    <cellStyle name="Normal 2 2 4 5 2" xfId="18785" xr:uid="{9156D08F-7CB9-4E33-9559-A609676ED6E2}"/>
    <cellStyle name="Normal 2 2 4 6" xfId="10576" xr:uid="{FFE91D01-C902-40EF-8415-9E327D0EDEB5}"/>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2 2 2" xfId="19092" xr:uid="{F46C34F5-FCC4-443A-9B7F-6047A6BFD92F}"/>
    <cellStyle name="Normal 2 2 5 2 2 3" xfId="10883" xr:uid="{27AC51FF-6157-4151-B162-F2475203C455}"/>
    <cellStyle name="Normal 2 2 5 2 3" xfId="10002" xr:uid="{ABB9022D-6FBC-4D27-A3E3-0BF8A9CB8CCB}"/>
    <cellStyle name="Normal 2 2 5 2 3 2" xfId="18876" xr:uid="{4A89EB88-49E7-4781-804C-39F31B2ABD83}"/>
    <cellStyle name="Normal 2 2 5 2 4" xfId="10667" xr:uid="{D866E0C3-957C-4DC5-B3E7-CD7391BDA830}"/>
    <cellStyle name="Normal 2 2 5 3" xfId="1340" xr:uid="{3B66EADD-F8F7-4596-A379-2556877DEB67}"/>
    <cellStyle name="Normal 2 2 5 3 2" xfId="1556" xr:uid="{73A473F6-E261-4CA5-BF2B-C0825EF0332C}"/>
    <cellStyle name="Normal 2 2 5 3 2 2" xfId="10290" xr:uid="{1C798DE3-9599-4635-9A4E-904C6E548D77}"/>
    <cellStyle name="Normal 2 2 5 3 2 2 2" xfId="19164" xr:uid="{906234BE-2E33-4F50-80E4-147C809394FD}"/>
    <cellStyle name="Normal 2 2 5 3 2 3" xfId="10955" xr:uid="{04D86FFA-07AF-4F09-82FA-18144D3C9359}"/>
    <cellStyle name="Normal 2 2 5 3 3" xfId="10074" xr:uid="{487DA05A-6CBE-49E9-AD5D-3A1CB4DD7D37}"/>
    <cellStyle name="Normal 2 2 5 3 3 2" xfId="18948" xr:uid="{C6842D34-A08F-4297-B986-CD8E431D2DE0}"/>
    <cellStyle name="Normal 2 2 5 3 4" xfId="10739" xr:uid="{C97D6B65-1F63-458B-A889-23660822753D}"/>
    <cellStyle name="Normal 2 2 5 4" xfId="1412" xr:uid="{FB94987C-0916-4451-8CC4-DEABC461E64D}"/>
    <cellStyle name="Normal 2 2 5 4 2" xfId="10146" xr:uid="{6BB24C8C-CF07-4E1D-9613-D8BB966755A2}"/>
    <cellStyle name="Normal 2 2 5 4 2 2" xfId="19020" xr:uid="{69FFB8CB-F884-40A3-8F74-2AAF1256E309}"/>
    <cellStyle name="Normal 2 2 5 4 3" xfId="10811" xr:uid="{60AE94B5-24C6-46EC-8D12-13F8F4FDA25F}"/>
    <cellStyle name="Normal 2 2 5 5" xfId="9930" xr:uid="{B5E93717-57D0-44D2-A765-41B4F05BF059}"/>
    <cellStyle name="Normal 2 2 5 5 2" xfId="18804" xr:uid="{A84A4817-9E1B-440A-8665-4DD5EA82E09D}"/>
    <cellStyle name="Normal 2 2 5 6" xfId="10595" xr:uid="{725655A5-7D94-4AF7-9459-BD8B8653600A}"/>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3 2 2" xfId="10471" xr:uid="{BFE18764-F285-41FD-8F16-BCD88B694940}"/>
    <cellStyle name="Normal 2 3 3 3" xfId="10389" xr:uid="{234F0C39-E4E9-44A3-9C14-3EE1EF10E819}"/>
    <cellStyle name="Normal 2 3 4" xfId="488" xr:uid="{00000000-0005-0000-0000-000064010000}"/>
    <cellStyle name="Normal 2 3 4 2" xfId="10470" xr:uid="{AF88857F-B5D7-4AD3-AA40-EEF05DA70E10}"/>
    <cellStyle name="Normal 2 3 5" xfId="543" xr:uid="{FFE8226A-1811-4C3F-ABDA-E0B6042D3F01}"/>
    <cellStyle name="Normal 2 3 5 2" xfId="10513" xr:uid="{6A27AFDF-280F-425B-BED8-5E5885593248}"/>
    <cellStyle name="Normal 2 3 6" xfId="971" xr:uid="{08B3E6E6-9D33-480F-A7DC-8B2591CAEA0B}"/>
    <cellStyle name="Normal 2 3 7" xfId="10388" xr:uid="{33F67A24-E7E6-44BA-8A56-03CA089F0C56}"/>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6 2 2" xfId="10480" xr:uid="{ED76B73B-65D0-4D95-8E30-C002FB0A1D25}"/>
    <cellStyle name="Normal 2 6 3" xfId="10398" xr:uid="{1606B862-16D2-4823-B633-540CB9B73844}"/>
    <cellStyle name="Normal 2 7" xfId="425" xr:uid="{00000000-0005-0000-0000-00006A010000}"/>
    <cellStyle name="Normal 2 7 2" xfId="511" xr:uid="{00000000-0005-0000-0000-00006B010000}"/>
    <cellStyle name="Normal 2 7 2 2" xfId="10492" xr:uid="{4FED3227-964C-4DD3-BFC0-DF5A97A44145}"/>
    <cellStyle name="Normal 2 7 3" xfId="10410" xr:uid="{77C66826-CB16-437D-BA99-C2E7076CCF3E}"/>
    <cellStyle name="Normal 2 8" xfId="431" xr:uid="{00000000-0005-0000-0000-00006C010000}"/>
    <cellStyle name="Normal 2 8 2" xfId="516" xr:uid="{00000000-0005-0000-0000-00006D010000}"/>
    <cellStyle name="Normal 2 8 2 2" xfId="10497" xr:uid="{657C9354-DE26-4E75-B285-60EE704EEE77}"/>
    <cellStyle name="Normal 2 8 3" xfId="10415" xr:uid="{D18A826A-90AD-47A0-A7BD-10A1F3E8CBF5}"/>
    <cellStyle name="Normal 2 9" xfId="438" xr:uid="{00000000-0005-0000-0000-00006E010000}"/>
    <cellStyle name="Normal 2 9 2" xfId="10420" xr:uid="{3AAA353B-4085-44A9-B04D-A0613432205F}"/>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2 2" xfId="10511" xr:uid="{2A837EE8-80B1-4B84-9949-674EA25F5281}"/>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0 2" xfId="10423" xr:uid="{46456037-5C0C-404A-99EB-982DDF4730CF}"/>
    <cellStyle name="Normal 3 11" xfId="547" xr:uid="{35683043-CC2D-4EDF-9623-0F03436712F0}"/>
    <cellStyle name="Normal 3 11 2" xfId="10515" xr:uid="{8078B4B2-DEA3-4B5E-AEA9-C4CDB4FB416E}"/>
    <cellStyle name="Normal 3 12" xfId="10341" xr:uid="{B29928B3-FF05-485D-9DB8-40D53C95D9D4}"/>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2 3 2 2" xfId="10472" xr:uid="{A5EF2E0A-51A5-4B09-9603-AA3832B9EC1C}"/>
    <cellStyle name="Normal 3 2 3 3" xfId="10390" xr:uid="{DFE6AB42-16D8-42D6-9F4A-D07D195A4370}"/>
    <cellStyle name="Normal 3 3" xfId="332" xr:uid="{00000000-0005-0000-0000-00008A010000}"/>
    <cellStyle name="Normal 3 3 2" xfId="333" xr:uid="{00000000-0005-0000-0000-00008B010000}"/>
    <cellStyle name="Normal 3 3 2 2" xfId="492" xr:uid="{00000000-0005-0000-0000-00008C010000}"/>
    <cellStyle name="Normal 3 3 2 2 2" xfId="10474" xr:uid="{66250F5A-6CAE-45CE-9125-37AE5C61AAB2}"/>
    <cellStyle name="Normal 3 3 2 3" xfId="10392" xr:uid="{4761FC0B-4C3F-4ACC-A4C0-C33A0B505D13}"/>
    <cellStyle name="Normal 3 3 3" xfId="491" xr:uid="{00000000-0005-0000-0000-00008D010000}"/>
    <cellStyle name="Normal 3 3 3 2" xfId="10473" xr:uid="{6CCEE650-DF1C-4F04-95BA-8F72FA73B2F7}"/>
    <cellStyle name="Normal 3 3 4" xfId="1123" xr:uid="{94DBD3AE-E3F5-44F7-B833-CF9C6970CB55}"/>
    <cellStyle name="Normal 3 3 5" xfId="10391" xr:uid="{A7C0EF34-B825-4DF8-988A-A4A476C954A0}"/>
    <cellStyle name="Normal 3 4" xfId="334" xr:uid="{00000000-0005-0000-0000-00008E010000}"/>
    <cellStyle name="Normal 3 5" xfId="335" xr:uid="{00000000-0005-0000-0000-00008F010000}"/>
    <cellStyle name="Normal 3 5 2" xfId="493" xr:uid="{00000000-0005-0000-0000-000090010000}"/>
    <cellStyle name="Normal 3 5 2 2" xfId="10475" xr:uid="{21E94C7A-8676-4CE1-B156-1A7FD4E2B4D7}"/>
    <cellStyle name="Normal 3 5 3" xfId="10393" xr:uid="{166BAA54-5E41-4F0E-A8C8-CDD2306FF514}"/>
    <cellStyle name="Normal 3 6" xfId="336" xr:uid="{00000000-0005-0000-0000-000091010000}"/>
    <cellStyle name="Normal 3 7" xfId="412" xr:uid="{00000000-0005-0000-0000-000092010000}"/>
    <cellStyle name="Normal 3 7 2" xfId="502" xr:uid="{00000000-0005-0000-0000-000093010000}"/>
    <cellStyle name="Normal 3 7 2 2" xfId="10483" xr:uid="{B6719FE2-9AF8-41D2-9082-53198019AEB2}"/>
    <cellStyle name="Normal 3 7 3" xfId="10401" xr:uid="{719EB892-2F42-4363-AF65-0BC1E61B8806}"/>
    <cellStyle name="Normal 3 8" xfId="428" xr:uid="{00000000-0005-0000-0000-000094010000}"/>
    <cellStyle name="Normal 3 8 2" xfId="514" xr:uid="{00000000-0005-0000-0000-000095010000}"/>
    <cellStyle name="Normal 3 8 2 2" xfId="10495" xr:uid="{92AEA296-322F-4620-BF1B-6714DBFF64DE}"/>
    <cellStyle name="Normal 3 8 3" xfId="10413" xr:uid="{CE7C9AC7-B3A9-40AE-A0F5-C2FD5C572A37}"/>
    <cellStyle name="Normal 3 9" xfId="434" xr:uid="{00000000-0005-0000-0000-000096010000}"/>
    <cellStyle name="Normal 3 9 2" xfId="519" xr:uid="{00000000-0005-0000-0000-000097010000}"/>
    <cellStyle name="Normal 3 9 2 2" xfId="10500" xr:uid="{14E622E7-0463-4476-AC0E-67CD179B3C41}"/>
    <cellStyle name="Normal 3 9 3" xfId="10418" xr:uid="{3514327F-EA60-4B0B-9E9D-053A0385BD0A}"/>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6 2 2" xfId="10485" xr:uid="{A5AAB012-4D29-4554-8CB9-E0B175BDB7F8}"/>
    <cellStyle name="Normal 36 3" xfId="10403" xr:uid="{EFA9087F-1659-4C1A-9F5A-3665FAFD8D72}"/>
    <cellStyle name="Normal 37" xfId="416" xr:uid="{00000000-0005-0000-0000-0000A1010000}"/>
    <cellStyle name="Normal 37 2" xfId="506" xr:uid="{00000000-0005-0000-0000-0000A2010000}"/>
    <cellStyle name="Normal 37 2 2" xfId="10487" xr:uid="{C1CFDAAF-6D66-49CA-B129-B3636F29C628}"/>
    <cellStyle name="Normal 37 3" xfId="10405" xr:uid="{DD23AB48-35AB-439F-B112-E6FEDF139567}"/>
    <cellStyle name="Normal 38" xfId="418" xr:uid="{00000000-0005-0000-0000-0000A3010000}"/>
    <cellStyle name="Normal 38 2" xfId="508" xr:uid="{00000000-0005-0000-0000-0000A4010000}"/>
    <cellStyle name="Normal 38 2 2" xfId="10489" xr:uid="{38974EE8-D234-4E30-A6D8-17A4F0D7ABFC}"/>
    <cellStyle name="Normal 38 3" xfId="10407" xr:uid="{C69B518B-493B-4F66-894A-E2FF9B4E9ADD}"/>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2 2" xfId="11738" xr:uid="{B247FD11-E8D4-41DF-8A7B-894641FF0CF8}"/>
    <cellStyle name="Normal 4 10 2 2 2 3" xfId="2631" xr:uid="{2677EEEF-B1B6-46FC-A191-997E32B31EC6}"/>
    <cellStyle name="Normal 4 10 2 2 2 3 2" xfId="11739" xr:uid="{569919EA-4639-46DB-AFF4-28C126E3EAA1}"/>
    <cellStyle name="Normal 4 10 2 2 2 4" xfId="11737" xr:uid="{D9D333A7-8B5D-4CBC-9DF0-5EAC236EC016}"/>
    <cellStyle name="Normal 4 10 2 2 3" xfId="2632" xr:uid="{BC4AF226-C564-4E5E-AD0B-CBC0904B70B0}"/>
    <cellStyle name="Normal 4 10 2 2 3 2" xfId="11740" xr:uid="{7F0C9B7B-FAD7-41D3-919F-7D265D281BDB}"/>
    <cellStyle name="Normal 4 10 2 2 4" xfId="2633" xr:uid="{83D48B1F-8ACB-491E-B39B-56FA8A4F1C82}"/>
    <cellStyle name="Normal 4 10 2 2 4 2" xfId="11741" xr:uid="{22B2366E-03EA-4848-8CAD-9A054826680F}"/>
    <cellStyle name="Normal 4 10 2 2 5" xfId="2634" xr:uid="{409A3765-B5E4-497A-9932-FE7090F0492B}"/>
    <cellStyle name="Normal 4 10 2 2 5 2" xfId="11742" xr:uid="{B548D8E2-79AB-4172-96FB-6F992C603498}"/>
    <cellStyle name="Normal 4 10 2 2 6" xfId="11736" xr:uid="{B1AFD673-D58A-4ECB-AABE-BFD0709C7128}"/>
    <cellStyle name="Normal 4 10 2 3" xfId="2635" xr:uid="{9E45B9B0-D8A1-4DB0-A536-596C3E179FB3}"/>
    <cellStyle name="Normal 4 10 2 3 2" xfId="2636" xr:uid="{5A22A072-DE20-4C3C-B0C0-D84A615D0437}"/>
    <cellStyle name="Normal 4 10 2 3 2 2" xfId="2637" xr:uid="{54C2DB16-F6C9-4A83-AEE1-3D5A740377B1}"/>
    <cellStyle name="Normal 4 10 2 3 2 2 2" xfId="11745" xr:uid="{5BF17C3F-3C06-4D19-AB2F-7FF05673E94E}"/>
    <cellStyle name="Normal 4 10 2 3 2 3" xfId="2638" xr:uid="{78B94867-A4D9-4B1C-9F0E-96788839AD86}"/>
    <cellStyle name="Normal 4 10 2 3 2 3 2" xfId="11746" xr:uid="{2702B680-F03B-4DD9-B60C-6AD3C61E0A3B}"/>
    <cellStyle name="Normal 4 10 2 3 2 4" xfId="11744" xr:uid="{B8BEF655-EE9A-4D9A-B7C2-7F154F680C4F}"/>
    <cellStyle name="Normal 4 10 2 3 3" xfId="2639" xr:uid="{21FB0AD8-FE86-4B94-96CD-B8ECF1C46889}"/>
    <cellStyle name="Normal 4 10 2 3 3 2" xfId="11747" xr:uid="{C5324B69-ED1C-4AF1-8C4A-4F2ABD969430}"/>
    <cellStyle name="Normal 4 10 2 3 4" xfId="2640" xr:uid="{053518E7-1CC3-4B44-81CA-774A428F61DD}"/>
    <cellStyle name="Normal 4 10 2 3 4 2" xfId="11748" xr:uid="{6C585385-104F-4456-BF08-ED666865E9AE}"/>
    <cellStyle name="Normal 4 10 2 3 5" xfId="2641" xr:uid="{4F9A9BA6-D8C9-4107-8EF1-E9E98A6B4ABB}"/>
    <cellStyle name="Normal 4 10 2 3 5 2" xfId="11749" xr:uid="{9079028E-2CB9-4DEE-9E2F-78A7143E58B8}"/>
    <cellStyle name="Normal 4 10 2 3 6" xfId="11743" xr:uid="{3D7E2A63-A046-49B0-8A0C-49A85E58AB0E}"/>
    <cellStyle name="Normal 4 10 2 4" xfId="2642" xr:uid="{FF9F407B-41C5-4D60-9D6C-92987A95F1E2}"/>
    <cellStyle name="Normal 4 10 2 4 2" xfId="2643" xr:uid="{7FFD20DF-3A20-49D4-A09B-138DEA25A8BB}"/>
    <cellStyle name="Normal 4 10 2 4 2 2" xfId="11751" xr:uid="{6493D7DF-3CE1-4A39-93B6-12016329C000}"/>
    <cellStyle name="Normal 4 10 2 4 3" xfId="2644" xr:uid="{2468E79F-B4B3-428A-8549-233EACD3A0A1}"/>
    <cellStyle name="Normal 4 10 2 4 3 2" xfId="11752" xr:uid="{79C26515-6E30-403F-B68B-6190BB4FDDE4}"/>
    <cellStyle name="Normal 4 10 2 4 4" xfId="11750" xr:uid="{7F129B24-8302-4910-979F-89A51E0A6F9A}"/>
    <cellStyle name="Normal 4 10 2 5" xfId="2645" xr:uid="{1DD55E92-1E54-4500-960C-CA66F221CB7F}"/>
    <cellStyle name="Normal 4 10 2 5 2" xfId="11753" xr:uid="{A0CCDC7D-ABE6-4054-8EA4-88A6D3128723}"/>
    <cellStyle name="Normal 4 10 2 6" xfId="2646" xr:uid="{55026032-9AD8-4CDF-9E13-BFE8585234D9}"/>
    <cellStyle name="Normal 4 10 2 6 2" xfId="11754" xr:uid="{B1E9FBC7-53FE-4CBF-8F1A-6EE036C02C24}"/>
    <cellStyle name="Normal 4 10 2 7" xfId="2647" xr:uid="{E6822CE7-0377-46B7-AA32-A261C7B3706C}"/>
    <cellStyle name="Normal 4 10 2 7 2" xfId="11755" xr:uid="{ABEE9752-A159-4A5F-BAED-944277FE4B6E}"/>
    <cellStyle name="Normal 4 10 2 8" xfId="11735" xr:uid="{89E52382-A265-4612-8C14-45CB8A9925F9}"/>
    <cellStyle name="Normal 4 10 3" xfId="2648" xr:uid="{7D3564A3-5B80-44AC-9F76-787FAE684BA2}"/>
    <cellStyle name="Normal 4 10 3 2" xfId="2649" xr:uid="{AB19FB00-2B52-4B63-98FA-E7BB68EDA917}"/>
    <cellStyle name="Normal 4 10 3 2 2" xfId="2650" xr:uid="{AB0E52DA-B06A-4372-8DF4-B9EE9A37864B}"/>
    <cellStyle name="Normal 4 10 3 2 2 2" xfId="11758" xr:uid="{908DA5B7-D892-4D05-9E5E-FD887492C10D}"/>
    <cellStyle name="Normal 4 10 3 2 3" xfId="2651" xr:uid="{00A7BCB2-74AC-4B6D-AC3A-DF69167348AB}"/>
    <cellStyle name="Normal 4 10 3 2 3 2" xfId="11759" xr:uid="{C5F10D99-F590-4DC4-A503-47ADBF663A12}"/>
    <cellStyle name="Normal 4 10 3 2 4" xfId="11757" xr:uid="{8F21BAEE-427E-422C-AEEE-EEB0C72DDECA}"/>
    <cellStyle name="Normal 4 10 3 3" xfId="2652" xr:uid="{84532654-3E9E-4253-86AC-DD8EFF3D93D2}"/>
    <cellStyle name="Normal 4 10 3 3 2" xfId="11760" xr:uid="{A8AF8EA9-0087-4266-A808-37C88DBEB6CA}"/>
    <cellStyle name="Normal 4 10 3 4" xfId="2653" xr:uid="{9D3BB596-6964-46BF-A2C3-DA5CC6DBDC63}"/>
    <cellStyle name="Normal 4 10 3 4 2" xfId="11761" xr:uid="{1C034258-A7CF-4646-BD2A-735EF192F237}"/>
    <cellStyle name="Normal 4 10 3 5" xfId="2654" xr:uid="{E1B4B5CC-C6B9-4377-A634-CA6D951A22FD}"/>
    <cellStyle name="Normal 4 10 3 5 2" xfId="11762" xr:uid="{7A32DDC7-23AF-4038-A209-AD9C753D1105}"/>
    <cellStyle name="Normal 4 10 3 6" xfId="11756" xr:uid="{7A02D0B9-A07F-4D32-96AF-3B923B81DB8F}"/>
    <cellStyle name="Normal 4 10 4" xfId="2655" xr:uid="{2064BB82-5EA9-46E1-B428-CF4AC119106D}"/>
    <cellStyle name="Normal 4 10 4 2" xfId="2656" xr:uid="{2889881C-FAEB-48E2-8122-363CDFDE3D23}"/>
    <cellStyle name="Normal 4 10 4 2 2" xfId="2657" xr:uid="{94E59EDE-4ACD-48BF-A508-F46EEFD9E7A8}"/>
    <cellStyle name="Normal 4 10 4 2 2 2" xfId="11765" xr:uid="{3C28DE61-A52D-4DB6-92A5-7E0A86E223FD}"/>
    <cellStyle name="Normal 4 10 4 2 3" xfId="2658" xr:uid="{B3527B71-09E5-467F-B99A-15BF3345E345}"/>
    <cellStyle name="Normal 4 10 4 2 3 2" xfId="11766" xr:uid="{E4C47CC6-3251-41FE-8CFD-9729BAC82CBB}"/>
    <cellStyle name="Normal 4 10 4 2 4" xfId="11764" xr:uid="{12491354-22CA-40EB-894E-9BA30BAF413A}"/>
    <cellStyle name="Normal 4 10 4 3" xfId="2659" xr:uid="{BC021E5A-2CD0-40B6-A05A-E13A4B074E1D}"/>
    <cellStyle name="Normal 4 10 4 3 2" xfId="11767" xr:uid="{15793DEF-BCBF-4487-A9D0-85843CED1582}"/>
    <cellStyle name="Normal 4 10 4 4" xfId="2660" xr:uid="{B3AF263E-1649-4CA9-9306-05A04DEEF8F7}"/>
    <cellStyle name="Normal 4 10 4 4 2" xfId="11768" xr:uid="{7C9EB1B3-152D-4CF1-AB21-54FB35F24F08}"/>
    <cellStyle name="Normal 4 10 4 5" xfId="2661" xr:uid="{E85648F1-0339-48BC-BE37-32ED0AE175DE}"/>
    <cellStyle name="Normal 4 10 4 5 2" xfId="11769" xr:uid="{E86EF10A-BC60-4FE9-926F-858ABEC68999}"/>
    <cellStyle name="Normal 4 10 4 6" xfId="11763" xr:uid="{03DC33A1-5308-4EFC-8400-F57156522B6F}"/>
    <cellStyle name="Normal 4 10 5" xfId="2662" xr:uid="{CC1FE5CD-B57A-408D-B9AD-90EDDA43296E}"/>
    <cellStyle name="Normal 4 10 5 2" xfId="2663" xr:uid="{3B2F285B-C21A-4DF8-805F-924254DA3A03}"/>
    <cellStyle name="Normal 4 10 5 2 2" xfId="11771" xr:uid="{5B678C5A-0AA2-48BA-A2DD-750A21B919DF}"/>
    <cellStyle name="Normal 4 10 5 3" xfId="2664" xr:uid="{54476754-189D-4306-B3FF-CA663A5FA154}"/>
    <cellStyle name="Normal 4 10 5 3 2" xfId="11772" xr:uid="{10456F46-CABF-4414-BED7-7339C2069065}"/>
    <cellStyle name="Normal 4 10 5 4" xfId="11770" xr:uid="{639A3C9D-C5CB-4422-82A5-D5DE8B1706EC}"/>
    <cellStyle name="Normal 4 10 6" xfId="2665" xr:uid="{E88D857B-7D5E-49CF-BA2E-024328CAFE81}"/>
    <cellStyle name="Normal 4 10 6 2" xfId="11773" xr:uid="{A88A7F05-46D5-4A79-A99D-EEF56B0E973A}"/>
    <cellStyle name="Normal 4 10 7" xfId="2666" xr:uid="{869CBE8A-C368-4308-8726-65AA71FF6ED4}"/>
    <cellStyle name="Normal 4 10 7 2" xfId="11774" xr:uid="{453A718C-E709-4CFF-87DB-9CEE853B8BBB}"/>
    <cellStyle name="Normal 4 10 8" xfId="2667" xr:uid="{5C11CBDE-9A06-4F7C-997F-4E5ED4AA5586}"/>
    <cellStyle name="Normal 4 10 8 2" xfId="11775" xr:uid="{486441A1-A900-4C9B-A31E-7AC08C429DB6}"/>
    <cellStyle name="Normal 4 10 9" xfId="11734" xr:uid="{D1928338-C794-49F9-B340-CE73D27BD580}"/>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2 2" xfId="11779" xr:uid="{E83BD429-03EA-4E19-9808-06B2D0A52646}"/>
    <cellStyle name="Normal 4 11 2 2 3" xfId="2672" xr:uid="{41E93462-BAEB-4197-A92D-9E83851EBF63}"/>
    <cellStyle name="Normal 4 11 2 2 3 2" xfId="11780" xr:uid="{DCD0454B-2A88-4521-ACD8-BD2A281B4C56}"/>
    <cellStyle name="Normal 4 11 2 2 4" xfId="11778" xr:uid="{403650E4-D071-4884-ADEB-1CE9E30BE344}"/>
    <cellStyle name="Normal 4 11 2 3" xfId="2673" xr:uid="{D4C3CC51-4717-48DC-AD47-2DF0085D750C}"/>
    <cellStyle name="Normal 4 11 2 3 2" xfId="11781" xr:uid="{BF6FBEE2-5FE2-4815-896C-CDC3C837783A}"/>
    <cellStyle name="Normal 4 11 2 4" xfId="2674" xr:uid="{9C9C3E83-AF3A-4BE1-A0DB-2B7E30B4AB82}"/>
    <cellStyle name="Normal 4 11 2 4 2" xfId="11782" xr:uid="{9ED1006F-BF51-4E53-9777-0001E6738F7F}"/>
    <cellStyle name="Normal 4 11 2 5" xfId="2675" xr:uid="{7C0192DF-C40C-4496-B179-B8739DDC884E}"/>
    <cellStyle name="Normal 4 11 2 5 2" xfId="11783" xr:uid="{FEE16033-A74C-4665-93DD-A397B1B8C44E}"/>
    <cellStyle name="Normal 4 11 2 6" xfId="11777" xr:uid="{81883B21-7F6B-4E1E-946D-70BC50C90E12}"/>
    <cellStyle name="Normal 4 11 3" xfId="2676" xr:uid="{ED46346A-0414-4E7C-92B9-393247C87748}"/>
    <cellStyle name="Normal 4 11 3 2" xfId="2677" xr:uid="{24349869-28D2-4534-B5D5-0423AE6485AB}"/>
    <cellStyle name="Normal 4 11 3 2 2" xfId="2678" xr:uid="{EE1A1563-72C2-4F24-8E86-32ECA6898B89}"/>
    <cellStyle name="Normal 4 11 3 2 2 2" xfId="11786" xr:uid="{272BBACF-7EB9-4274-9325-AF826145A696}"/>
    <cellStyle name="Normal 4 11 3 2 3" xfId="2679" xr:uid="{26100BC5-DD7F-4613-8576-B253A70659B2}"/>
    <cellStyle name="Normal 4 11 3 2 3 2" xfId="11787" xr:uid="{198D4F94-A241-4352-AAE8-2F57A4F30D5D}"/>
    <cellStyle name="Normal 4 11 3 2 4" xfId="11785" xr:uid="{208D5F09-9012-43A5-A848-8A11923026D3}"/>
    <cellStyle name="Normal 4 11 3 3" xfId="2680" xr:uid="{7A3F6026-A5A2-4735-B981-9E9CE28B0BE1}"/>
    <cellStyle name="Normal 4 11 3 3 2" xfId="11788" xr:uid="{8A5C469C-3C61-4659-8B66-2A06A7A71B48}"/>
    <cellStyle name="Normal 4 11 3 4" xfId="2681" xr:uid="{17786CF0-D39E-4815-B4A8-6744604D8848}"/>
    <cellStyle name="Normal 4 11 3 4 2" xfId="11789" xr:uid="{D75821C1-C88F-4429-8E24-621863792E8F}"/>
    <cellStyle name="Normal 4 11 3 5" xfId="2682" xr:uid="{E6037184-167B-4917-B585-67AB9D5735FE}"/>
    <cellStyle name="Normal 4 11 3 5 2" xfId="11790" xr:uid="{7A1D5181-9AC2-4460-A0C1-C1956F3272B8}"/>
    <cellStyle name="Normal 4 11 3 6" xfId="11784" xr:uid="{106A67A4-B5C3-44BA-B206-737E5B1A6A27}"/>
    <cellStyle name="Normal 4 11 4" xfId="2683" xr:uid="{4F929133-2C22-4C49-B367-841B954FC1B8}"/>
    <cellStyle name="Normal 4 11 4 2" xfId="2684" xr:uid="{0735C77B-B5B4-4B55-9306-A3D1AF9A272F}"/>
    <cellStyle name="Normal 4 11 4 2 2" xfId="11792" xr:uid="{D3511D87-37EF-47D8-9738-7CA8565838BE}"/>
    <cellStyle name="Normal 4 11 4 3" xfId="2685" xr:uid="{895E1CC6-0D2A-45BB-A7D6-7D2253B3D682}"/>
    <cellStyle name="Normal 4 11 4 3 2" xfId="11793" xr:uid="{93835BA2-D41E-4703-85C6-C148ED006257}"/>
    <cellStyle name="Normal 4 11 4 4" xfId="11791" xr:uid="{B4C2BDD0-0682-42A8-8E26-BA88B13B5192}"/>
    <cellStyle name="Normal 4 11 5" xfId="2686" xr:uid="{08B50BBB-3598-4E0A-A071-F71AFC46357E}"/>
    <cellStyle name="Normal 4 11 5 2" xfId="11794" xr:uid="{0E291560-0330-4C3C-9BF4-7D9909D7B79D}"/>
    <cellStyle name="Normal 4 11 6" xfId="2687" xr:uid="{A61A46F0-982C-4F2C-990E-5E32D2C8DB60}"/>
    <cellStyle name="Normal 4 11 6 2" xfId="11795" xr:uid="{7AD1D326-EA00-41BD-B325-CA1AA690A0BC}"/>
    <cellStyle name="Normal 4 11 7" xfId="2688" xr:uid="{C08FD2FD-4EA5-4845-AB7A-C56CBA917E73}"/>
    <cellStyle name="Normal 4 11 7 2" xfId="11796" xr:uid="{CE9825AB-5838-44C3-9B9E-BCB6B7FD2754}"/>
    <cellStyle name="Normal 4 11 8" xfId="11776" xr:uid="{3F21EE1E-9359-4E18-905F-3B046078008D}"/>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2 2" xfId="11800" xr:uid="{A7233643-E980-4507-9F74-0F9DC58B3768}"/>
    <cellStyle name="Normal 4 12 2 2 3" xfId="2693" xr:uid="{1C76BEDE-BAE0-4A6B-BB37-B0964D3489F0}"/>
    <cellStyle name="Normal 4 12 2 2 3 2" xfId="11801" xr:uid="{F3BD96A1-80F4-4AE4-8643-A4EDC70D4EBF}"/>
    <cellStyle name="Normal 4 12 2 2 4" xfId="11799" xr:uid="{C8F47D73-9F39-4D25-8EFD-5691D3A6A1AE}"/>
    <cellStyle name="Normal 4 12 2 3" xfId="2694" xr:uid="{C65803E9-6E68-4768-A22A-7FA99230FFDD}"/>
    <cellStyle name="Normal 4 12 2 3 2" xfId="11802" xr:uid="{30455A40-BEEF-42B0-A26F-D4BD9496513B}"/>
    <cellStyle name="Normal 4 12 2 4" xfId="2695" xr:uid="{E041249A-F0CC-49D2-AF92-ADDBA4C097E5}"/>
    <cellStyle name="Normal 4 12 2 4 2" xfId="11803" xr:uid="{A6EFDFAD-04B0-4247-8347-F0C5C9DFCF93}"/>
    <cellStyle name="Normal 4 12 2 5" xfId="2696" xr:uid="{C61771DD-4846-4573-81AA-00BA2BAD39C5}"/>
    <cellStyle name="Normal 4 12 2 5 2" xfId="11804" xr:uid="{638B2456-459F-43C0-B9A0-EE993F3A8C96}"/>
    <cellStyle name="Normal 4 12 2 6" xfId="11798" xr:uid="{34C906F8-A523-4B04-90E2-034CCD9FF011}"/>
    <cellStyle name="Normal 4 12 3" xfId="2697" xr:uid="{94CE02BF-FD13-4BF2-B02D-41FAF0DCDE7E}"/>
    <cellStyle name="Normal 4 12 3 2" xfId="2698" xr:uid="{0AA2F874-6D35-45DA-877F-C5C191A66979}"/>
    <cellStyle name="Normal 4 12 3 2 2" xfId="2699" xr:uid="{1FF9BB1D-615B-4728-942D-144518876CD4}"/>
    <cellStyle name="Normal 4 12 3 2 2 2" xfId="11807" xr:uid="{C32DD2A0-0B06-4ED4-9D45-984D202BDAB0}"/>
    <cellStyle name="Normal 4 12 3 2 3" xfId="2700" xr:uid="{A556DED3-A63D-45FA-ACB6-CF47FF5EEDD4}"/>
    <cellStyle name="Normal 4 12 3 2 3 2" xfId="11808" xr:uid="{35D90635-D6A7-4167-A36D-D261951572AF}"/>
    <cellStyle name="Normal 4 12 3 2 4" xfId="11806" xr:uid="{D7B6A487-D78C-4107-B7A8-930EB099D7AB}"/>
    <cellStyle name="Normal 4 12 3 3" xfId="2701" xr:uid="{ADB2F832-BAD8-48D4-A3D0-53D9378AB038}"/>
    <cellStyle name="Normal 4 12 3 3 2" xfId="11809" xr:uid="{7371AC44-33F5-4F6A-B24B-686794B2275C}"/>
    <cellStyle name="Normal 4 12 3 4" xfId="2702" xr:uid="{26901E31-05A6-4C17-8062-51F2C71AFBE1}"/>
    <cellStyle name="Normal 4 12 3 4 2" xfId="11810" xr:uid="{C7646004-B710-4D27-9D50-0AC3FA22BA2F}"/>
    <cellStyle name="Normal 4 12 3 5" xfId="2703" xr:uid="{FF24B736-3E80-4F95-8A2C-A761B730E93E}"/>
    <cellStyle name="Normal 4 12 3 5 2" xfId="11811" xr:uid="{551E5191-BF9E-4903-9335-421E74401DB1}"/>
    <cellStyle name="Normal 4 12 3 6" xfId="11805" xr:uid="{0705A045-470F-45E7-8C31-5F014FA94688}"/>
    <cellStyle name="Normal 4 12 4" xfId="2704" xr:uid="{A6A3086B-33BA-45C9-A2F7-605869FBE912}"/>
    <cellStyle name="Normal 4 12 4 2" xfId="2705" xr:uid="{700B0AEC-76D9-483A-93B2-D417C82326BD}"/>
    <cellStyle name="Normal 4 12 4 2 2" xfId="11813" xr:uid="{4573BDCB-2C62-4A83-B50E-24B7A4242360}"/>
    <cellStyle name="Normal 4 12 4 3" xfId="2706" xr:uid="{A29DFD58-7DB1-4FDA-8772-853A71CF0B3A}"/>
    <cellStyle name="Normal 4 12 4 3 2" xfId="11814" xr:uid="{C261DCDB-E415-4195-B584-8B1FEE204B7C}"/>
    <cellStyle name="Normal 4 12 4 4" xfId="11812" xr:uid="{336950EC-076C-48AA-8DE3-5707FC40BEF5}"/>
    <cellStyle name="Normal 4 12 5" xfId="2707" xr:uid="{FB170E78-AB7B-4BE9-AAE4-1834A6290C0C}"/>
    <cellStyle name="Normal 4 12 5 2" xfId="11815" xr:uid="{102B9CA5-7454-495C-895F-08EE7DF01EC3}"/>
    <cellStyle name="Normal 4 12 6" xfId="2708" xr:uid="{CC82A4D1-60DC-4FE0-A6FC-F0994E8EE851}"/>
    <cellStyle name="Normal 4 12 6 2" xfId="11816" xr:uid="{AA22C506-7689-425D-8CA5-CCC1BF10A694}"/>
    <cellStyle name="Normal 4 12 7" xfId="2709" xr:uid="{C82E6056-763E-4F0C-8C7B-8D79752488BF}"/>
    <cellStyle name="Normal 4 12 7 2" xfId="11817" xr:uid="{15A8D987-B8F3-44F0-BA56-55FBD5538D67}"/>
    <cellStyle name="Normal 4 12 8" xfId="11797" xr:uid="{2661B3D6-0E2E-4AAA-AA77-66C8F56391E6}"/>
    <cellStyle name="Normal 4 13" xfId="2710" xr:uid="{600BE492-B6EC-447B-9353-2D54DF701290}"/>
    <cellStyle name="Normal 4 13 2" xfId="2711" xr:uid="{843B0160-74FD-41E1-A267-B940566F93E1}"/>
    <cellStyle name="Normal 4 13 2 2" xfId="2712" xr:uid="{30FA0D5B-24F5-4381-BCD1-5E86CEDB4DAF}"/>
    <cellStyle name="Normal 4 13 2 2 2" xfId="11820" xr:uid="{59242428-EBEA-433F-91C2-F8FC16E9ADFE}"/>
    <cellStyle name="Normal 4 13 2 3" xfId="2713" xr:uid="{FEBC754C-7466-4A5C-8454-303540E4F5A0}"/>
    <cellStyle name="Normal 4 13 2 3 2" xfId="11821" xr:uid="{5951D3CB-5806-4831-8692-AA610D157E12}"/>
    <cellStyle name="Normal 4 13 2 4" xfId="11819" xr:uid="{629D4129-BADD-4C77-B328-5075656BE887}"/>
    <cellStyle name="Normal 4 13 3" xfId="2714" xr:uid="{EB93B862-FAD2-49C7-A2BC-BCFE0559011F}"/>
    <cellStyle name="Normal 4 13 3 2" xfId="11822" xr:uid="{52191904-6311-4430-8F9D-E4618236BA2B}"/>
    <cellStyle name="Normal 4 13 4" xfId="2715" xr:uid="{0B445C26-9580-43CD-8559-9AA81C9F04DA}"/>
    <cellStyle name="Normal 4 13 4 2" xfId="11823" xr:uid="{D0AA12F3-3C42-40B0-8B5C-3C2A174CEFAD}"/>
    <cellStyle name="Normal 4 13 5" xfId="2716" xr:uid="{224D0E78-343F-46AB-A1A7-DC7A4CA731C3}"/>
    <cellStyle name="Normal 4 13 5 2" xfId="11824" xr:uid="{E6598C1A-9B73-409F-AD18-F6F5F655B430}"/>
    <cellStyle name="Normal 4 13 6" xfId="11818" xr:uid="{6EFBB33E-862F-45EA-9813-9034020B2721}"/>
    <cellStyle name="Normal 4 14" xfId="2717" xr:uid="{8AEE4CCE-7C05-483B-83D1-4CEE4C54F7F8}"/>
    <cellStyle name="Normal 4 14 2" xfId="2718" xr:uid="{7057F3EB-388E-4482-BC51-F91F6BC97FCF}"/>
    <cellStyle name="Normal 4 14 2 2" xfId="2719" xr:uid="{70E84A54-C206-4536-971A-DC348EC6DB00}"/>
    <cellStyle name="Normal 4 14 2 2 2" xfId="11827" xr:uid="{4D77CD5E-DDF8-4A93-AF75-C1647A947711}"/>
    <cellStyle name="Normal 4 14 2 3" xfId="2720" xr:uid="{E8A15317-63C7-4DD5-B341-3E201C33B99F}"/>
    <cellStyle name="Normal 4 14 2 3 2" xfId="11828" xr:uid="{6FFBF7D9-1606-4FD6-BCCD-93A0D7E972B4}"/>
    <cellStyle name="Normal 4 14 2 4" xfId="11826" xr:uid="{FCB5A513-1B46-426D-93B6-E38D4BD91D8B}"/>
    <cellStyle name="Normal 4 14 3" xfId="2721" xr:uid="{64286DE1-6AC9-4E15-B79F-A0DF07A23167}"/>
    <cellStyle name="Normal 4 14 3 2" xfId="11829" xr:uid="{AE2BDC9E-D449-4535-B286-D5BC0981945F}"/>
    <cellStyle name="Normal 4 14 4" xfId="2722" xr:uid="{36F059EA-30EB-4E02-852A-8930AE7CFF21}"/>
    <cellStyle name="Normal 4 14 4 2" xfId="11830" xr:uid="{83354B5A-2096-4595-8227-8BCF1A5C2A53}"/>
    <cellStyle name="Normal 4 14 5" xfId="2723" xr:uid="{7D34A939-C6B4-499A-B184-FA044B3510EA}"/>
    <cellStyle name="Normal 4 14 5 2" xfId="11831" xr:uid="{248E618C-1AAE-41E2-BBAF-F593333AABBE}"/>
    <cellStyle name="Normal 4 14 6" xfId="11825" xr:uid="{15FD4A5A-FEAC-4CDA-A01E-43D52C5A7AD2}"/>
    <cellStyle name="Normal 4 15 2 3" xfId="537" xr:uid="{736E6F28-3F79-48A4-8361-8D73A13660E6}"/>
    <cellStyle name="Normal 4 15 2 3 2" xfId="10509" xr:uid="{744FF8D8-8270-4FC5-A5C3-FDF7EB472F8A}"/>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2 2" xfId="11835" xr:uid="{57A345D2-D21A-4D5A-A2FF-B08DD41DE51A}"/>
    <cellStyle name="Normal 4 2 10 2 2 3" xfId="2728" xr:uid="{A713F9B8-4AEF-4ED8-91DE-E0A73C4BF40C}"/>
    <cellStyle name="Normal 4 2 10 2 2 3 2" xfId="11836" xr:uid="{B9D3F0B2-203D-41CB-B7A5-050FB82E5912}"/>
    <cellStyle name="Normal 4 2 10 2 2 4" xfId="11834" xr:uid="{1926B086-2153-4631-9E30-E791990CBD8D}"/>
    <cellStyle name="Normal 4 2 10 2 3" xfId="2729" xr:uid="{9ADFE2AB-DFEA-4FFB-AF85-5C2AC1E5824E}"/>
    <cellStyle name="Normal 4 2 10 2 3 2" xfId="11837" xr:uid="{6E12CF12-B407-487A-8948-F2CD3856C3B3}"/>
    <cellStyle name="Normal 4 2 10 2 4" xfId="2730" xr:uid="{CCFAAA0B-5D0E-4CEB-AAD4-689ADD7DFBB6}"/>
    <cellStyle name="Normal 4 2 10 2 4 2" xfId="11838" xr:uid="{A71D2F92-0DE4-4EF3-A8C0-DE55A6B508D8}"/>
    <cellStyle name="Normal 4 2 10 2 5" xfId="2731" xr:uid="{61C5C9D2-413F-4C4A-A7E2-863B13A26ECD}"/>
    <cellStyle name="Normal 4 2 10 2 5 2" xfId="11839" xr:uid="{6D536E21-29FD-43F5-B0E2-C2581E1FF191}"/>
    <cellStyle name="Normal 4 2 10 2 6" xfId="11833" xr:uid="{5BD58A0D-BD2C-41A1-A416-F274D0F63AEC}"/>
    <cellStyle name="Normal 4 2 10 3" xfId="2732" xr:uid="{A15E7CBD-F89B-43C8-A862-77EFDEDB2A54}"/>
    <cellStyle name="Normal 4 2 10 3 2" xfId="2733" xr:uid="{DBC314FE-0C42-42D5-A2AE-C8F7EEE5CB31}"/>
    <cellStyle name="Normal 4 2 10 3 2 2" xfId="2734" xr:uid="{274FFAF4-5E4E-4E36-86CC-8F55D391CBE3}"/>
    <cellStyle name="Normal 4 2 10 3 2 2 2" xfId="11842" xr:uid="{19802793-D5E1-4EFB-95CD-BB16CCCB9EEB}"/>
    <cellStyle name="Normal 4 2 10 3 2 3" xfId="2735" xr:uid="{AF6CABA1-EC60-4BE8-A6B0-3B9419FF2BD8}"/>
    <cellStyle name="Normal 4 2 10 3 2 3 2" xfId="11843" xr:uid="{4C3AE7F9-45EC-4DB4-987E-96C142C8DA08}"/>
    <cellStyle name="Normal 4 2 10 3 2 4" xfId="11841" xr:uid="{2052CA8B-96BE-47C8-9EB1-00382938C1B9}"/>
    <cellStyle name="Normal 4 2 10 3 3" xfId="2736" xr:uid="{49DE696C-6009-4B17-8280-24140B19661D}"/>
    <cellStyle name="Normal 4 2 10 3 3 2" xfId="11844" xr:uid="{E5FB99E6-A04D-4BDC-8458-7EA8EED44A74}"/>
    <cellStyle name="Normal 4 2 10 3 4" xfId="2737" xr:uid="{B7F82C94-C41B-4ABB-BD80-2A88256620C1}"/>
    <cellStyle name="Normal 4 2 10 3 4 2" xfId="11845" xr:uid="{BF47344A-C3AA-4D5F-AF2A-55C7453783CF}"/>
    <cellStyle name="Normal 4 2 10 3 5" xfId="2738" xr:uid="{D8671A97-E65C-4C0B-AB1F-E228AD77ECBF}"/>
    <cellStyle name="Normal 4 2 10 3 5 2" xfId="11846" xr:uid="{F90BCC9D-8B16-4938-8691-F96228149A14}"/>
    <cellStyle name="Normal 4 2 10 3 6" xfId="11840" xr:uid="{CB078D06-8406-4445-851D-D8840CE29413}"/>
    <cellStyle name="Normal 4 2 10 4" xfId="2739" xr:uid="{C3F608A8-24CA-4933-9B1F-63798CCCEF31}"/>
    <cellStyle name="Normal 4 2 10 4 2" xfId="2740" xr:uid="{A76BA780-3161-4CEC-8701-B5A7D67742D6}"/>
    <cellStyle name="Normal 4 2 10 4 2 2" xfId="11848" xr:uid="{2BC9BF2A-880B-4284-B7A4-06C74779B1CD}"/>
    <cellStyle name="Normal 4 2 10 4 3" xfId="2741" xr:uid="{E9B4DA24-71A8-412C-AFB2-C545CD499945}"/>
    <cellStyle name="Normal 4 2 10 4 3 2" xfId="11849" xr:uid="{081B57A9-CA2B-4D67-8071-FCE2C3CD5326}"/>
    <cellStyle name="Normal 4 2 10 4 4" xfId="11847" xr:uid="{4EA58190-9A00-4341-AB09-43B2D45CFF6E}"/>
    <cellStyle name="Normal 4 2 10 5" xfId="2742" xr:uid="{6418034F-CB21-4B56-935C-252F82DC13A8}"/>
    <cellStyle name="Normal 4 2 10 5 2" xfId="11850" xr:uid="{1637EC64-DE20-433F-9CA5-E620556F6924}"/>
    <cellStyle name="Normal 4 2 10 6" xfId="2743" xr:uid="{2F31BEA9-5D85-4C9E-B722-F35E56B72C14}"/>
    <cellStyle name="Normal 4 2 10 6 2" xfId="11851" xr:uid="{9FDF4A8F-66CA-48D7-B7FB-C2D8D98789BB}"/>
    <cellStyle name="Normal 4 2 10 7" xfId="2744" xr:uid="{8F1CDC16-000D-4F1E-B7E0-3C4726707407}"/>
    <cellStyle name="Normal 4 2 10 7 2" xfId="11852" xr:uid="{00EDFC11-8788-42DD-BD21-3337545ECBBF}"/>
    <cellStyle name="Normal 4 2 10 8" xfId="11832" xr:uid="{8FB3FDE2-13BA-4D9D-875A-934D99A695A3}"/>
    <cellStyle name="Normal 4 2 11" xfId="2745" xr:uid="{906D963B-38BB-4005-B540-3A4053976AB5}"/>
    <cellStyle name="Normal 4 2 11 2" xfId="2746" xr:uid="{33DC3C7F-2296-40FF-90F8-DC1405F0AFC2}"/>
    <cellStyle name="Normal 4 2 11 2 2" xfId="2747" xr:uid="{A4353670-5944-4EE8-8C05-E50F15EB4A63}"/>
    <cellStyle name="Normal 4 2 11 2 2 2" xfId="11855" xr:uid="{67DBC31B-FBE9-4CFC-92A7-B502B67B448B}"/>
    <cellStyle name="Normal 4 2 11 2 3" xfId="2748" xr:uid="{E260D124-8FBD-4498-85D0-463785B39B96}"/>
    <cellStyle name="Normal 4 2 11 2 3 2" xfId="11856" xr:uid="{434B5611-C68F-4A6C-B62A-89C33EF86E58}"/>
    <cellStyle name="Normal 4 2 11 2 4" xfId="11854" xr:uid="{8D5C2138-E820-4024-B60D-81354C2133E9}"/>
    <cellStyle name="Normal 4 2 11 3" xfId="2749" xr:uid="{5FF647D5-2AB2-4E7F-BEFA-220FC6C58210}"/>
    <cellStyle name="Normal 4 2 11 3 2" xfId="11857" xr:uid="{708EDC41-D7F0-4501-ACFE-FD18312FE16D}"/>
    <cellStyle name="Normal 4 2 11 4" xfId="2750" xr:uid="{08B447DD-198F-4CDC-9815-F83DE89C933E}"/>
    <cellStyle name="Normal 4 2 11 4 2" xfId="11858" xr:uid="{A03649F2-FB71-4399-BF23-AA2019DB87CC}"/>
    <cellStyle name="Normal 4 2 11 5" xfId="2751" xr:uid="{0DEB7298-1AA0-4F51-AD78-BFC93389673A}"/>
    <cellStyle name="Normal 4 2 11 5 2" xfId="11859" xr:uid="{19F81D41-8624-4160-8DE2-3348EDBCF051}"/>
    <cellStyle name="Normal 4 2 11 6" xfId="11853" xr:uid="{C53A1E7D-97CE-45C2-AFB8-06490CEB3DBF}"/>
    <cellStyle name="Normal 4 2 12" xfId="2752" xr:uid="{4EA28265-74B4-4C08-9144-9DF8E9133D1B}"/>
    <cellStyle name="Normal 4 2 12 2" xfId="2753" xr:uid="{724ADDF9-0B04-4CD6-A669-D380184A54B8}"/>
    <cellStyle name="Normal 4 2 12 2 2" xfId="2754" xr:uid="{B535A450-6118-45D7-938D-E0AB4283869E}"/>
    <cellStyle name="Normal 4 2 12 2 2 2" xfId="11862" xr:uid="{DF724D37-15E8-4EFF-94D3-1D9F87765CD7}"/>
    <cellStyle name="Normal 4 2 12 2 3" xfId="2755" xr:uid="{84A731C3-915B-4AF0-A993-B675773739C3}"/>
    <cellStyle name="Normal 4 2 12 2 3 2" xfId="11863" xr:uid="{9C6A0C14-E4AF-440C-8AB6-66772FCC77E4}"/>
    <cellStyle name="Normal 4 2 12 2 4" xfId="11861" xr:uid="{43E5952D-F708-4CED-A33D-0AA2D48E5A01}"/>
    <cellStyle name="Normal 4 2 12 3" xfId="2756" xr:uid="{11C2A50D-AD32-4B0D-A6D8-7B969748477C}"/>
    <cellStyle name="Normal 4 2 12 3 2" xfId="11864" xr:uid="{A4C1397A-7C1D-48F9-AF39-6B0F7FF5987B}"/>
    <cellStyle name="Normal 4 2 12 4" xfId="2757" xr:uid="{EEE4F718-E13A-4E63-A466-16FFF73CDD91}"/>
    <cellStyle name="Normal 4 2 12 4 2" xfId="11865" xr:uid="{C62C62FB-2F82-4AEB-837F-4710D9FD4FD8}"/>
    <cellStyle name="Normal 4 2 12 5" xfId="2758" xr:uid="{CD8CD240-441C-46C2-A256-2E27E132FB9B}"/>
    <cellStyle name="Normal 4 2 12 5 2" xfId="11866" xr:uid="{DF14046C-ACCF-4BDE-A174-6DFCA9EE2352}"/>
    <cellStyle name="Normal 4 2 12 6" xfId="11860" xr:uid="{EF1E12E3-50D2-401A-9D4F-AFBFDBC1322C}"/>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2 2" xfId="11869" xr:uid="{30F7D0C8-0518-44F0-B351-51A34BF0DF55}"/>
    <cellStyle name="Normal 4 2 2 10 2 3" xfId="2762" xr:uid="{09F3F796-0ED6-4D0F-BBF3-BAC60A728A17}"/>
    <cellStyle name="Normal 4 2 2 10 2 3 2" xfId="11870" xr:uid="{AF991721-4C47-456B-928D-860CCEABE520}"/>
    <cellStyle name="Normal 4 2 2 10 2 4" xfId="11868" xr:uid="{8EB0DD9F-FEDC-49B1-85A3-8745A01E9DB6}"/>
    <cellStyle name="Normal 4 2 2 10 3" xfId="2763" xr:uid="{0706E581-740E-48BD-BA07-43E28E98627B}"/>
    <cellStyle name="Normal 4 2 2 10 3 2" xfId="11871" xr:uid="{C420A650-0ED0-4302-85DA-D46F159B383C}"/>
    <cellStyle name="Normal 4 2 2 10 4" xfId="2764" xr:uid="{B4A2A85A-1FFF-415D-94BA-039252F85FEF}"/>
    <cellStyle name="Normal 4 2 2 10 4 2" xfId="11872" xr:uid="{2FD13E88-5EE1-45EE-904D-1879B7486483}"/>
    <cellStyle name="Normal 4 2 2 10 5" xfId="2765" xr:uid="{0577429C-6ABC-4275-A8ED-33E74258339A}"/>
    <cellStyle name="Normal 4 2 2 10 5 2" xfId="11873" xr:uid="{EFF24C3E-376A-4A74-A4D0-E39BE5FB193E}"/>
    <cellStyle name="Normal 4 2 2 10 6" xfId="11867" xr:uid="{BC38E98B-8DBC-431E-A928-ADE983387F27}"/>
    <cellStyle name="Normal 4 2 2 11" xfId="2766" xr:uid="{7F0383BB-78D7-40F1-9842-27D646D9F02D}"/>
    <cellStyle name="Normal 4 2 2 11 2" xfId="2767" xr:uid="{8BFB382C-AC8E-4C99-B5D9-8C110EDB0C2B}"/>
    <cellStyle name="Normal 4 2 2 11 2 2" xfId="11875" xr:uid="{DDBCB5C7-6DB5-4C92-B5C8-AE42DDB44605}"/>
    <cellStyle name="Normal 4 2 2 11 3" xfId="2768" xr:uid="{E9DF7F93-E5B2-4B1E-B6F5-CE73AD960630}"/>
    <cellStyle name="Normal 4 2 2 11 3 2" xfId="11876" xr:uid="{533D18CC-2559-4465-98A2-2140DE6C9F9F}"/>
    <cellStyle name="Normal 4 2 2 11 4" xfId="11874" xr:uid="{52D7BEAD-8402-4426-A0C0-A46F284CB339}"/>
    <cellStyle name="Normal 4 2 2 12" xfId="2769" xr:uid="{4DFFE5BC-206D-4D43-BB54-2D8325075670}"/>
    <cellStyle name="Normal 4 2 2 12 2" xfId="11877" xr:uid="{75694BDE-9673-4D6E-AA52-AC2576BF05B5}"/>
    <cellStyle name="Normal 4 2 2 13" xfId="2770" xr:uid="{C4B13C60-7B5A-4D66-80FD-BFCC1DD04D24}"/>
    <cellStyle name="Normal 4 2 2 13 2" xfId="11878" xr:uid="{802DF928-0C7F-406A-9759-1B7732437130}"/>
    <cellStyle name="Normal 4 2 2 14" xfId="2771" xr:uid="{2046F519-DE8B-454D-8CF1-6DEEBBD11133}"/>
    <cellStyle name="Normal 4 2 2 14 2" xfId="11879" xr:uid="{ABFCB0EC-B750-4D0F-9C08-EBAA30DB8F1C}"/>
    <cellStyle name="Normal 4 2 2 2" xfId="2772" xr:uid="{CB50BB55-D0A4-4E18-8DAF-D55B518A17FD}"/>
    <cellStyle name="Normal 4 2 2 2 10" xfId="2773" xr:uid="{92C7DC4A-32BE-4933-9B07-6DD256EE6F69}"/>
    <cellStyle name="Normal 4 2 2 2 10 2" xfId="2774" xr:uid="{F82438C4-24CA-4041-9E29-CF777BC7ECA5}"/>
    <cellStyle name="Normal 4 2 2 2 10 2 2" xfId="11882" xr:uid="{245BD1FB-C001-4483-AAEF-F3E8B8FDFA01}"/>
    <cellStyle name="Normal 4 2 2 2 10 3" xfId="2775" xr:uid="{20462B0A-3476-4A1C-AFCC-759EEFB70394}"/>
    <cellStyle name="Normal 4 2 2 2 10 3 2" xfId="11883" xr:uid="{79101A58-975C-45EE-B06F-051BA2B37351}"/>
    <cellStyle name="Normal 4 2 2 2 10 4" xfId="11881" xr:uid="{651EF997-3B3B-41D5-8CE5-649DC369D32C}"/>
    <cellStyle name="Normal 4 2 2 2 11" xfId="2776" xr:uid="{21B9C92B-642B-4CBD-A9E8-7302EB4E3083}"/>
    <cellStyle name="Normal 4 2 2 2 11 2" xfId="11884" xr:uid="{A9185B66-A67C-4CF1-9BB6-34A395F02754}"/>
    <cellStyle name="Normal 4 2 2 2 12" xfId="2777" xr:uid="{5BB8AF61-E0AC-432A-A277-B85493904054}"/>
    <cellStyle name="Normal 4 2 2 2 12 2" xfId="11885" xr:uid="{77250AEE-637B-4B12-A473-E06098A2628A}"/>
    <cellStyle name="Normal 4 2 2 2 13" xfId="2778" xr:uid="{829B45B6-3179-4EFA-89B3-CDFD04AA9B31}"/>
    <cellStyle name="Normal 4 2 2 2 13 2" xfId="11886" xr:uid="{C21CB190-6F67-4695-9356-C244894D379D}"/>
    <cellStyle name="Normal 4 2 2 2 14" xfId="11880" xr:uid="{163EBFF7-0069-439D-B41E-15DCA0E89128}"/>
    <cellStyle name="Normal 4 2 2 2 2" xfId="2779" xr:uid="{36A3E220-6906-4864-B695-D6BC87B2A6C6}"/>
    <cellStyle name="Normal 4 2 2 2 2 10" xfId="11887" xr:uid="{C903C20B-BDA3-4119-8749-5707A8C1262B}"/>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2 2" xfId="11892" xr:uid="{025376E5-AC35-416D-972C-B0D880A7301C}"/>
    <cellStyle name="Normal 4 2 2 2 2 2 2 2 2 3" xfId="2785" xr:uid="{48F2F95E-BBEF-49B6-8C20-A9CB764559DC}"/>
    <cellStyle name="Normal 4 2 2 2 2 2 2 2 2 3 2" xfId="11893" xr:uid="{88B4ECA9-F0C1-4FDA-B766-F27BF3EA64D2}"/>
    <cellStyle name="Normal 4 2 2 2 2 2 2 2 2 4" xfId="11891" xr:uid="{39BFFE6E-A9F4-4A80-A282-39E017686DF3}"/>
    <cellStyle name="Normal 4 2 2 2 2 2 2 2 3" xfId="2786" xr:uid="{FA5A59BB-8290-4750-8FC3-2C0198DDA4CE}"/>
    <cellStyle name="Normal 4 2 2 2 2 2 2 2 3 2" xfId="11894" xr:uid="{24BB37B0-B810-4B55-95D2-F0C704779586}"/>
    <cellStyle name="Normal 4 2 2 2 2 2 2 2 4" xfId="2787" xr:uid="{2150E6BD-4380-4F69-9AB9-B6EA739B98D5}"/>
    <cellStyle name="Normal 4 2 2 2 2 2 2 2 4 2" xfId="11895" xr:uid="{8DBEBBA5-B231-4BE8-A581-8685B8AAF6A4}"/>
    <cellStyle name="Normal 4 2 2 2 2 2 2 2 5" xfId="2788" xr:uid="{B1C19E36-3504-471D-94C8-1AC6F442D53F}"/>
    <cellStyle name="Normal 4 2 2 2 2 2 2 2 5 2" xfId="11896" xr:uid="{9978D7C3-0DE2-4504-B4AB-A8E30DB49FD3}"/>
    <cellStyle name="Normal 4 2 2 2 2 2 2 2 6" xfId="11890" xr:uid="{8384E8BC-4506-4F6C-BF7A-4ECBCD5B98C4}"/>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2 2" xfId="11899" xr:uid="{032CD16F-7263-4C44-A9E6-1B811AEC6671}"/>
    <cellStyle name="Normal 4 2 2 2 2 2 2 3 2 3" xfId="2792" xr:uid="{D6623263-F07E-4FB7-8EBE-939761F658B8}"/>
    <cellStyle name="Normal 4 2 2 2 2 2 2 3 2 3 2" xfId="11900" xr:uid="{3CF6A22A-FEE7-45AA-9095-992E6D9AA0A1}"/>
    <cellStyle name="Normal 4 2 2 2 2 2 2 3 2 4" xfId="11898" xr:uid="{71EDC694-B289-4B7E-9C85-7D20C3A22D3D}"/>
    <cellStyle name="Normal 4 2 2 2 2 2 2 3 3" xfId="2793" xr:uid="{03E15B90-7515-451C-A824-6C98C20A903E}"/>
    <cellStyle name="Normal 4 2 2 2 2 2 2 3 3 2" xfId="11901" xr:uid="{73536ABF-12D9-479C-B2FC-1F61CA812AA6}"/>
    <cellStyle name="Normal 4 2 2 2 2 2 2 3 4" xfId="2794" xr:uid="{F203D4A0-82F6-42AD-8BBD-4770424E7BAB}"/>
    <cellStyle name="Normal 4 2 2 2 2 2 2 3 4 2" xfId="11902" xr:uid="{689D406D-C03D-4CBD-800B-EC3C06C9D4FF}"/>
    <cellStyle name="Normal 4 2 2 2 2 2 2 3 5" xfId="2795" xr:uid="{6BCC693B-0213-4F22-AA68-02E4D6954E2F}"/>
    <cellStyle name="Normal 4 2 2 2 2 2 2 3 5 2" xfId="11903" xr:uid="{A63D2027-E234-4A13-A823-34672A24E778}"/>
    <cellStyle name="Normal 4 2 2 2 2 2 2 3 6" xfId="11897" xr:uid="{BB128196-1858-4211-BBC6-66CA2B3F2394}"/>
    <cellStyle name="Normal 4 2 2 2 2 2 2 4" xfId="2796" xr:uid="{03194CCA-083C-492D-AEC6-17E2B3E62075}"/>
    <cellStyle name="Normal 4 2 2 2 2 2 2 4 2" xfId="2797" xr:uid="{EA7AEA32-7C3B-4EA1-874F-192133E82612}"/>
    <cellStyle name="Normal 4 2 2 2 2 2 2 4 2 2" xfId="11905" xr:uid="{A00BC85F-9742-4AF8-8317-D3FBF582ECDD}"/>
    <cellStyle name="Normal 4 2 2 2 2 2 2 4 3" xfId="2798" xr:uid="{19B21F91-617F-4D00-81D7-56012EA6C3EB}"/>
    <cellStyle name="Normal 4 2 2 2 2 2 2 4 3 2" xfId="11906" xr:uid="{80BE59E7-3AA8-49C6-BE62-C5C6C108746C}"/>
    <cellStyle name="Normal 4 2 2 2 2 2 2 4 4" xfId="11904" xr:uid="{DCAB19C3-4596-4F07-8940-7D59087FCB79}"/>
    <cellStyle name="Normal 4 2 2 2 2 2 2 5" xfId="2799" xr:uid="{268BCD06-5FD7-4D3F-AA35-F0E60CF29D0B}"/>
    <cellStyle name="Normal 4 2 2 2 2 2 2 5 2" xfId="11907" xr:uid="{13135557-58B1-4370-B00D-B8D9E8B639C2}"/>
    <cellStyle name="Normal 4 2 2 2 2 2 2 6" xfId="2800" xr:uid="{1B09C19C-A800-4898-8664-188D0F5FA285}"/>
    <cellStyle name="Normal 4 2 2 2 2 2 2 6 2" xfId="11908" xr:uid="{634C7BB5-E6FB-4E4C-916D-E50324806DD9}"/>
    <cellStyle name="Normal 4 2 2 2 2 2 2 7" xfId="2801" xr:uid="{3C9EAB9E-D421-415D-8F9B-376FBB243509}"/>
    <cellStyle name="Normal 4 2 2 2 2 2 2 7 2" xfId="11909" xr:uid="{6B9E524F-05D2-4AA8-85A9-B30FD5B0952D}"/>
    <cellStyle name="Normal 4 2 2 2 2 2 2 8" xfId="11889" xr:uid="{1F2D7981-6EB5-4EA6-9C98-D6D1FF9B0BE7}"/>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2 2" xfId="11912" xr:uid="{6F563953-5E50-4332-8A71-473D710324E9}"/>
    <cellStyle name="Normal 4 2 2 2 2 2 3 2 3" xfId="2805" xr:uid="{34D57566-3C6A-468E-BC08-48D8282D01AB}"/>
    <cellStyle name="Normal 4 2 2 2 2 2 3 2 3 2" xfId="11913" xr:uid="{5F5BCF24-2A53-4FE3-BB6F-EE986B346408}"/>
    <cellStyle name="Normal 4 2 2 2 2 2 3 2 4" xfId="11911" xr:uid="{E7DADC4C-11D9-44E2-80FF-3DE014B6CE5C}"/>
    <cellStyle name="Normal 4 2 2 2 2 2 3 3" xfId="2806" xr:uid="{35074A16-D196-40C8-9666-9D7AD556586E}"/>
    <cellStyle name="Normal 4 2 2 2 2 2 3 3 2" xfId="11914" xr:uid="{70F66802-54D7-4C9A-8271-2097D2898283}"/>
    <cellStyle name="Normal 4 2 2 2 2 2 3 4" xfId="2807" xr:uid="{031B4C2E-F7F7-48DC-BD1B-281E8EBA9ABE}"/>
    <cellStyle name="Normal 4 2 2 2 2 2 3 4 2" xfId="11915" xr:uid="{E06AC49E-6EA1-4F5D-8DE3-76D5834000DD}"/>
    <cellStyle name="Normal 4 2 2 2 2 2 3 5" xfId="2808" xr:uid="{5946D6D3-F492-4EE3-8470-059D0FAEBE9E}"/>
    <cellStyle name="Normal 4 2 2 2 2 2 3 5 2" xfId="11916" xr:uid="{E2356C48-FB06-41D7-A667-ACE0EDA73433}"/>
    <cellStyle name="Normal 4 2 2 2 2 2 3 6" xfId="11910" xr:uid="{9AA01768-977D-440E-8D60-4D9608A305C1}"/>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2 2" xfId="11919" xr:uid="{0A90FC25-7AB0-4E7D-AFC7-4E0CA97D3A5D}"/>
    <cellStyle name="Normal 4 2 2 2 2 2 4 2 3" xfId="2812" xr:uid="{E597F76A-7908-4F9A-91AC-5FC35E4C4F56}"/>
    <cellStyle name="Normal 4 2 2 2 2 2 4 2 3 2" xfId="11920" xr:uid="{19119EC0-D9E4-4CB9-AF3F-D48118B3C48F}"/>
    <cellStyle name="Normal 4 2 2 2 2 2 4 2 4" xfId="11918" xr:uid="{1C3FC510-21CD-4013-99C2-524F20B1C4E0}"/>
    <cellStyle name="Normal 4 2 2 2 2 2 4 3" xfId="2813" xr:uid="{A1586FA7-B66E-4206-A129-3DA0F181613A}"/>
    <cellStyle name="Normal 4 2 2 2 2 2 4 3 2" xfId="11921" xr:uid="{D3D92674-4C13-4608-A18B-9F67A7C2AF76}"/>
    <cellStyle name="Normal 4 2 2 2 2 2 4 4" xfId="2814" xr:uid="{12F2D128-2BF2-470C-AB92-E13B2D17D682}"/>
    <cellStyle name="Normal 4 2 2 2 2 2 4 4 2" xfId="11922" xr:uid="{3D3456C2-CB01-49CD-83A4-1B07885858B8}"/>
    <cellStyle name="Normal 4 2 2 2 2 2 4 5" xfId="2815" xr:uid="{DD926801-6665-4CF1-99E9-4D3666EF1425}"/>
    <cellStyle name="Normal 4 2 2 2 2 2 4 5 2" xfId="11923" xr:uid="{04435CC4-B2E5-4801-AD23-075F7BB782FE}"/>
    <cellStyle name="Normal 4 2 2 2 2 2 4 6" xfId="11917" xr:uid="{BFD6C067-0478-4C65-94E3-179CDE5EC7D0}"/>
    <cellStyle name="Normal 4 2 2 2 2 2 5" xfId="2816" xr:uid="{9564CC1D-FF0E-4A78-AD34-F7903C72CC59}"/>
    <cellStyle name="Normal 4 2 2 2 2 2 5 2" xfId="2817" xr:uid="{F7D175F4-5805-4E85-B4D2-14ACF2331F33}"/>
    <cellStyle name="Normal 4 2 2 2 2 2 5 2 2" xfId="11925" xr:uid="{4C0C9865-E996-4A63-9E51-7841C91843DB}"/>
    <cellStyle name="Normal 4 2 2 2 2 2 5 3" xfId="2818" xr:uid="{A00FB8A9-C79E-491D-973A-6CCA04917D31}"/>
    <cellStyle name="Normal 4 2 2 2 2 2 5 3 2" xfId="11926" xr:uid="{482609F7-9204-4252-85AF-5C1BD8125FE5}"/>
    <cellStyle name="Normal 4 2 2 2 2 2 5 4" xfId="11924" xr:uid="{E9F894BE-70C5-476E-9195-6BEB0FC4C617}"/>
    <cellStyle name="Normal 4 2 2 2 2 2 6" xfId="2819" xr:uid="{1DC88833-101F-4BF3-9940-271DFF8F7DE2}"/>
    <cellStyle name="Normal 4 2 2 2 2 2 6 2" xfId="11927" xr:uid="{9D7DABA6-E378-4F7B-B133-E087F43904FF}"/>
    <cellStyle name="Normal 4 2 2 2 2 2 7" xfId="2820" xr:uid="{FC551218-5699-497D-9AD3-88360C0E7D53}"/>
    <cellStyle name="Normal 4 2 2 2 2 2 7 2" xfId="11928" xr:uid="{1A9CC01E-524C-4331-80C0-10160F79D2BD}"/>
    <cellStyle name="Normal 4 2 2 2 2 2 8" xfId="2821" xr:uid="{A2898A64-AC8F-445C-AA5A-B1582FB76CE5}"/>
    <cellStyle name="Normal 4 2 2 2 2 2 8 2" xfId="11929" xr:uid="{6A337AE8-00A1-4A00-963A-895B15289206}"/>
    <cellStyle name="Normal 4 2 2 2 2 2 9" xfId="11888" xr:uid="{7C02AA05-499B-404B-9F34-85E82DF5A2E9}"/>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2 2" xfId="11933" xr:uid="{DA9F2754-0F71-4DBD-BB76-74C6AE2C96CF}"/>
    <cellStyle name="Normal 4 2 2 2 2 3 2 2 3" xfId="2826" xr:uid="{88521862-D257-4158-8957-C023D97A02CD}"/>
    <cellStyle name="Normal 4 2 2 2 2 3 2 2 3 2" xfId="11934" xr:uid="{9A72547E-FF88-4D03-A69F-CB84722857B7}"/>
    <cellStyle name="Normal 4 2 2 2 2 3 2 2 4" xfId="11932" xr:uid="{A1313C9F-C9B3-4402-9151-05304A59A4FB}"/>
    <cellStyle name="Normal 4 2 2 2 2 3 2 3" xfId="2827" xr:uid="{D0E92CAE-CCFD-4A9C-BAD6-AEF10C3EEAA5}"/>
    <cellStyle name="Normal 4 2 2 2 2 3 2 3 2" xfId="11935" xr:uid="{4F079E51-4634-4E25-8233-ECF1D1E10B3C}"/>
    <cellStyle name="Normal 4 2 2 2 2 3 2 4" xfId="2828" xr:uid="{5CFF1B5D-2F0F-4517-A326-BB550F089CB9}"/>
    <cellStyle name="Normal 4 2 2 2 2 3 2 4 2" xfId="11936" xr:uid="{0B310F4B-CD03-44CD-A94F-9E733465C145}"/>
    <cellStyle name="Normal 4 2 2 2 2 3 2 5" xfId="2829" xr:uid="{5FA3E92A-0F27-4836-A04D-9BE7EC523577}"/>
    <cellStyle name="Normal 4 2 2 2 2 3 2 5 2" xfId="11937" xr:uid="{E3877E25-520A-405C-98B4-E0B8D510D793}"/>
    <cellStyle name="Normal 4 2 2 2 2 3 2 6" xfId="11931" xr:uid="{124E57C7-4DEF-4D3A-B4EA-715E3019F2A4}"/>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2 2" xfId="11940" xr:uid="{98A5ADFB-D69D-471A-AE8A-7F54E33A906A}"/>
    <cellStyle name="Normal 4 2 2 2 2 3 3 2 3" xfId="2833" xr:uid="{619585D1-6A83-4AEB-B804-69A0D78AEA87}"/>
    <cellStyle name="Normal 4 2 2 2 2 3 3 2 3 2" xfId="11941" xr:uid="{C85565C4-DE53-431F-8B6B-1A62BA4FF313}"/>
    <cellStyle name="Normal 4 2 2 2 2 3 3 2 4" xfId="11939" xr:uid="{35524B52-B168-499D-86B4-C7C00A1E59F5}"/>
    <cellStyle name="Normal 4 2 2 2 2 3 3 3" xfId="2834" xr:uid="{B2BAD859-AC08-45F3-AA05-21A70D297AEE}"/>
    <cellStyle name="Normal 4 2 2 2 2 3 3 3 2" xfId="11942" xr:uid="{DD7ACB21-7E3F-4847-A06D-911945213179}"/>
    <cellStyle name="Normal 4 2 2 2 2 3 3 4" xfId="2835" xr:uid="{2B3CFA1C-CEED-4C18-9D9E-B0EEDE1C8732}"/>
    <cellStyle name="Normal 4 2 2 2 2 3 3 4 2" xfId="11943" xr:uid="{7FFE48F6-5DB7-4C2A-9A5F-33260CB86289}"/>
    <cellStyle name="Normal 4 2 2 2 2 3 3 5" xfId="2836" xr:uid="{88CCF4FF-7610-436A-A5A6-D8E0C8A951BC}"/>
    <cellStyle name="Normal 4 2 2 2 2 3 3 5 2" xfId="11944" xr:uid="{BE7741C1-D881-4EE7-8970-19697AF73AF4}"/>
    <cellStyle name="Normal 4 2 2 2 2 3 3 6" xfId="11938" xr:uid="{B31CE7B1-3E28-4D3F-87B5-1A09DE78FD3C}"/>
    <cellStyle name="Normal 4 2 2 2 2 3 4" xfId="2837" xr:uid="{D6B1BB7A-2DC2-4C82-BDCF-DF24917CBFCC}"/>
    <cellStyle name="Normal 4 2 2 2 2 3 4 2" xfId="2838" xr:uid="{248F5BC6-7725-41E6-9268-DB4277119DD8}"/>
    <cellStyle name="Normal 4 2 2 2 2 3 4 2 2" xfId="11946" xr:uid="{1A45445F-94C2-4CDC-8062-3CF3142FCFD2}"/>
    <cellStyle name="Normal 4 2 2 2 2 3 4 3" xfId="2839" xr:uid="{FDD223DC-9280-4826-B52B-3CB498DC4C79}"/>
    <cellStyle name="Normal 4 2 2 2 2 3 4 3 2" xfId="11947" xr:uid="{B9DD3D3D-CA00-4232-81E9-5368C819C9B9}"/>
    <cellStyle name="Normal 4 2 2 2 2 3 4 4" xfId="11945" xr:uid="{B655B711-6819-49FE-8D1D-7E47010AD174}"/>
    <cellStyle name="Normal 4 2 2 2 2 3 5" xfId="2840" xr:uid="{9F464947-5A3F-4CBA-9249-A5E22876E7B1}"/>
    <cellStyle name="Normal 4 2 2 2 2 3 5 2" xfId="11948" xr:uid="{D7DEB5A1-2EE8-4B78-B78E-E71FF51DCC55}"/>
    <cellStyle name="Normal 4 2 2 2 2 3 6" xfId="2841" xr:uid="{B81CDB1A-4FEB-48ED-B960-277355C4464A}"/>
    <cellStyle name="Normal 4 2 2 2 2 3 6 2" xfId="11949" xr:uid="{7B33D0A6-40A5-4CEA-B8E8-70B3DFCACEC1}"/>
    <cellStyle name="Normal 4 2 2 2 2 3 7" xfId="2842" xr:uid="{B94A41BA-FE1E-44D9-A466-0CAA04A996BD}"/>
    <cellStyle name="Normal 4 2 2 2 2 3 7 2" xfId="11950" xr:uid="{3855CC22-0786-4EB7-9614-366DF57917AD}"/>
    <cellStyle name="Normal 4 2 2 2 2 3 8" xfId="11930" xr:uid="{A5BC04CF-F6A3-4D7B-8699-6E39754C0045}"/>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2 2" xfId="11953" xr:uid="{604451EE-0081-4714-BA79-F33D7B600F12}"/>
    <cellStyle name="Normal 4 2 2 2 2 4 2 3" xfId="2846" xr:uid="{89D035AB-095B-4906-95DD-9ED35487ACA4}"/>
    <cellStyle name="Normal 4 2 2 2 2 4 2 3 2" xfId="11954" xr:uid="{45CBFA84-AA16-4406-8F56-5468BC8B842D}"/>
    <cellStyle name="Normal 4 2 2 2 2 4 2 4" xfId="11952" xr:uid="{3D908A77-6211-461D-949F-4219316A3108}"/>
    <cellStyle name="Normal 4 2 2 2 2 4 3" xfId="2847" xr:uid="{865AE4E9-9A5D-44DC-8AB4-00F876C805D7}"/>
    <cellStyle name="Normal 4 2 2 2 2 4 3 2" xfId="11955" xr:uid="{B51B8ED1-E2C8-400E-822E-2B91823D0892}"/>
    <cellStyle name="Normal 4 2 2 2 2 4 4" xfId="2848" xr:uid="{C847F69C-84FD-450C-8F13-9B8542FE16C7}"/>
    <cellStyle name="Normal 4 2 2 2 2 4 4 2" xfId="11956" xr:uid="{2BCAF095-B367-491E-A9D4-A261E52140C5}"/>
    <cellStyle name="Normal 4 2 2 2 2 4 5" xfId="2849" xr:uid="{88A67A9B-EC9F-4258-AF4A-D8F5C27D1716}"/>
    <cellStyle name="Normal 4 2 2 2 2 4 5 2" xfId="11957" xr:uid="{F1F4A03F-9605-4A98-B358-E6348B99B598}"/>
    <cellStyle name="Normal 4 2 2 2 2 4 6" xfId="11951" xr:uid="{3EC52E66-9921-4D83-9F12-344053F6D594}"/>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2 2" xfId="11960" xr:uid="{8E750F44-788E-460A-BE0F-EB5E2AA395AE}"/>
    <cellStyle name="Normal 4 2 2 2 2 5 2 3" xfId="2853" xr:uid="{89844FA4-4375-46B7-88E7-611FB2F1E945}"/>
    <cellStyle name="Normal 4 2 2 2 2 5 2 3 2" xfId="11961" xr:uid="{2159F113-0DDA-49B2-A702-B24150BFD7DE}"/>
    <cellStyle name="Normal 4 2 2 2 2 5 2 4" xfId="11959" xr:uid="{8EDF4132-82D3-4A1A-B2D5-09EE14AB0FDC}"/>
    <cellStyle name="Normal 4 2 2 2 2 5 3" xfId="2854" xr:uid="{DA6BE329-F80E-4BBA-89A9-BB274BDED433}"/>
    <cellStyle name="Normal 4 2 2 2 2 5 3 2" xfId="11962" xr:uid="{0EAB7C0C-FB59-41FF-A503-008D78DD0B4D}"/>
    <cellStyle name="Normal 4 2 2 2 2 5 4" xfId="2855" xr:uid="{8A08EB8E-8883-4ACB-8ED5-F89129E50895}"/>
    <cellStyle name="Normal 4 2 2 2 2 5 4 2" xfId="11963" xr:uid="{4797A63A-676D-4C3E-8B30-508C94ACED65}"/>
    <cellStyle name="Normal 4 2 2 2 2 5 5" xfId="2856" xr:uid="{8574056A-E0B7-4A2C-AE1B-1C2E3F572C66}"/>
    <cellStyle name="Normal 4 2 2 2 2 5 5 2" xfId="11964" xr:uid="{CE06B500-8F70-4359-99E8-45F1C0752F55}"/>
    <cellStyle name="Normal 4 2 2 2 2 5 6" xfId="11958" xr:uid="{4AC4D137-268E-4125-94E5-F064E7797E97}"/>
    <cellStyle name="Normal 4 2 2 2 2 6" xfId="2857" xr:uid="{9EBA727C-0E9F-4EB0-8245-F52F6EA22778}"/>
    <cellStyle name="Normal 4 2 2 2 2 6 2" xfId="2858" xr:uid="{798E7322-CD88-411E-BB0F-2D64BFEC1B07}"/>
    <cellStyle name="Normal 4 2 2 2 2 6 2 2" xfId="11966" xr:uid="{748D1ABE-2384-455D-B672-73343DAE75F3}"/>
    <cellStyle name="Normal 4 2 2 2 2 6 3" xfId="2859" xr:uid="{1D0B1F9F-257B-4548-A6B9-9D7638E442F5}"/>
    <cellStyle name="Normal 4 2 2 2 2 6 3 2" xfId="11967" xr:uid="{0E3E3069-5EA5-4D12-9CA1-0CC436D3ED72}"/>
    <cellStyle name="Normal 4 2 2 2 2 6 4" xfId="11965" xr:uid="{357D02F7-60C4-4213-9920-983CB6D18AF3}"/>
    <cellStyle name="Normal 4 2 2 2 2 7" xfId="2860" xr:uid="{E77835C2-9270-44A0-97A1-0D645D7CB7D9}"/>
    <cellStyle name="Normal 4 2 2 2 2 7 2" xfId="11968" xr:uid="{00B9097D-8704-4955-A12B-7004AB0D9811}"/>
    <cellStyle name="Normal 4 2 2 2 2 8" xfId="2861" xr:uid="{8F716505-8AB1-4F53-8320-534C50C1FD6C}"/>
    <cellStyle name="Normal 4 2 2 2 2 8 2" xfId="11969" xr:uid="{785F5740-7047-4D23-AD74-4F0FA7EB35DE}"/>
    <cellStyle name="Normal 4 2 2 2 2 9" xfId="2862" xr:uid="{09CCFB72-6FF2-424B-AD83-89D944611D02}"/>
    <cellStyle name="Normal 4 2 2 2 2 9 2" xfId="11970" xr:uid="{00C2027A-F065-45C1-B852-2C8C71E64D24}"/>
    <cellStyle name="Normal 4 2 2 2 3" xfId="2863" xr:uid="{9FB452A0-4E4E-444E-A7AF-F2177364C286}"/>
    <cellStyle name="Normal 4 2 2 2 3 10" xfId="11971" xr:uid="{99738319-5749-4D9C-A141-9E57596D0DD0}"/>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2 2" xfId="11976" xr:uid="{780B7866-18CF-403F-88D9-30320EB3F4E7}"/>
    <cellStyle name="Normal 4 2 2 2 3 2 2 2 2 3" xfId="2869" xr:uid="{2843724C-AA14-4301-9770-E7713AD0E082}"/>
    <cellStyle name="Normal 4 2 2 2 3 2 2 2 2 3 2" xfId="11977" xr:uid="{A30F1E8E-B95A-4228-8EB3-62D700A66988}"/>
    <cellStyle name="Normal 4 2 2 2 3 2 2 2 2 4" xfId="11975" xr:uid="{D52A04DA-7BCC-44E5-9FD6-58B3B1DDDBE1}"/>
    <cellStyle name="Normal 4 2 2 2 3 2 2 2 3" xfId="2870" xr:uid="{2DF89D2B-B71B-4A73-A387-B292CED12177}"/>
    <cellStyle name="Normal 4 2 2 2 3 2 2 2 3 2" xfId="11978" xr:uid="{91705364-FFAC-4369-BD88-DF8F3DD7B3B5}"/>
    <cellStyle name="Normal 4 2 2 2 3 2 2 2 4" xfId="2871" xr:uid="{EDAA0D8B-6E04-4F25-85C9-4A4ECA2B71E1}"/>
    <cellStyle name="Normal 4 2 2 2 3 2 2 2 4 2" xfId="11979" xr:uid="{03754217-EF42-4454-B03C-2BB2ACCD2974}"/>
    <cellStyle name="Normal 4 2 2 2 3 2 2 2 5" xfId="2872" xr:uid="{3AA54698-52FC-4667-9E5C-01CFC0CF73EA}"/>
    <cellStyle name="Normal 4 2 2 2 3 2 2 2 5 2" xfId="11980" xr:uid="{CF69EC16-C958-4D14-A97A-FCCEC18644AA}"/>
    <cellStyle name="Normal 4 2 2 2 3 2 2 2 6" xfId="11974" xr:uid="{D1DC7A93-4872-4F39-9BF0-02AA7F02C639}"/>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2 2" xfId="11983" xr:uid="{1EEBEB8A-278C-4BFA-8D1D-6F12486D44CF}"/>
    <cellStyle name="Normal 4 2 2 2 3 2 2 3 2 3" xfId="2876" xr:uid="{2ED7C5E9-EC25-49F2-8574-F1C5C3E3E172}"/>
    <cellStyle name="Normal 4 2 2 2 3 2 2 3 2 3 2" xfId="11984" xr:uid="{AF4681B0-5A05-4F77-AC9D-9CAF5E01EE74}"/>
    <cellStyle name="Normal 4 2 2 2 3 2 2 3 2 4" xfId="11982" xr:uid="{DBDB8736-354F-4489-82EF-51C2FDB1D96E}"/>
    <cellStyle name="Normal 4 2 2 2 3 2 2 3 3" xfId="2877" xr:uid="{B6344D07-5B61-4729-A12F-0905787F556E}"/>
    <cellStyle name="Normal 4 2 2 2 3 2 2 3 3 2" xfId="11985" xr:uid="{C79FA044-F61B-425E-A8EA-91487A11BF0C}"/>
    <cellStyle name="Normal 4 2 2 2 3 2 2 3 4" xfId="2878" xr:uid="{D80A9CC6-DBB1-4B3F-89E3-2CF691C118FC}"/>
    <cellStyle name="Normal 4 2 2 2 3 2 2 3 4 2" xfId="11986" xr:uid="{391EE3B7-F92F-4928-B519-1E2FA80C2824}"/>
    <cellStyle name="Normal 4 2 2 2 3 2 2 3 5" xfId="2879" xr:uid="{DD894195-F7C3-44D5-B820-3DA2C7F24672}"/>
    <cellStyle name="Normal 4 2 2 2 3 2 2 3 5 2" xfId="11987" xr:uid="{38D6D995-56B3-4696-9BF5-713766F3B644}"/>
    <cellStyle name="Normal 4 2 2 2 3 2 2 3 6" xfId="11981" xr:uid="{F502239F-61F3-46CD-B2DA-E5BE3CB1FF00}"/>
    <cellStyle name="Normal 4 2 2 2 3 2 2 4" xfId="2880" xr:uid="{6E2E6ECE-10E5-4BD6-9DAA-5853EAA2868C}"/>
    <cellStyle name="Normal 4 2 2 2 3 2 2 4 2" xfId="2881" xr:uid="{35291802-6A61-4794-9684-DCF118405089}"/>
    <cellStyle name="Normal 4 2 2 2 3 2 2 4 2 2" xfId="11989" xr:uid="{E15CAC95-A3A7-4B6F-8DB4-84596539C74C}"/>
    <cellStyle name="Normal 4 2 2 2 3 2 2 4 3" xfId="2882" xr:uid="{B473DC46-6DA3-4AB0-AE4D-CCA2AF88A065}"/>
    <cellStyle name="Normal 4 2 2 2 3 2 2 4 3 2" xfId="11990" xr:uid="{42DE81F8-17B4-4EF7-B821-DEA66AF6D56A}"/>
    <cellStyle name="Normal 4 2 2 2 3 2 2 4 4" xfId="11988" xr:uid="{06631271-A343-4542-966F-D131A7668EE2}"/>
    <cellStyle name="Normal 4 2 2 2 3 2 2 5" xfId="2883" xr:uid="{AA310BEE-9E58-4CDE-9116-4BFDD531D62A}"/>
    <cellStyle name="Normal 4 2 2 2 3 2 2 5 2" xfId="11991" xr:uid="{E0C1C11C-3765-4D89-A8F5-91FCC5259A34}"/>
    <cellStyle name="Normal 4 2 2 2 3 2 2 6" xfId="2884" xr:uid="{47BBF2E5-4119-4B75-969D-CF6DDDC2D66E}"/>
    <cellStyle name="Normal 4 2 2 2 3 2 2 6 2" xfId="11992" xr:uid="{545E29B0-010B-463E-8610-CB4EEFD599D9}"/>
    <cellStyle name="Normal 4 2 2 2 3 2 2 7" xfId="2885" xr:uid="{982547C3-9BD4-4B90-8C7E-4D2B01AD0842}"/>
    <cellStyle name="Normal 4 2 2 2 3 2 2 7 2" xfId="11993" xr:uid="{6FFDFA51-5A66-4FC1-B2EF-3E0404CA8F98}"/>
    <cellStyle name="Normal 4 2 2 2 3 2 2 8" xfId="11973" xr:uid="{DA153625-D7F4-4396-A584-14882D81368B}"/>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2 2" xfId="11996" xr:uid="{B9B7AED1-8393-47EB-B420-1D61616CA2EC}"/>
    <cellStyle name="Normal 4 2 2 2 3 2 3 2 3" xfId="2889" xr:uid="{8B708E60-ACC4-41B4-8038-32CF52E12CBB}"/>
    <cellStyle name="Normal 4 2 2 2 3 2 3 2 3 2" xfId="11997" xr:uid="{F4CD8D9F-2A63-46E0-8DA8-A5DD9A5CFAE5}"/>
    <cellStyle name="Normal 4 2 2 2 3 2 3 2 4" xfId="11995" xr:uid="{555A72CE-C101-4B41-BA08-72B5CD113125}"/>
    <cellStyle name="Normal 4 2 2 2 3 2 3 3" xfId="2890" xr:uid="{5F6E27B2-CCDB-4886-B813-635F603D4A0B}"/>
    <cellStyle name="Normal 4 2 2 2 3 2 3 3 2" xfId="11998" xr:uid="{0C2EC88E-FE60-489B-ACFD-5072D2277520}"/>
    <cellStyle name="Normal 4 2 2 2 3 2 3 4" xfId="2891" xr:uid="{F00F8BB0-B4D2-465D-9A98-843E97F5038E}"/>
    <cellStyle name="Normal 4 2 2 2 3 2 3 4 2" xfId="11999" xr:uid="{AD996487-D788-45F5-8679-2396A77B20B8}"/>
    <cellStyle name="Normal 4 2 2 2 3 2 3 5" xfId="2892" xr:uid="{29E23F96-1E2C-4FAC-889D-07D17AC82ADB}"/>
    <cellStyle name="Normal 4 2 2 2 3 2 3 5 2" xfId="12000" xr:uid="{8D6CE068-FCCA-4007-B8B3-528C96AE3F49}"/>
    <cellStyle name="Normal 4 2 2 2 3 2 3 6" xfId="11994" xr:uid="{EE9FD1B5-15F9-4D27-9FDE-0656F1A33F43}"/>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2 2" xfId="12003" xr:uid="{85E8CE42-C1FE-4DC1-BA5C-19A81AC7A7CB}"/>
    <cellStyle name="Normal 4 2 2 2 3 2 4 2 3" xfId="2896" xr:uid="{1DDB8668-532E-47BA-9239-91DF2C61D44F}"/>
    <cellStyle name="Normal 4 2 2 2 3 2 4 2 3 2" xfId="12004" xr:uid="{8205AA01-07A5-4DC5-9212-0E971CA463D6}"/>
    <cellStyle name="Normal 4 2 2 2 3 2 4 2 4" xfId="12002" xr:uid="{EA507CCA-BDC9-48E7-B9A2-D6BE6DCA0D88}"/>
    <cellStyle name="Normal 4 2 2 2 3 2 4 3" xfId="2897" xr:uid="{C5052D5A-B8F0-4BA7-941E-61D3B6AE709D}"/>
    <cellStyle name="Normal 4 2 2 2 3 2 4 3 2" xfId="12005" xr:uid="{E3C44111-65B9-43C3-B1C4-DD77F1C723DA}"/>
    <cellStyle name="Normal 4 2 2 2 3 2 4 4" xfId="2898" xr:uid="{DD79E70F-7757-412F-AFCB-6AD1964E5F31}"/>
    <cellStyle name="Normal 4 2 2 2 3 2 4 4 2" xfId="12006" xr:uid="{3122B922-8225-46E1-A7E0-EAD4BDA7CAEC}"/>
    <cellStyle name="Normal 4 2 2 2 3 2 4 5" xfId="2899" xr:uid="{56EBA027-7A66-4B0D-B1F7-15B3D029422A}"/>
    <cellStyle name="Normal 4 2 2 2 3 2 4 5 2" xfId="12007" xr:uid="{6308E1A9-FAFB-4FD9-A7A4-71DA6A302683}"/>
    <cellStyle name="Normal 4 2 2 2 3 2 4 6" xfId="12001" xr:uid="{FF696B32-8604-47FB-8330-05D5FEC0A311}"/>
    <cellStyle name="Normal 4 2 2 2 3 2 5" xfId="2900" xr:uid="{BE976AC5-0364-4DC2-BB37-9BEA4AA2AEC7}"/>
    <cellStyle name="Normal 4 2 2 2 3 2 5 2" xfId="2901" xr:uid="{52FDA787-AFB3-44D4-8E20-B3D52BB95D46}"/>
    <cellStyle name="Normal 4 2 2 2 3 2 5 2 2" xfId="12009" xr:uid="{EABAFE96-648E-4830-A31E-99D3D3210013}"/>
    <cellStyle name="Normal 4 2 2 2 3 2 5 3" xfId="2902" xr:uid="{D27977E6-2030-464D-B3C9-569D3910F55F}"/>
    <cellStyle name="Normal 4 2 2 2 3 2 5 3 2" xfId="12010" xr:uid="{06AC27A3-F77D-4A37-A1F1-FE1D70B8B433}"/>
    <cellStyle name="Normal 4 2 2 2 3 2 5 4" xfId="12008" xr:uid="{BACB0B04-B082-4201-8878-A6EDDFF35E37}"/>
    <cellStyle name="Normal 4 2 2 2 3 2 6" xfId="2903" xr:uid="{AA64DB8D-82F7-49B9-A6FC-1AB105CA42C3}"/>
    <cellStyle name="Normal 4 2 2 2 3 2 6 2" xfId="12011" xr:uid="{A0D687CF-901B-470B-AAEC-98A0DC61FE7F}"/>
    <cellStyle name="Normal 4 2 2 2 3 2 7" xfId="2904" xr:uid="{76ADAA62-9DDB-44B3-AB67-FD0F31952BD5}"/>
    <cellStyle name="Normal 4 2 2 2 3 2 7 2" xfId="12012" xr:uid="{1FE2BCBE-2AB6-466F-8843-6C39E43D2D3B}"/>
    <cellStyle name="Normal 4 2 2 2 3 2 8" xfId="2905" xr:uid="{6324789C-072C-4B27-84B6-4F35FCD3F84D}"/>
    <cellStyle name="Normal 4 2 2 2 3 2 8 2" xfId="12013" xr:uid="{9C01A67D-52D7-4545-9991-647BD3367E06}"/>
    <cellStyle name="Normal 4 2 2 2 3 2 9" xfId="11972" xr:uid="{4FECDBC9-7091-490D-8A56-6B6BAD45C88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2 2" xfId="12017" xr:uid="{356B12BF-3EB1-4A34-9004-10A6A0FDA510}"/>
    <cellStyle name="Normal 4 2 2 2 3 3 2 2 3" xfId="2910" xr:uid="{59DE75DD-01E0-418C-A289-CCFBE02D2D29}"/>
    <cellStyle name="Normal 4 2 2 2 3 3 2 2 3 2" xfId="12018" xr:uid="{713A0E0D-C270-425B-BC3F-FEF19CAFEE62}"/>
    <cellStyle name="Normal 4 2 2 2 3 3 2 2 4" xfId="12016" xr:uid="{F74A157F-0D42-4780-8649-08A2A082B38B}"/>
    <cellStyle name="Normal 4 2 2 2 3 3 2 3" xfId="2911" xr:uid="{B96505A7-F36C-4B27-9646-6923904C8238}"/>
    <cellStyle name="Normal 4 2 2 2 3 3 2 3 2" xfId="12019" xr:uid="{9577530D-7F7E-455E-94E7-E2927998F0A1}"/>
    <cellStyle name="Normal 4 2 2 2 3 3 2 4" xfId="2912" xr:uid="{1A01B4D4-25D7-4F36-B87D-633606F9396C}"/>
    <cellStyle name="Normal 4 2 2 2 3 3 2 4 2" xfId="12020" xr:uid="{A4C0CD65-53AC-4683-8580-BE274FF3F42E}"/>
    <cellStyle name="Normal 4 2 2 2 3 3 2 5" xfId="2913" xr:uid="{3BB63F74-334B-4928-BC55-A4A8654E1C88}"/>
    <cellStyle name="Normal 4 2 2 2 3 3 2 5 2" xfId="12021" xr:uid="{6222C554-D733-43F0-A4C8-CB4D03DDFC73}"/>
    <cellStyle name="Normal 4 2 2 2 3 3 2 6" xfId="12015" xr:uid="{7C721CE7-EEDB-4EF4-9BA5-C5E13775AD09}"/>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2 2" xfId="12024" xr:uid="{5E454174-A9D5-4753-8C22-04015161D47A}"/>
    <cellStyle name="Normal 4 2 2 2 3 3 3 2 3" xfId="2917" xr:uid="{F3D3EC8F-348D-4840-9315-29259C8B5C3C}"/>
    <cellStyle name="Normal 4 2 2 2 3 3 3 2 3 2" xfId="12025" xr:uid="{A05539C5-9FC0-4A94-B06C-4CB44B4C624F}"/>
    <cellStyle name="Normal 4 2 2 2 3 3 3 2 4" xfId="12023" xr:uid="{EE5F32C3-C21F-437C-8BFA-6F131C0894DC}"/>
    <cellStyle name="Normal 4 2 2 2 3 3 3 3" xfId="2918" xr:uid="{077FCD59-CC58-4E13-99D8-E49D78EF4A2B}"/>
    <cellStyle name="Normal 4 2 2 2 3 3 3 3 2" xfId="12026" xr:uid="{9FB009AA-121E-4421-8D5A-91FFDB384317}"/>
    <cellStyle name="Normal 4 2 2 2 3 3 3 4" xfId="2919" xr:uid="{B4E73083-A353-46FE-BBEB-3C215880A71C}"/>
    <cellStyle name="Normal 4 2 2 2 3 3 3 4 2" xfId="12027" xr:uid="{C99B122E-E3EB-420E-962F-156FCC9C38D7}"/>
    <cellStyle name="Normal 4 2 2 2 3 3 3 5" xfId="2920" xr:uid="{E358D2DF-D6AA-4F8A-8D67-691C6716B6A7}"/>
    <cellStyle name="Normal 4 2 2 2 3 3 3 5 2" xfId="12028" xr:uid="{4E4E5F8A-592B-4029-8ECD-3C4CA699A835}"/>
    <cellStyle name="Normal 4 2 2 2 3 3 3 6" xfId="12022" xr:uid="{32F4BF14-062C-490C-A85A-A229BDDA184D}"/>
    <cellStyle name="Normal 4 2 2 2 3 3 4" xfId="2921" xr:uid="{EB53548C-1FFE-4EF0-A4A9-9A2AD263711E}"/>
    <cellStyle name="Normal 4 2 2 2 3 3 4 2" xfId="2922" xr:uid="{6E79754E-8736-4BAB-A319-94754F45F2BD}"/>
    <cellStyle name="Normal 4 2 2 2 3 3 4 2 2" xfId="12030" xr:uid="{9E1DC3BC-C247-4921-8228-D64CD6A887E9}"/>
    <cellStyle name="Normal 4 2 2 2 3 3 4 3" xfId="2923" xr:uid="{5A801F31-7E49-411E-BEFF-C1238967526A}"/>
    <cellStyle name="Normal 4 2 2 2 3 3 4 3 2" xfId="12031" xr:uid="{C51C9B4D-9E9D-48C0-80E2-59B24D2F12FC}"/>
    <cellStyle name="Normal 4 2 2 2 3 3 4 4" xfId="12029" xr:uid="{04C1E75F-4CDB-4A34-843C-D15B763B825B}"/>
    <cellStyle name="Normal 4 2 2 2 3 3 5" xfId="2924" xr:uid="{8F474BFF-7BB6-4881-BE95-61458863D834}"/>
    <cellStyle name="Normal 4 2 2 2 3 3 5 2" xfId="12032" xr:uid="{2ACD82D0-03BD-49CB-80F5-0AFACA65162A}"/>
    <cellStyle name="Normal 4 2 2 2 3 3 6" xfId="2925" xr:uid="{8B2A64C6-4777-436E-99DB-860CBF8C2C2D}"/>
    <cellStyle name="Normal 4 2 2 2 3 3 6 2" xfId="12033" xr:uid="{0352EC72-15C3-4700-B213-23ED63636EEC}"/>
    <cellStyle name="Normal 4 2 2 2 3 3 7" xfId="2926" xr:uid="{45C36DE5-C3BE-4AA8-ADDC-855B549A7419}"/>
    <cellStyle name="Normal 4 2 2 2 3 3 7 2" xfId="12034" xr:uid="{970ACF81-8252-4E7A-A450-8FC2A7062B39}"/>
    <cellStyle name="Normal 4 2 2 2 3 3 8" xfId="12014" xr:uid="{C69C6C85-91CE-49B9-A6F3-0103C386CA44}"/>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2 2" xfId="12037" xr:uid="{0A5178F7-FBA8-411E-8D82-32E424B69B4A}"/>
    <cellStyle name="Normal 4 2 2 2 3 4 2 3" xfId="2930" xr:uid="{02DC856E-03EB-4840-AFDB-A22F84E41BC5}"/>
    <cellStyle name="Normal 4 2 2 2 3 4 2 3 2" xfId="12038" xr:uid="{546C216F-112A-4BA1-B484-E2EA89F76889}"/>
    <cellStyle name="Normal 4 2 2 2 3 4 2 4" xfId="12036" xr:uid="{83E598D4-F1BC-4CFA-80F8-6EF5805DC6ED}"/>
    <cellStyle name="Normal 4 2 2 2 3 4 3" xfId="2931" xr:uid="{F5747AE6-E070-4A4F-8238-D000B39937D1}"/>
    <cellStyle name="Normal 4 2 2 2 3 4 3 2" xfId="12039" xr:uid="{3E92951D-64D8-4DEA-BE7E-7F67FD81427F}"/>
    <cellStyle name="Normal 4 2 2 2 3 4 4" xfId="2932" xr:uid="{7233A0A9-AB3F-4045-854F-4F9DA8B9ECE4}"/>
    <cellStyle name="Normal 4 2 2 2 3 4 4 2" xfId="12040" xr:uid="{A5154DAA-0632-4A0E-8F50-FF45515FE977}"/>
    <cellStyle name="Normal 4 2 2 2 3 4 5" xfId="2933" xr:uid="{EED67A39-218E-431F-A421-3128712588EE}"/>
    <cellStyle name="Normal 4 2 2 2 3 4 5 2" xfId="12041" xr:uid="{106B52D3-868E-4E2A-9CFF-DC8E1D09D52C}"/>
    <cellStyle name="Normal 4 2 2 2 3 4 6" xfId="12035" xr:uid="{A19E9F76-F114-4D0E-9DE5-2BABD191C02F}"/>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2 2" xfId="12044" xr:uid="{27C7FDF3-B68B-4D0E-AB90-95A52AF9DF74}"/>
    <cellStyle name="Normal 4 2 2 2 3 5 2 3" xfId="2937" xr:uid="{634930BA-EA30-47CD-8A08-1EB634819699}"/>
    <cellStyle name="Normal 4 2 2 2 3 5 2 3 2" xfId="12045" xr:uid="{B24EF138-CE65-4FF7-8D60-36A106568AC1}"/>
    <cellStyle name="Normal 4 2 2 2 3 5 2 4" xfId="12043" xr:uid="{2D3A2739-2A96-4569-A83E-561BF50D3B62}"/>
    <cellStyle name="Normal 4 2 2 2 3 5 3" xfId="2938" xr:uid="{80A4875D-CA97-4E4F-98D4-373641C0F18D}"/>
    <cellStyle name="Normal 4 2 2 2 3 5 3 2" xfId="12046" xr:uid="{3DD5AB39-515A-4F4D-B8BE-3B23AAA1D623}"/>
    <cellStyle name="Normal 4 2 2 2 3 5 4" xfId="2939" xr:uid="{E3276571-3693-408B-AB42-BD40973B399B}"/>
    <cellStyle name="Normal 4 2 2 2 3 5 4 2" xfId="12047" xr:uid="{259AB4B7-00C7-4F80-B0F5-6819163158B2}"/>
    <cellStyle name="Normal 4 2 2 2 3 5 5" xfId="2940" xr:uid="{C4127753-F79C-49BF-A978-2EEC4FB9394F}"/>
    <cellStyle name="Normal 4 2 2 2 3 5 5 2" xfId="12048" xr:uid="{7E9E7F6E-E33A-4D7A-8B1A-529A0A8F12AF}"/>
    <cellStyle name="Normal 4 2 2 2 3 5 6" xfId="12042" xr:uid="{588DAFC8-D243-4983-9A9A-FB0C3CC5A4DE}"/>
    <cellStyle name="Normal 4 2 2 2 3 6" xfId="2941" xr:uid="{833967A9-A434-4C76-8AC5-768E30FCB9C5}"/>
    <cellStyle name="Normal 4 2 2 2 3 6 2" xfId="2942" xr:uid="{524FDABB-3F75-44BE-BE16-33247A089C52}"/>
    <cellStyle name="Normal 4 2 2 2 3 6 2 2" xfId="12050" xr:uid="{ACA614E1-D66F-48AC-9F19-C0D50A139B31}"/>
    <cellStyle name="Normal 4 2 2 2 3 6 3" xfId="2943" xr:uid="{27EFB46B-5637-4E27-9BA6-49BE634ED628}"/>
    <cellStyle name="Normal 4 2 2 2 3 6 3 2" xfId="12051" xr:uid="{39A75568-EE6B-451C-AA46-3B4D9E57A4BA}"/>
    <cellStyle name="Normal 4 2 2 2 3 6 4" xfId="12049" xr:uid="{8DC7931A-C9FB-4F9C-BC32-4E6A9647CC97}"/>
    <cellStyle name="Normal 4 2 2 2 3 7" xfId="2944" xr:uid="{3D03810B-57C6-4D98-872A-64C493B6002D}"/>
    <cellStyle name="Normal 4 2 2 2 3 7 2" xfId="12052" xr:uid="{455042B8-26CE-4529-A908-EAB83BD68642}"/>
    <cellStyle name="Normal 4 2 2 2 3 8" xfId="2945" xr:uid="{BAD8BD0F-1581-4C73-8BF2-1467FC391CFB}"/>
    <cellStyle name="Normal 4 2 2 2 3 8 2" xfId="12053" xr:uid="{89A7F2F7-DB64-4D34-B286-616756DA9CAC}"/>
    <cellStyle name="Normal 4 2 2 2 3 9" xfId="2946" xr:uid="{AE597139-4492-417F-B352-83EE246F7FA0}"/>
    <cellStyle name="Normal 4 2 2 2 3 9 2" xfId="12054" xr:uid="{852B8662-80D5-41B5-A673-C0C4CE23FAC5}"/>
    <cellStyle name="Normal 4 2 2 2 4" xfId="2947" xr:uid="{1BB45FD1-4D91-4F65-9D8D-C1E0F059D754}"/>
    <cellStyle name="Normal 4 2 2 2 4 10" xfId="12055" xr:uid="{4C619513-822F-4A37-BACD-083F656F8F7C}"/>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2 2" xfId="12060" xr:uid="{2B2C6E0B-1EC0-4CC3-BA3E-E7BDF3149321}"/>
    <cellStyle name="Normal 4 2 2 2 4 2 2 2 2 3" xfId="2953" xr:uid="{633AFFC8-6A24-4E87-8052-B9A322A4EE47}"/>
    <cellStyle name="Normal 4 2 2 2 4 2 2 2 2 3 2" xfId="12061" xr:uid="{864671BF-CDDE-48A1-8B8C-9F082A70BD5D}"/>
    <cellStyle name="Normal 4 2 2 2 4 2 2 2 2 4" xfId="12059" xr:uid="{F4BAE407-3BE7-40C9-A789-373844E3D963}"/>
    <cellStyle name="Normal 4 2 2 2 4 2 2 2 3" xfId="2954" xr:uid="{B4DA22FE-FE6A-4590-BDF4-9E58B07FBDC8}"/>
    <cellStyle name="Normal 4 2 2 2 4 2 2 2 3 2" xfId="12062" xr:uid="{1F417EC7-DD29-4FA6-925F-9B9627E9EA6B}"/>
    <cellStyle name="Normal 4 2 2 2 4 2 2 2 4" xfId="2955" xr:uid="{6DD05CC2-F3DC-4A9F-8FD8-2E109A239CD7}"/>
    <cellStyle name="Normal 4 2 2 2 4 2 2 2 4 2" xfId="12063" xr:uid="{4A041E74-D9F2-4538-B916-D7453888073B}"/>
    <cellStyle name="Normal 4 2 2 2 4 2 2 2 5" xfId="2956" xr:uid="{FA1669E0-8431-4325-A70D-C6E48F6057F7}"/>
    <cellStyle name="Normal 4 2 2 2 4 2 2 2 5 2" xfId="12064" xr:uid="{66C19196-B867-4965-9D70-5A93122BA790}"/>
    <cellStyle name="Normal 4 2 2 2 4 2 2 2 6" xfId="12058" xr:uid="{846D047D-DDA6-4155-98B5-DC74BED8047D}"/>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2 2" xfId="12067" xr:uid="{805C4F15-E6CE-4AF8-9266-6E169749CC8E}"/>
    <cellStyle name="Normal 4 2 2 2 4 2 2 3 2 3" xfId="2960" xr:uid="{A40C0B03-D411-408E-A333-5BE4E0F98F1D}"/>
    <cellStyle name="Normal 4 2 2 2 4 2 2 3 2 3 2" xfId="12068" xr:uid="{938A806B-89AF-4FF4-98A7-5D5F575F36FF}"/>
    <cellStyle name="Normal 4 2 2 2 4 2 2 3 2 4" xfId="12066" xr:uid="{31924E09-2540-4C1B-82EE-362FB5773DFB}"/>
    <cellStyle name="Normal 4 2 2 2 4 2 2 3 3" xfId="2961" xr:uid="{98400FCA-A32D-4426-9B96-8BF882F15FF2}"/>
    <cellStyle name="Normal 4 2 2 2 4 2 2 3 3 2" xfId="12069" xr:uid="{74D449DD-4424-43B2-B61E-968E2767D942}"/>
    <cellStyle name="Normal 4 2 2 2 4 2 2 3 4" xfId="2962" xr:uid="{3A5DA7BE-2EF8-49B7-B00E-622F889338AC}"/>
    <cellStyle name="Normal 4 2 2 2 4 2 2 3 4 2" xfId="12070" xr:uid="{ADA1F6A7-758D-4211-8494-60594BD2D628}"/>
    <cellStyle name="Normal 4 2 2 2 4 2 2 3 5" xfId="2963" xr:uid="{F9EB08FB-D908-45CE-8927-DE9A559E5FDB}"/>
    <cellStyle name="Normal 4 2 2 2 4 2 2 3 5 2" xfId="12071" xr:uid="{8ED45086-4048-4F2E-8402-15BF23863737}"/>
    <cellStyle name="Normal 4 2 2 2 4 2 2 3 6" xfId="12065" xr:uid="{4FCAD27B-65A4-4EBC-B6E7-2D157FDD1CB1}"/>
    <cellStyle name="Normal 4 2 2 2 4 2 2 4" xfId="2964" xr:uid="{6ED475D6-5D55-4455-BE01-72DF70C91E74}"/>
    <cellStyle name="Normal 4 2 2 2 4 2 2 4 2" xfId="2965" xr:uid="{6E84C298-9397-4319-8CBC-8CC06C61FB82}"/>
    <cellStyle name="Normal 4 2 2 2 4 2 2 4 2 2" xfId="12073" xr:uid="{883C3DDE-7B2D-43BA-9597-3016511E7039}"/>
    <cellStyle name="Normal 4 2 2 2 4 2 2 4 3" xfId="2966" xr:uid="{B6B23657-5B18-407E-BD03-BF2E88951247}"/>
    <cellStyle name="Normal 4 2 2 2 4 2 2 4 3 2" xfId="12074" xr:uid="{EF9EF98D-9C72-42A3-92F2-95C89E8D0C52}"/>
    <cellStyle name="Normal 4 2 2 2 4 2 2 4 4" xfId="12072" xr:uid="{092D2308-5F8B-47DC-B871-C2D2E7B40BF9}"/>
    <cellStyle name="Normal 4 2 2 2 4 2 2 5" xfId="2967" xr:uid="{FBE7CAC2-9FE1-4E8A-866C-EDDD9462AF87}"/>
    <cellStyle name="Normal 4 2 2 2 4 2 2 5 2" xfId="12075" xr:uid="{A8A8E17A-B106-4C8B-AB50-CDDACEE4A3E7}"/>
    <cellStyle name="Normal 4 2 2 2 4 2 2 6" xfId="2968" xr:uid="{3FDD0AC1-A2C5-4C58-A5B2-97524FBA9D3E}"/>
    <cellStyle name="Normal 4 2 2 2 4 2 2 6 2" xfId="12076" xr:uid="{64050CE5-5CC5-4A58-9D1C-D7BAA252667D}"/>
    <cellStyle name="Normal 4 2 2 2 4 2 2 7" xfId="2969" xr:uid="{D11E6BB4-AA82-4EEB-AAD8-2F27E32A6B59}"/>
    <cellStyle name="Normal 4 2 2 2 4 2 2 7 2" xfId="12077" xr:uid="{010E25F2-A876-4A48-8C5E-734DCED80CE5}"/>
    <cellStyle name="Normal 4 2 2 2 4 2 2 8" xfId="12057" xr:uid="{0F0D2E0C-8CA3-4938-8BD5-1537768D04A4}"/>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2 2" xfId="12080" xr:uid="{96EFB9B9-0007-4EE4-9028-7589F32B5B68}"/>
    <cellStyle name="Normal 4 2 2 2 4 2 3 2 3" xfId="2973" xr:uid="{D2FE6FF5-CC38-41A0-A077-4AFA3FA61516}"/>
    <cellStyle name="Normal 4 2 2 2 4 2 3 2 3 2" xfId="12081" xr:uid="{B96696C0-A10D-4E9D-B1B9-F6EE803E62F5}"/>
    <cellStyle name="Normal 4 2 2 2 4 2 3 2 4" xfId="12079" xr:uid="{31D08097-8000-4D86-8AB5-6E6796149607}"/>
    <cellStyle name="Normal 4 2 2 2 4 2 3 3" xfId="2974" xr:uid="{E06F9FD5-C596-42D8-AA5D-D7360D5C266C}"/>
    <cellStyle name="Normal 4 2 2 2 4 2 3 3 2" xfId="12082" xr:uid="{1EDCB7E8-2457-472B-B2F5-EA616C569D75}"/>
    <cellStyle name="Normal 4 2 2 2 4 2 3 4" xfId="2975" xr:uid="{4CD67546-1164-4061-A588-058D5116C904}"/>
    <cellStyle name="Normal 4 2 2 2 4 2 3 4 2" xfId="12083" xr:uid="{17910795-EFF2-4564-B1F3-B8899F88A0B3}"/>
    <cellStyle name="Normal 4 2 2 2 4 2 3 5" xfId="2976" xr:uid="{8F9F2FB5-DF5C-4E20-A72B-4A106749CB08}"/>
    <cellStyle name="Normal 4 2 2 2 4 2 3 5 2" xfId="12084" xr:uid="{56E11368-C1D7-41F5-9B0F-AC6DB75C8284}"/>
    <cellStyle name="Normal 4 2 2 2 4 2 3 6" xfId="12078" xr:uid="{105D025E-A8C6-439F-8A33-556701EFA961}"/>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2 2" xfId="12087" xr:uid="{D12217F5-07E5-44C6-BFE5-945B03604DF6}"/>
    <cellStyle name="Normal 4 2 2 2 4 2 4 2 3" xfId="2980" xr:uid="{7398710E-E483-4B4F-8562-063C7CECD8AC}"/>
    <cellStyle name="Normal 4 2 2 2 4 2 4 2 3 2" xfId="12088" xr:uid="{245C14FF-4BBC-4E94-92CB-4FDD0F2175D0}"/>
    <cellStyle name="Normal 4 2 2 2 4 2 4 2 4" xfId="12086" xr:uid="{BF2AAA07-08FF-44FE-84BF-27931F5C4FBF}"/>
    <cellStyle name="Normal 4 2 2 2 4 2 4 3" xfId="2981" xr:uid="{10BCAC1F-BF67-4398-85C9-FE35C456B0D8}"/>
    <cellStyle name="Normal 4 2 2 2 4 2 4 3 2" xfId="12089" xr:uid="{66AE1ED4-8DC1-469F-81C6-51F45E2A3A9C}"/>
    <cellStyle name="Normal 4 2 2 2 4 2 4 4" xfId="2982" xr:uid="{FFE4E978-1704-42E0-9BA2-AB0067542344}"/>
    <cellStyle name="Normal 4 2 2 2 4 2 4 4 2" xfId="12090" xr:uid="{ABEE2184-1D3E-4501-9AFE-0B18F2B9906B}"/>
    <cellStyle name="Normal 4 2 2 2 4 2 4 5" xfId="2983" xr:uid="{9B2A9949-3882-43C1-BDF8-96BAFC00D85A}"/>
    <cellStyle name="Normal 4 2 2 2 4 2 4 5 2" xfId="12091" xr:uid="{49FA3F7B-D96B-497A-BF66-C6AA42027F8E}"/>
    <cellStyle name="Normal 4 2 2 2 4 2 4 6" xfId="12085" xr:uid="{33DD5217-2B12-4CD4-9A1E-19D03F77DC76}"/>
    <cellStyle name="Normal 4 2 2 2 4 2 5" xfId="2984" xr:uid="{E97D585D-A3EE-440A-A032-24822D97B8AA}"/>
    <cellStyle name="Normal 4 2 2 2 4 2 5 2" xfId="2985" xr:uid="{CECBF8C1-FAC2-41F1-A6CE-0DC02B9CEF49}"/>
    <cellStyle name="Normal 4 2 2 2 4 2 5 2 2" xfId="12093" xr:uid="{EA37F451-A698-4876-AC66-96663D3376BD}"/>
    <cellStyle name="Normal 4 2 2 2 4 2 5 3" xfId="2986" xr:uid="{43E9B3A3-48E9-4CCB-8437-08CD0ED8E2A5}"/>
    <cellStyle name="Normal 4 2 2 2 4 2 5 3 2" xfId="12094" xr:uid="{2CA33A76-14CE-43CC-A658-763230FE5D53}"/>
    <cellStyle name="Normal 4 2 2 2 4 2 5 4" xfId="12092" xr:uid="{1AA378E4-3F33-4F9A-AC04-A830B49D39F9}"/>
    <cellStyle name="Normal 4 2 2 2 4 2 6" xfId="2987" xr:uid="{ACCE28A5-3FA2-4357-BCC6-3E85F398C66F}"/>
    <cellStyle name="Normal 4 2 2 2 4 2 6 2" xfId="12095" xr:uid="{4DE3CD22-1AB1-4299-9480-D88ADC3479DB}"/>
    <cellStyle name="Normal 4 2 2 2 4 2 7" xfId="2988" xr:uid="{2085876F-B612-4B04-BF70-11CB51D1093C}"/>
    <cellStyle name="Normal 4 2 2 2 4 2 7 2" xfId="12096" xr:uid="{ABFE640D-D2D6-45FB-9E41-14710B058A14}"/>
    <cellStyle name="Normal 4 2 2 2 4 2 8" xfId="2989" xr:uid="{34145C4D-6C21-4919-9167-ABF88236EADA}"/>
    <cellStyle name="Normal 4 2 2 2 4 2 8 2" xfId="12097" xr:uid="{4E398123-A2CF-41E9-BF61-89EFA4456F0C}"/>
    <cellStyle name="Normal 4 2 2 2 4 2 9" xfId="12056" xr:uid="{8C2BC9F3-4DBA-48E8-8FA8-715CEFAF85FF}"/>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2 2" xfId="12101" xr:uid="{2DDCD5F6-8F28-4E07-A5CA-A6CABB6BFB4C}"/>
    <cellStyle name="Normal 4 2 2 2 4 3 2 2 3" xfId="2994" xr:uid="{579986D9-FA8D-4791-9C12-A3463083DDE8}"/>
    <cellStyle name="Normal 4 2 2 2 4 3 2 2 3 2" xfId="12102" xr:uid="{97CFC2A4-560C-4A14-9D97-96184A714071}"/>
    <cellStyle name="Normal 4 2 2 2 4 3 2 2 4" xfId="12100" xr:uid="{E8511BD4-6C10-48C8-AFFB-D15B5737ED53}"/>
    <cellStyle name="Normal 4 2 2 2 4 3 2 3" xfId="2995" xr:uid="{C0181183-59BD-4BFA-8F57-087E99B9EAC2}"/>
    <cellStyle name="Normal 4 2 2 2 4 3 2 3 2" xfId="12103" xr:uid="{01AC87BF-2C69-45A2-B760-5E97D0FB56E6}"/>
    <cellStyle name="Normal 4 2 2 2 4 3 2 4" xfId="2996" xr:uid="{90E9E550-AB73-43FB-B4FA-958CD0748359}"/>
    <cellStyle name="Normal 4 2 2 2 4 3 2 4 2" xfId="12104" xr:uid="{D3C7EAB6-3F2B-47E4-AAC4-6A37E35678BB}"/>
    <cellStyle name="Normal 4 2 2 2 4 3 2 5" xfId="2997" xr:uid="{852628D2-BA2B-42B8-B141-BA8735AC7F0D}"/>
    <cellStyle name="Normal 4 2 2 2 4 3 2 5 2" xfId="12105" xr:uid="{7740504A-77C3-4AC0-8212-FA32592DEAFC}"/>
    <cellStyle name="Normal 4 2 2 2 4 3 2 6" xfId="12099" xr:uid="{B5831D46-9C5D-4273-981E-51DCC0A1E6E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2 2" xfId="12108" xr:uid="{669F5D5E-4765-44FB-9D92-2544D5574184}"/>
    <cellStyle name="Normal 4 2 2 2 4 3 3 2 3" xfId="3001" xr:uid="{F91CDED7-5D6C-4E93-9DD0-E9FF2B7C4465}"/>
    <cellStyle name="Normal 4 2 2 2 4 3 3 2 3 2" xfId="12109" xr:uid="{FFD26BC7-492C-4994-BF7F-1EA20869DFE8}"/>
    <cellStyle name="Normal 4 2 2 2 4 3 3 2 4" xfId="12107" xr:uid="{2BBBBB2B-D697-40C7-AF50-8D36A2A46F57}"/>
    <cellStyle name="Normal 4 2 2 2 4 3 3 3" xfId="3002" xr:uid="{C0CE44A4-79F1-4F47-B804-3783BC082B62}"/>
    <cellStyle name="Normal 4 2 2 2 4 3 3 3 2" xfId="12110" xr:uid="{377078C3-E46E-4B3B-B5A7-B97807C0AD9C}"/>
    <cellStyle name="Normal 4 2 2 2 4 3 3 4" xfId="3003" xr:uid="{F969FE95-65D6-49F6-9304-F3A99FD99879}"/>
    <cellStyle name="Normal 4 2 2 2 4 3 3 4 2" xfId="12111" xr:uid="{D0F4A1A9-BDD7-40A5-9EC7-CC97A6F69F9A}"/>
    <cellStyle name="Normal 4 2 2 2 4 3 3 5" xfId="3004" xr:uid="{8D26A5F5-4084-471F-A28F-7DC1CF0C8B93}"/>
    <cellStyle name="Normal 4 2 2 2 4 3 3 5 2" xfId="12112" xr:uid="{BC31F23F-FEB4-4681-B656-1AE36C79007E}"/>
    <cellStyle name="Normal 4 2 2 2 4 3 3 6" xfId="12106" xr:uid="{3247C39C-0C51-4B90-9EC2-86EC55221A63}"/>
    <cellStyle name="Normal 4 2 2 2 4 3 4" xfId="3005" xr:uid="{75FF1E84-A7F9-4AEF-9010-51AF31F4574F}"/>
    <cellStyle name="Normal 4 2 2 2 4 3 4 2" xfId="3006" xr:uid="{1704D827-DECE-4523-B59C-6F982B28BEE3}"/>
    <cellStyle name="Normal 4 2 2 2 4 3 4 2 2" xfId="12114" xr:uid="{33FCB2D0-7BB6-48B4-9E9C-B932F5290E78}"/>
    <cellStyle name="Normal 4 2 2 2 4 3 4 3" xfId="3007" xr:uid="{72570379-1CDB-4B4D-A4F0-A2A4D5F62216}"/>
    <cellStyle name="Normal 4 2 2 2 4 3 4 3 2" xfId="12115" xr:uid="{69C788EB-171A-4C86-B76C-2511A20B6110}"/>
    <cellStyle name="Normal 4 2 2 2 4 3 4 4" xfId="12113" xr:uid="{3E5FF7C4-998B-46E9-9550-540D0CEF1EA8}"/>
    <cellStyle name="Normal 4 2 2 2 4 3 5" xfId="3008" xr:uid="{EC158661-BDB4-4F73-A4D7-21AFB01E72AF}"/>
    <cellStyle name="Normal 4 2 2 2 4 3 5 2" xfId="12116" xr:uid="{EBB90FEC-EAAF-4F64-BED6-173BABB98B5D}"/>
    <cellStyle name="Normal 4 2 2 2 4 3 6" xfId="3009" xr:uid="{02CF7FA9-5D5D-4EDD-8B1C-B3624E2BB7C9}"/>
    <cellStyle name="Normal 4 2 2 2 4 3 6 2" xfId="12117" xr:uid="{7CA19C31-EDA9-4882-AB29-9F29A82963EC}"/>
    <cellStyle name="Normal 4 2 2 2 4 3 7" xfId="3010" xr:uid="{10B56016-A390-4051-B0FD-1CCAC334949E}"/>
    <cellStyle name="Normal 4 2 2 2 4 3 7 2" xfId="12118" xr:uid="{5265D7E6-1529-461C-9AB5-52B6DF1F54B4}"/>
    <cellStyle name="Normal 4 2 2 2 4 3 8" xfId="12098" xr:uid="{06A023FD-FFA4-4A0D-887D-57F6CEA56BA7}"/>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2 2" xfId="12121" xr:uid="{E0DE6100-83D2-4D13-ADCC-5EE37A072A34}"/>
    <cellStyle name="Normal 4 2 2 2 4 4 2 3" xfId="3014" xr:uid="{D56F0EB1-7EAB-415B-A2B0-12AFA5DAF990}"/>
    <cellStyle name="Normal 4 2 2 2 4 4 2 3 2" xfId="12122" xr:uid="{54ADF2C9-A6E3-4F1E-99CF-3B945E1886DD}"/>
    <cellStyle name="Normal 4 2 2 2 4 4 2 4" xfId="12120" xr:uid="{E267E8C4-43FB-401B-A5FB-6C959B6BB854}"/>
    <cellStyle name="Normal 4 2 2 2 4 4 3" xfId="3015" xr:uid="{523CA946-51AA-41A8-867B-8CF32F936C3A}"/>
    <cellStyle name="Normal 4 2 2 2 4 4 3 2" xfId="12123" xr:uid="{6E45FC29-88C6-413F-BCCA-B438BF5705DD}"/>
    <cellStyle name="Normal 4 2 2 2 4 4 4" xfId="3016" xr:uid="{E8ABDBD9-AD7A-4138-AE82-FD4D4E969292}"/>
    <cellStyle name="Normal 4 2 2 2 4 4 4 2" xfId="12124" xr:uid="{A86FD76A-D6F7-429C-A5E2-3EA7046CB052}"/>
    <cellStyle name="Normal 4 2 2 2 4 4 5" xfId="3017" xr:uid="{38991BD8-FCDE-46DA-996D-1723D06A0C19}"/>
    <cellStyle name="Normal 4 2 2 2 4 4 5 2" xfId="12125" xr:uid="{5D83F9D2-C0BF-4E79-965B-D24F177D5C41}"/>
    <cellStyle name="Normal 4 2 2 2 4 4 6" xfId="12119" xr:uid="{B24C0A62-20A6-4D8C-9193-E60F6AD2DF10}"/>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2 2" xfId="12128" xr:uid="{679E7A64-5DAB-43B0-AD1E-9EC3816D156C}"/>
    <cellStyle name="Normal 4 2 2 2 4 5 2 3" xfId="3021" xr:uid="{BDA73B90-62C5-4212-B6FE-18587A304441}"/>
    <cellStyle name="Normal 4 2 2 2 4 5 2 3 2" xfId="12129" xr:uid="{E18A602F-2043-47D3-AF96-7228109555EF}"/>
    <cellStyle name="Normal 4 2 2 2 4 5 2 4" xfId="12127" xr:uid="{6198EACF-A6A6-494E-9664-CDB6CF01AB35}"/>
    <cellStyle name="Normal 4 2 2 2 4 5 3" xfId="3022" xr:uid="{3349FC1F-59F2-4547-9C9F-98540809A656}"/>
    <cellStyle name="Normal 4 2 2 2 4 5 3 2" xfId="12130" xr:uid="{ECAABCFA-A5E0-4289-8293-EEDDBBF3972F}"/>
    <cellStyle name="Normal 4 2 2 2 4 5 4" xfId="3023" xr:uid="{DEDCB729-8DA4-4073-95EA-7C44473E5B87}"/>
    <cellStyle name="Normal 4 2 2 2 4 5 4 2" xfId="12131" xr:uid="{9E385DA0-F98E-4E8E-927F-0D4720A6CE58}"/>
    <cellStyle name="Normal 4 2 2 2 4 5 5" xfId="3024" xr:uid="{4BF0BC51-3EE4-42BC-8D54-7E0397347C03}"/>
    <cellStyle name="Normal 4 2 2 2 4 5 5 2" xfId="12132" xr:uid="{7ADA6B07-74DC-445B-A78E-34D075F79C87}"/>
    <cellStyle name="Normal 4 2 2 2 4 5 6" xfId="12126" xr:uid="{E42B7C33-EB79-4270-A4D7-E50455F85D9E}"/>
    <cellStyle name="Normal 4 2 2 2 4 6" xfId="3025" xr:uid="{B8EC1A05-5059-44C2-97EB-4C75B72AF740}"/>
    <cellStyle name="Normal 4 2 2 2 4 6 2" xfId="3026" xr:uid="{1664C4BC-CD12-414B-B8C7-89D233606D2B}"/>
    <cellStyle name="Normal 4 2 2 2 4 6 2 2" xfId="12134" xr:uid="{326A5096-8EE7-4E04-B57D-A58E37642CCD}"/>
    <cellStyle name="Normal 4 2 2 2 4 6 3" xfId="3027" xr:uid="{3BEE27BC-7CDD-45AF-AD2F-FBF4E538A5F9}"/>
    <cellStyle name="Normal 4 2 2 2 4 6 3 2" xfId="12135" xr:uid="{3524F09A-D2B1-4F93-86AD-4D7A8FA9F77A}"/>
    <cellStyle name="Normal 4 2 2 2 4 6 4" xfId="12133" xr:uid="{66F60BD6-24A6-4BB1-83EF-8C589A0D192B}"/>
    <cellStyle name="Normal 4 2 2 2 4 7" xfId="3028" xr:uid="{DC1F8DEF-E127-49BA-939A-B09CBBB92075}"/>
    <cellStyle name="Normal 4 2 2 2 4 7 2" xfId="12136" xr:uid="{66AFDA7C-727C-4D91-97C4-47975765B9A3}"/>
    <cellStyle name="Normal 4 2 2 2 4 8" xfId="3029" xr:uid="{8CAAF797-A774-413F-820E-572184DB903E}"/>
    <cellStyle name="Normal 4 2 2 2 4 8 2" xfId="12137" xr:uid="{4CEF2EF5-5248-423E-9DCB-47F81EDFB918}"/>
    <cellStyle name="Normal 4 2 2 2 4 9" xfId="3030" xr:uid="{2C54FFFE-B02E-4AC5-BA54-5BF84CBFAC0E}"/>
    <cellStyle name="Normal 4 2 2 2 4 9 2" xfId="12138" xr:uid="{7FE851F2-F459-4CC5-A614-1DD77E9319D4}"/>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2 2" xfId="12143" xr:uid="{2443C69E-598D-4F64-97C9-18A1BC67F582}"/>
    <cellStyle name="Normal 4 2 2 2 5 2 2 2 3" xfId="3036" xr:uid="{BBD7DB1F-A19F-48E3-9508-368A4E48D40F}"/>
    <cellStyle name="Normal 4 2 2 2 5 2 2 2 3 2" xfId="12144" xr:uid="{D7C7470F-EB6B-4FCB-A2E1-E98915153105}"/>
    <cellStyle name="Normal 4 2 2 2 5 2 2 2 4" xfId="12142" xr:uid="{FC0F5D48-6C1F-494E-B853-AA0B5544F4C8}"/>
    <cellStyle name="Normal 4 2 2 2 5 2 2 3" xfId="3037" xr:uid="{CDE6E225-1322-496A-9513-D0417D08B55C}"/>
    <cellStyle name="Normal 4 2 2 2 5 2 2 3 2" xfId="12145" xr:uid="{2D976FDC-64C8-41F0-B748-182034406151}"/>
    <cellStyle name="Normal 4 2 2 2 5 2 2 4" xfId="3038" xr:uid="{D1B11D4D-68DA-4C86-9511-14F84C4C4CFB}"/>
    <cellStyle name="Normal 4 2 2 2 5 2 2 4 2" xfId="12146" xr:uid="{918A3E28-E682-4F83-AEDB-8AA6774E3F95}"/>
    <cellStyle name="Normal 4 2 2 2 5 2 2 5" xfId="3039" xr:uid="{E5F4E502-1D2B-432D-A01C-054110757D2D}"/>
    <cellStyle name="Normal 4 2 2 2 5 2 2 5 2" xfId="12147" xr:uid="{D49164DE-183E-4E9D-809B-A40F4E806B3E}"/>
    <cellStyle name="Normal 4 2 2 2 5 2 2 6" xfId="12141" xr:uid="{42764293-5D72-4669-9130-7E9014500E61}"/>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2 2" xfId="12150" xr:uid="{54F6CCCE-A1B1-47F6-B280-0EB4435F2C00}"/>
    <cellStyle name="Normal 4 2 2 2 5 2 3 2 3" xfId="3043" xr:uid="{EC425C2C-7F26-49D8-9980-E2D80CEA5512}"/>
    <cellStyle name="Normal 4 2 2 2 5 2 3 2 3 2" xfId="12151" xr:uid="{A4B4EC29-B98A-4B18-9F90-38059441A7B0}"/>
    <cellStyle name="Normal 4 2 2 2 5 2 3 2 4" xfId="12149" xr:uid="{FA6FBDC0-E52A-4544-B459-343AE4C6AE6B}"/>
    <cellStyle name="Normal 4 2 2 2 5 2 3 3" xfId="3044" xr:uid="{15986C07-1449-4846-BB00-9F6E6A6F8F77}"/>
    <cellStyle name="Normal 4 2 2 2 5 2 3 3 2" xfId="12152" xr:uid="{0D76C8F1-F6E9-460C-945C-7C895A7870D3}"/>
    <cellStyle name="Normal 4 2 2 2 5 2 3 4" xfId="3045" xr:uid="{EDAF4C9A-24B4-49A8-B3D4-86616E724060}"/>
    <cellStyle name="Normal 4 2 2 2 5 2 3 4 2" xfId="12153" xr:uid="{4114C717-B488-41CB-9A7A-FC1EAF975A33}"/>
    <cellStyle name="Normal 4 2 2 2 5 2 3 5" xfId="3046" xr:uid="{B391EF10-F182-413B-AE7E-133E87E35898}"/>
    <cellStyle name="Normal 4 2 2 2 5 2 3 5 2" xfId="12154" xr:uid="{1EE9497F-CD4F-48FC-962D-233E31270AD6}"/>
    <cellStyle name="Normal 4 2 2 2 5 2 3 6" xfId="12148" xr:uid="{3208F1FB-5E9C-4242-9EE7-7CD352BC7252}"/>
    <cellStyle name="Normal 4 2 2 2 5 2 4" xfId="3047" xr:uid="{DABBDA11-0F97-4B94-816D-3E655851FF6B}"/>
    <cellStyle name="Normal 4 2 2 2 5 2 4 2" xfId="3048" xr:uid="{80AD9045-7D75-4497-81C4-9A59E795EF05}"/>
    <cellStyle name="Normal 4 2 2 2 5 2 4 2 2" xfId="12156" xr:uid="{2D6E866D-3AEA-4F60-9A9C-49BC5D41A6DE}"/>
    <cellStyle name="Normal 4 2 2 2 5 2 4 3" xfId="3049" xr:uid="{01577156-B24D-433A-B6DC-125DC5839325}"/>
    <cellStyle name="Normal 4 2 2 2 5 2 4 3 2" xfId="12157" xr:uid="{BA274E93-0558-4C81-B5E6-649F378BFA85}"/>
    <cellStyle name="Normal 4 2 2 2 5 2 4 4" xfId="12155" xr:uid="{D1FB344A-E1FA-46E8-BED1-A0E9613FA580}"/>
    <cellStyle name="Normal 4 2 2 2 5 2 5" xfId="3050" xr:uid="{3B67D7E8-1043-4835-A32A-DA886FAE97FC}"/>
    <cellStyle name="Normal 4 2 2 2 5 2 5 2" xfId="12158" xr:uid="{20011F11-46F4-457D-983E-3CCE3F3E77B8}"/>
    <cellStyle name="Normal 4 2 2 2 5 2 6" xfId="3051" xr:uid="{130FF1BC-4F14-4058-AEB8-AFF3B31F26E2}"/>
    <cellStyle name="Normal 4 2 2 2 5 2 6 2" xfId="12159" xr:uid="{746EEFD1-E1D3-4413-9DA5-B8545684BE49}"/>
    <cellStyle name="Normal 4 2 2 2 5 2 7" xfId="3052" xr:uid="{3C96D4ED-4AB1-4D93-BEAD-5A81C9ECFD4D}"/>
    <cellStyle name="Normal 4 2 2 2 5 2 7 2" xfId="12160" xr:uid="{5173DE6B-8AAE-4AFB-95CA-F155871F7129}"/>
    <cellStyle name="Normal 4 2 2 2 5 2 8" xfId="12140" xr:uid="{DCBA5F42-44C8-434A-93FC-FEDBDD096111}"/>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2 2" xfId="12163" xr:uid="{74B0D95B-4603-4A62-9ECC-1242941A9A8A}"/>
    <cellStyle name="Normal 4 2 2 2 5 3 2 3" xfId="3056" xr:uid="{1B1157BD-D9AD-48E2-892E-20B467F5D559}"/>
    <cellStyle name="Normal 4 2 2 2 5 3 2 3 2" xfId="12164" xr:uid="{5F8A2C04-5272-43D6-A186-EF17557FE74B}"/>
    <cellStyle name="Normal 4 2 2 2 5 3 2 4" xfId="12162" xr:uid="{9C5D6377-ABCE-4F9D-BB70-52156FD60068}"/>
    <cellStyle name="Normal 4 2 2 2 5 3 3" xfId="3057" xr:uid="{92AB7935-E7CA-4DA3-9200-EFE9FF0C305C}"/>
    <cellStyle name="Normal 4 2 2 2 5 3 3 2" xfId="12165" xr:uid="{91DB7B9B-92A1-4332-9084-83E6D28488BA}"/>
    <cellStyle name="Normal 4 2 2 2 5 3 4" xfId="3058" xr:uid="{2548EEBE-7CE8-449B-A0D3-3976A4EC1A48}"/>
    <cellStyle name="Normal 4 2 2 2 5 3 4 2" xfId="12166" xr:uid="{90C58FC5-7DFA-46DD-ADCC-7CCF6F9EAB66}"/>
    <cellStyle name="Normal 4 2 2 2 5 3 5" xfId="3059" xr:uid="{9F4CFF1B-99F8-4944-9A80-3C00F2029D7E}"/>
    <cellStyle name="Normal 4 2 2 2 5 3 5 2" xfId="12167" xr:uid="{474672E1-8BE7-466B-B8AB-2B0DCED2CB27}"/>
    <cellStyle name="Normal 4 2 2 2 5 3 6" xfId="12161" xr:uid="{C3E38F7F-9103-4A41-A8F1-1DC81F281358}"/>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2 2" xfId="12170" xr:uid="{3EDBE8A3-DF13-4718-9BA5-4175367D16FD}"/>
    <cellStyle name="Normal 4 2 2 2 5 4 2 3" xfId="3063" xr:uid="{1E28DC8C-0555-4578-B2F6-BD7CD63B3251}"/>
    <cellStyle name="Normal 4 2 2 2 5 4 2 3 2" xfId="12171" xr:uid="{F8C48177-BB42-4BC0-8EAA-2EA88CEE9B36}"/>
    <cellStyle name="Normal 4 2 2 2 5 4 2 4" xfId="12169" xr:uid="{5F142384-363D-47BF-AD76-CB905427EF1A}"/>
    <cellStyle name="Normal 4 2 2 2 5 4 3" xfId="3064" xr:uid="{60928B2A-DFCF-40D9-B470-7CA66364A48C}"/>
    <cellStyle name="Normal 4 2 2 2 5 4 3 2" xfId="12172" xr:uid="{875BC8F3-9EA6-45EC-AF89-61E9FE8BB157}"/>
    <cellStyle name="Normal 4 2 2 2 5 4 4" xfId="3065" xr:uid="{5AA7CDC4-F49E-468E-AA97-B3C9FDE9D735}"/>
    <cellStyle name="Normal 4 2 2 2 5 4 4 2" xfId="12173" xr:uid="{8C933845-0D52-4203-B4E4-9CF649511477}"/>
    <cellStyle name="Normal 4 2 2 2 5 4 5" xfId="3066" xr:uid="{75BF1697-11A2-45FF-804E-8D0982BCAC0C}"/>
    <cellStyle name="Normal 4 2 2 2 5 4 5 2" xfId="12174" xr:uid="{4C24AD36-434A-47F2-AAF7-CEA6151F2BAC}"/>
    <cellStyle name="Normal 4 2 2 2 5 4 6" xfId="12168" xr:uid="{95A04F9B-044A-43CF-B347-D016D464DE9B}"/>
    <cellStyle name="Normal 4 2 2 2 5 5" xfId="3067" xr:uid="{FF45906D-C2C7-4249-8593-3A838C7A1C2A}"/>
    <cellStyle name="Normal 4 2 2 2 5 5 2" xfId="3068" xr:uid="{8EF84AE0-CB79-446C-9304-5C4009402FB8}"/>
    <cellStyle name="Normal 4 2 2 2 5 5 2 2" xfId="12176" xr:uid="{9248B159-B29E-431F-8696-16DCF6E6E77D}"/>
    <cellStyle name="Normal 4 2 2 2 5 5 3" xfId="3069" xr:uid="{F89BB8FD-5DA2-4BB6-BDF9-D55BB4700F19}"/>
    <cellStyle name="Normal 4 2 2 2 5 5 3 2" xfId="12177" xr:uid="{337D9C82-5341-420A-8AB3-461F940310C1}"/>
    <cellStyle name="Normal 4 2 2 2 5 5 4" xfId="12175" xr:uid="{A1C7A729-384A-41F1-960A-47D9991F9A5D}"/>
    <cellStyle name="Normal 4 2 2 2 5 6" xfId="3070" xr:uid="{D4D73747-9D81-44F8-B670-22FB8BEF341E}"/>
    <cellStyle name="Normal 4 2 2 2 5 6 2" xfId="12178" xr:uid="{3BC33C37-0DDE-4230-BE2F-9FD32BC27BA2}"/>
    <cellStyle name="Normal 4 2 2 2 5 7" xfId="3071" xr:uid="{5DD289B5-0761-4911-8F7C-0F272D619AB7}"/>
    <cellStyle name="Normal 4 2 2 2 5 7 2" xfId="12179" xr:uid="{0F24AB1C-C970-4F8D-AF8E-559A051FDDF6}"/>
    <cellStyle name="Normal 4 2 2 2 5 8" xfId="3072" xr:uid="{3F50FD78-3BF9-4483-A121-69EABBC8C60A}"/>
    <cellStyle name="Normal 4 2 2 2 5 8 2" xfId="12180" xr:uid="{9F7159EC-ECD1-4197-B115-D33D1415EF54}"/>
    <cellStyle name="Normal 4 2 2 2 5 9" xfId="12139" xr:uid="{9230EC6D-1444-45A3-AB8C-111BC8D5E6A4}"/>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2 2" xfId="12184" xr:uid="{B62BE51B-9456-4109-9E69-9D7E59718007}"/>
    <cellStyle name="Normal 4 2 2 2 6 2 2 3" xfId="3077" xr:uid="{CDE46F93-7C62-4DB2-A335-FC3426386130}"/>
    <cellStyle name="Normal 4 2 2 2 6 2 2 3 2" xfId="12185" xr:uid="{E0C18B51-FA94-4070-9CF0-E8555F9D0EE3}"/>
    <cellStyle name="Normal 4 2 2 2 6 2 2 4" xfId="12183" xr:uid="{BFCDE88D-E330-475B-835B-AB1F1CAFF79C}"/>
    <cellStyle name="Normal 4 2 2 2 6 2 3" xfId="3078" xr:uid="{3723F53C-239F-4380-A8AF-415494F47FD5}"/>
    <cellStyle name="Normal 4 2 2 2 6 2 3 2" xfId="12186" xr:uid="{EDA046B8-348B-4696-91D4-7F3866CE55DC}"/>
    <cellStyle name="Normal 4 2 2 2 6 2 4" xfId="3079" xr:uid="{9411E443-6516-4900-B951-3A38B8C1D8B4}"/>
    <cellStyle name="Normal 4 2 2 2 6 2 4 2" xfId="12187" xr:uid="{6DDDCEF5-0A59-4FB1-A09D-F193264741D6}"/>
    <cellStyle name="Normal 4 2 2 2 6 2 5" xfId="3080" xr:uid="{A655E7B8-8B1B-493B-9080-E7FED68D2794}"/>
    <cellStyle name="Normal 4 2 2 2 6 2 5 2" xfId="12188" xr:uid="{545244F6-F7C2-4B10-9C1E-680068D766C1}"/>
    <cellStyle name="Normal 4 2 2 2 6 2 6" xfId="12182" xr:uid="{0BCD678B-E9D7-4801-BE69-C3158BC04B9B}"/>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2 2" xfId="12191" xr:uid="{228211C5-FF32-4443-BCB5-2ECE64943B3C}"/>
    <cellStyle name="Normal 4 2 2 2 6 3 2 3" xfId="3084" xr:uid="{DB7926AA-34DF-4C2B-9471-2D942D3D797D}"/>
    <cellStyle name="Normal 4 2 2 2 6 3 2 3 2" xfId="12192" xr:uid="{4BA85289-4514-47AA-A147-1F9AC2816CA0}"/>
    <cellStyle name="Normal 4 2 2 2 6 3 2 4" xfId="12190" xr:uid="{8D2F3814-637C-44C8-86E4-43C635ECD8B3}"/>
    <cellStyle name="Normal 4 2 2 2 6 3 3" xfId="3085" xr:uid="{BACD53EA-3964-4A2F-8C1A-A5F8DD4FB697}"/>
    <cellStyle name="Normal 4 2 2 2 6 3 3 2" xfId="12193" xr:uid="{9DD48CC9-390B-427A-A93E-855B9166A1C1}"/>
    <cellStyle name="Normal 4 2 2 2 6 3 4" xfId="3086" xr:uid="{8283F14A-F50F-415B-8F9F-AD4B05BE135E}"/>
    <cellStyle name="Normal 4 2 2 2 6 3 4 2" xfId="12194" xr:uid="{2BC2683F-D939-4E8F-8696-D98D1E573A63}"/>
    <cellStyle name="Normal 4 2 2 2 6 3 5" xfId="3087" xr:uid="{C76F9F05-F934-410E-82C6-02CB4D496388}"/>
    <cellStyle name="Normal 4 2 2 2 6 3 5 2" xfId="12195" xr:uid="{D2CD0C5D-2255-414C-BD11-4338ABDCF20C}"/>
    <cellStyle name="Normal 4 2 2 2 6 3 6" xfId="12189" xr:uid="{C0130600-4F7E-4F85-90E5-B7FC93E03CCB}"/>
    <cellStyle name="Normal 4 2 2 2 6 4" xfId="3088" xr:uid="{827FB6E8-967E-4936-B1E2-1B3179AD4D7E}"/>
    <cellStyle name="Normal 4 2 2 2 6 4 2" xfId="3089" xr:uid="{305D50FF-3387-4C6F-8545-BB5F0A779C2A}"/>
    <cellStyle name="Normal 4 2 2 2 6 4 2 2" xfId="12197" xr:uid="{291E9087-6874-4EC5-A5D4-DD272592F5C6}"/>
    <cellStyle name="Normal 4 2 2 2 6 4 3" xfId="3090" xr:uid="{F556AA97-BC4F-4DF6-B257-F8EE10A2CC8F}"/>
    <cellStyle name="Normal 4 2 2 2 6 4 3 2" xfId="12198" xr:uid="{10039D3D-7FC1-4A5D-948A-9F5DCFC9B978}"/>
    <cellStyle name="Normal 4 2 2 2 6 4 4" xfId="12196" xr:uid="{784A9AA1-0D86-4BAD-B7D3-AE534875819C}"/>
    <cellStyle name="Normal 4 2 2 2 6 5" xfId="3091" xr:uid="{136EAE84-6656-472C-B17F-C89E9B78D806}"/>
    <cellStyle name="Normal 4 2 2 2 6 5 2" xfId="12199" xr:uid="{B9C75A12-7253-4AED-B508-CB46B869FC78}"/>
    <cellStyle name="Normal 4 2 2 2 6 6" xfId="3092" xr:uid="{9AD1542A-3342-404C-837D-4F0A4CF06654}"/>
    <cellStyle name="Normal 4 2 2 2 6 6 2" xfId="12200" xr:uid="{B01C33CE-C854-4180-93A7-0287AB0D58C9}"/>
    <cellStyle name="Normal 4 2 2 2 6 7" xfId="3093" xr:uid="{9B705529-8C4D-4656-92F2-B787DDCCA3FB}"/>
    <cellStyle name="Normal 4 2 2 2 6 7 2" xfId="12201" xr:uid="{2D4C245F-141F-4128-A9E7-58138E39DC48}"/>
    <cellStyle name="Normal 4 2 2 2 6 8" xfId="12181" xr:uid="{9A066BC3-69F1-49B8-A788-B93305AB1C9D}"/>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2 2" xfId="12205" xr:uid="{694511FD-CEE0-481B-B7A5-3DC863394C44}"/>
    <cellStyle name="Normal 4 2 2 2 7 2 2 3" xfId="3098" xr:uid="{708B3B7E-20ED-4ACD-BBBB-97A11219496D}"/>
    <cellStyle name="Normal 4 2 2 2 7 2 2 3 2" xfId="12206" xr:uid="{5ABC5F90-B76F-4D7C-B50B-45E0C2A3E619}"/>
    <cellStyle name="Normal 4 2 2 2 7 2 2 4" xfId="12204" xr:uid="{57C13927-084C-442C-9D47-6328F6E88388}"/>
    <cellStyle name="Normal 4 2 2 2 7 2 3" xfId="3099" xr:uid="{6AE607FD-81B2-4EC1-A328-4D59CB7E7CB3}"/>
    <cellStyle name="Normal 4 2 2 2 7 2 3 2" xfId="12207" xr:uid="{26EA4156-2574-492D-8B20-3BF0F5F2C3B3}"/>
    <cellStyle name="Normal 4 2 2 2 7 2 4" xfId="3100" xr:uid="{01B0D255-1354-44ED-876C-D4B1EB4B0BE5}"/>
    <cellStyle name="Normal 4 2 2 2 7 2 4 2" xfId="12208" xr:uid="{2667552E-88D7-4B00-AA0E-D84D5369EE99}"/>
    <cellStyle name="Normal 4 2 2 2 7 2 5" xfId="3101" xr:uid="{A7A1BA7D-8380-423D-AAC6-F1A635180AF9}"/>
    <cellStyle name="Normal 4 2 2 2 7 2 5 2" xfId="12209" xr:uid="{FE145ED8-68FD-4791-8A8A-BABB579256CB}"/>
    <cellStyle name="Normal 4 2 2 2 7 2 6" xfId="12203" xr:uid="{49E48F5B-B684-47B1-BBD6-6E380A403275}"/>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2 2" xfId="12212" xr:uid="{C90E11BD-CFAB-4C96-B997-1AEA57CC776B}"/>
    <cellStyle name="Normal 4 2 2 2 7 3 2 3" xfId="3105" xr:uid="{6DD467D5-E8AD-427D-9BA6-6682B104539A}"/>
    <cellStyle name="Normal 4 2 2 2 7 3 2 3 2" xfId="12213" xr:uid="{212F7CDC-EAE6-43C2-83EA-E1220AAA9AEA}"/>
    <cellStyle name="Normal 4 2 2 2 7 3 2 4" xfId="12211" xr:uid="{E4D60855-E299-4F2B-9955-5E486B688BF0}"/>
    <cellStyle name="Normal 4 2 2 2 7 3 3" xfId="3106" xr:uid="{C015831C-5A74-404F-A6E7-1416F410673D}"/>
    <cellStyle name="Normal 4 2 2 2 7 3 3 2" xfId="12214" xr:uid="{E71157F4-3B6F-43C8-954C-E69D36689CFF}"/>
    <cellStyle name="Normal 4 2 2 2 7 3 4" xfId="3107" xr:uid="{D3A5D543-9D3A-474D-85AF-E09C7DBAB493}"/>
    <cellStyle name="Normal 4 2 2 2 7 3 4 2" xfId="12215" xr:uid="{3BB884F0-65DC-44B9-B02E-6B3D1A969BE5}"/>
    <cellStyle name="Normal 4 2 2 2 7 3 5" xfId="3108" xr:uid="{F6390890-7CAF-4E0F-A9FD-195672D72D26}"/>
    <cellStyle name="Normal 4 2 2 2 7 3 5 2" xfId="12216" xr:uid="{991EA7A2-9342-454C-ABA8-2B43A9096F7C}"/>
    <cellStyle name="Normal 4 2 2 2 7 3 6" xfId="12210" xr:uid="{07BBB660-FE62-4DEF-A5CD-F567618A9AC7}"/>
    <cellStyle name="Normal 4 2 2 2 7 4" xfId="3109" xr:uid="{1103274A-2F93-4DB7-AC2C-DA95F261883B}"/>
    <cellStyle name="Normal 4 2 2 2 7 4 2" xfId="3110" xr:uid="{780A0D3C-F1BD-4066-8DD2-C316CCC28BD5}"/>
    <cellStyle name="Normal 4 2 2 2 7 4 2 2" xfId="12218" xr:uid="{698C2B24-54BB-4E94-96CA-EF8881070BBF}"/>
    <cellStyle name="Normal 4 2 2 2 7 4 3" xfId="3111" xr:uid="{DBD632EA-D5FC-471B-808B-560C6BF01E94}"/>
    <cellStyle name="Normal 4 2 2 2 7 4 3 2" xfId="12219" xr:uid="{B6F4AD71-2119-452F-8650-1F871B0FAE64}"/>
    <cellStyle name="Normal 4 2 2 2 7 4 4" xfId="12217" xr:uid="{2519651A-8833-4ED8-B88C-7DE85C46FED3}"/>
    <cellStyle name="Normal 4 2 2 2 7 5" xfId="3112" xr:uid="{115E3DBC-720A-45C7-B097-04162982F891}"/>
    <cellStyle name="Normal 4 2 2 2 7 5 2" xfId="12220" xr:uid="{A74950E3-961E-4874-A613-8B865F874EE3}"/>
    <cellStyle name="Normal 4 2 2 2 7 6" xfId="3113" xr:uid="{95DC65FE-F1B7-415C-92FD-AD1ED2A20DCB}"/>
    <cellStyle name="Normal 4 2 2 2 7 6 2" xfId="12221" xr:uid="{5DBBE4EF-49F0-491C-8CF7-35C4BDB3FC8B}"/>
    <cellStyle name="Normal 4 2 2 2 7 7" xfId="3114" xr:uid="{0983001D-4661-41B6-BD84-8F0C82C808A0}"/>
    <cellStyle name="Normal 4 2 2 2 7 7 2" xfId="12222" xr:uid="{E4DC88E1-3BDE-4346-AF85-9A54B678EC07}"/>
    <cellStyle name="Normal 4 2 2 2 7 8" xfId="12202" xr:uid="{D3D57714-5F87-4604-A125-CF2BE9846E1A}"/>
    <cellStyle name="Normal 4 2 2 2 8" xfId="3115" xr:uid="{4422B07B-C89E-47C9-98B2-847F32A0857C}"/>
    <cellStyle name="Normal 4 2 2 2 8 2" xfId="3116" xr:uid="{7586EF79-2A00-462D-ADB4-46F8F3FBA564}"/>
    <cellStyle name="Normal 4 2 2 2 8 2 2" xfId="3117" xr:uid="{7F5C26F7-CA73-4263-ABEC-F2714F1CD5D3}"/>
    <cellStyle name="Normal 4 2 2 2 8 2 2 2" xfId="12225" xr:uid="{95943B57-1A02-4D92-BFC6-DA2B29222363}"/>
    <cellStyle name="Normal 4 2 2 2 8 2 3" xfId="3118" xr:uid="{E22CC9CA-403C-47F3-A3E9-A92021D3590B}"/>
    <cellStyle name="Normal 4 2 2 2 8 2 3 2" xfId="12226" xr:uid="{2591D09A-B706-495F-A320-64687A39FDAF}"/>
    <cellStyle name="Normal 4 2 2 2 8 2 4" xfId="12224" xr:uid="{EA56E554-6541-4149-86D4-3562EEB67046}"/>
    <cellStyle name="Normal 4 2 2 2 8 3" xfId="3119" xr:uid="{395AD64B-A85A-42A1-B0A5-601164136B9B}"/>
    <cellStyle name="Normal 4 2 2 2 8 3 2" xfId="12227" xr:uid="{8C9A43AD-8A34-4011-ADC8-6B143DADF4EB}"/>
    <cellStyle name="Normal 4 2 2 2 8 4" xfId="3120" xr:uid="{76358A0B-92F2-4771-AA79-DB0790805C33}"/>
    <cellStyle name="Normal 4 2 2 2 8 4 2" xfId="12228" xr:uid="{28FBD362-79E5-4BA7-9472-77B63A38745A}"/>
    <cellStyle name="Normal 4 2 2 2 8 5" xfId="3121" xr:uid="{9CB77E54-5C63-4F03-84A5-66EB1E417FD1}"/>
    <cellStyle name="Normal 4 2 2 2 8 5 2" xfId="12229" xr:uid="{799EFA37-2C8D-48A2-98E8-EC9C76A06414}"/>
    <cellStyle name="Normal 4 2 2 2 8 6" xfId="12223" xr:uid="{FF382572-742B-4A5F-A66D-938A29900B60}"/>
    <cellStyle name="Normal 4 2 2 2 9" xfId="3122" xr:uid="{744816C9-2539-4F6E-8760-3B0CA2824929}"/>
    <cellStyle name="Normal 4 2 2 2 9 2" xfId="3123" xr:uid="{222789DB-7F35-4F40-976A-9DB07369B505}"/>
    <cellStyle name="Normal 4 2 2 2 9 2 2" xfId="3124" xr:uid="{ABC587B2-BD65-46B6-BEF4-8F9EF1F7F2D6}"/>
    <cellStyle name="Normal 4 2 2 2 9 2 2 2" xfId="12232" xr:uid="{A8A372D9-242E-4B6D-B562-E3AE60487BF9}"/>
    <cellStyle name="Normal 4 2 2 2 9 2 3" xfId="3125" xr:uid="{AA2CD2ED-4336-45D4-897B-0F4EF247EA07}"/>
    <cellStyle name="Normal 4 2 2 2 9 2 3 2" xfId="12233" xr:uid="{1F216222-5010-4550-ADE6-CF7A505B258F}"/>
    <cellStyle name="Normal 4 2 2 2 9 2 4" xfId="12231" xr:uid="{959B8DA1-2F11-4CED-B3DE-82202ECB04B3}"/>
    <cellStyle name="Normal 4 2 2 2 9 3" xfId="3126" xr:uid="{F44321E0-E56B-456B-ACEE-B8039B473CAD}"/>
    <cellStyle name="Normal 4 2 2 2 9 3 2" xfId="12234" xr:uid="{2C08F328-404A-4FA5-8C65-DF1A85F19C47}"/>
    <cellStyle name="Normal 4 2 2 2 9 4" xfId="3127" xr:uid="{1A4986D7-A499-4750-8EFC-D95F6E00D146}"/>
    <cellStyle name="Normal 4 2 2 2 9 4 2" xfId="12235" xr:uid="{73B65012-C0D2-46C5-B75B-426C97FA663A}"/>
    <cellStyle name="Normal 4 2 2 2 9 5" xfId="3128" xr:uid="{9EA1BD22-9D33-4C41-B187-D2F52D9FF888}"/>
    <cellStyle name="Normal 4 2 2 2 9 5 2" xfId="12236" xr:uid="{837411CF-C102-4D1F-90E2-BB1832D639B8}"/>
    <cellStyle name="Normal 4 2 2 2 9 6" xfId="12230" xr:uid="{947E8BCC-4E0D-461E-A332-2E06B8A66180}"/>
    <cellStyle name="Normal 4 2 2 3" xfId="3129" xr:uid="{F6E30165-61B5-4DB8-9152-2DC46990D54F}"/>
    <cellStyle name="Normal 4 2 2 3 10" xfId="12237" xr:uid="{20A48A51-5687-4516-8641-0738750EB53E}"/>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2 2" xfId="12242" xr:uid="{6475D786-5BD8-4060-9C44-21FDCD12442D}"/>
    <cellStyle name="Normal 4 2 2 3 2 2 2 2 3" xfId="3135" xr:uid="{22D5E5AA-9E9B-4225-9C65-9DBD63F03BC3}"/>
    <cellStyle name="Normal 4 2 2 3 2 2 2 2 3 2" xfId="12243" xr:uid="{253E5CB2-5DF1-4A17-9A6E-50621F0D3EEF}"/>
    <cellStyle name="Normal 4 2 2 3 2 2 2 2 4" xfId="12241" xr:uid="{FDB75B46-EC60-4BAB-B019-077191FE8C08}"/>
    <cellStyle name="Normal 4 2 2 3 2 2 2 3" xfId="3136" xr:uid="{9259A25E-F1FD-43B8-8BA0-1520965C1F8C}"/>
    <cellStyle name="Normal 4 2 2 3 2 2 2 3 2" xfId="12244" xr:uid="{06F68D70-BD4D-4D2B-A9B9-A4BD83894379}"/>
    <cellStyle name="Normal 4 2 2 3 2 2 2 4" xfId="3137" xr:uid="{21C0D946-2E97-4651-9A30-FD545744CEC0}"/>
    <cellStyle name="Normal 4 2 2 3 2 2 2 4 2" xfId="12245" xr:uid="{7322FA65-A5AD-4DEC-8367-174CF28D20BB}"/>
    <cellStyle name="Normal 4 2 2 3 2 2 2 5" xfId="3138" xr:uid="{B5F9F86A-1B1E-48AE-A367-8F43C4AE8BB0}"/>
    <cellStyle name="Normal 4 2 2 3 2 2 2 5 2" xfId="12246" xr:uid="{FA5AFFBD-ACAF-42F5-8AF1-354335F0E1B6}"/>
    <cellStyle name="Normal 4 2 2 3 2 2 2 6" xfId="12240" xr:uid="{973B3B35-5703-44D8-8987-6B670F9BC938}"/>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2 2" xfId="12249" xr:uid="{811230FE-7AEA-4EC3-B40F-756EDCD674EB}"/>
    <cellStyle name="Normal 4 2 2 3 2 2 3 2 3" xfId="3142" xr:uid="{A4D8C186-492A-4AF1-B9FC-2C71F349703D}"/>
    <cellStyle name="Normal 4 2 2 3 2 2 3 2 3 2" xfId="12250" xr:uid="{00BDFE49-3233-464F-9727-0F74976388BB}"/>
    <cellStyle name="Normal 4 2 2 3 2 2 3 2 4" xfId="12248" xr:uid="{A8C23178-99A0-4501-A4AB-06CC3AC17313}"/>
    <cellStyle name="Normal 4 2 2 3 2 2 3 3" xfId="3143" xr:uid="{FE231A53-740A-4469-AB26-ED8BFF9F3A59}"/>
    <cellStyle name="Normal 4 2 2 3 2 2 3 3 2" xfId="12251" xr:uid="{D233FA9E-69D8-45CD-956F-429BBDBC6F3B}"/>
    <cellStyle name="Normal 4 2 2 3 2 2 3 4" xfId="3144" xr:uid="{2B874B8A-423A-4854-BEA2-E5DC6E45587F}"/>
    <cellStyle name="Normal 4 2 2 3 2 2 3 4 2" xfId="12252" xr:uid="{BE8D7917-56AB-47A5-BDE2-0636D355BA0B}"/>
    <cellStyle name="Normal 4 2 2 3 2 2 3 5" xfId="3145" xr:uid="{4A98CD21-05F1-4594-A23D-26BEED38E518}"/>
    <cellStyle name="Normal 4 2 2 3 2 2 3 5 2" xfId="12253" xr:uid="{B4F1216F-E2E6-4D1A-9DF5-8D3E9C3A450F}"/>
    <cellStyle name="Normal 4 2 2 3 2 2 3 6" xfId="12247" xr:uid="{022B1254-5125-4CEB-92D6-8CBD8F89BBC7}"/>
    <cellStyle name="Normal 4 2 2 3 2 2 4" xfId="3146" xr:uid="{B2F82972-C658-47C4-9A41-8EEA3FF75FD6}"/>
    <cellStyle name="Normal 4 2 2 3 2 2 4 2" xfId="3147" xr:uid="{303F0EAB-4EF9-4536-86FC-2159D0F799F8}"/>
    <cellStyle name="Normal 4 2 2 3 2 2 4 2 2" xfId="12255" xr:uid="{5764E783-0637-4474-B8D7-C289A7C0BAF1}"/>
    <cellStyle name="Normal 4 2 2 3 2 2 4 3" xfId="3148" xr:uid="{6B0F9418-5848-4152-B665-BE7C631AF9B3}"/>
    <cellStyle name="Normal 4 2 2 3 2 2 4 3 2" xfId="12256" xr:uid="{4FAA9E2E-7FB3-40B0-ADBE-0CB003FE075D}"/>
    <cellStyle name="Normal 4 2 2 3 2 2 4 4" xfId="12254" xr:uid="{92685F8E-E75D-4FDA-A66F-CAB100099A35}"/>
    <cellStyle name="Normal 4 2 2 3 2 2 5" xfId="3149" xr:uid="{201FE17F-18B6-427B-B88C-6B927357CCF8}"/>
    <cellStyle name="Normal 4 2 2 3 2 2 5 2" xfId="12257" xr:uid="{5D6E03AA-4257-4D16-89FC-5CB214539E04}"/>
    <cellStyle name="Normal 4 2 2 3 2 2 6" xfId="3150" xr:uid="{F678BC04-856A-469A-9FD9-120699CD6573}"/>
    <cellStyle name="Normal 4 2 2 3 2 2 6 2" xfId="12258" xr:uid="{6429AF1E-FE6F-4BD4-B3A4-CFD92CCEA308}"/>
    <cellStyle name="Normal 4 2 2 3 2 2 7" xfId="3151" xr:uid="{9A467471-DDE4-4B2F-B8E0-A350099B7FF4}"/>
    <cellStyle name="Normal 4 2 2 3 2 2 7 2" xfId="12259" xr:uid="{E77B038F-75EE-4094-B273-9632D5F04078}"/>
    <cellStyle name="Normal 4 2 2 3 2 2 8" xfId="12239" xr:uid="{6AFF9CEC-E77F-4F68-8EEF-9F634A535E36}"/>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2 2" xfId="12262" xr:uid="{424CF319-284D-4AB8-B739-83997A1F9B81}"/>
    <cellStyle name="Normal 4 2 2 3 2 3 2 3" xfId="3155" xr:uid="{41C2BA78-E916-4D03-B34E-119EA7003BFA}"/>
    <cellStyle name="Normal 4 2 2 3 2 3 2 3 2" xfId="12263" xr:uid="{C4251617-3DA4-4D93-9371-AB784A22892E}"/>
    <cellStyle name="Normal 4 2 2 3 2 3 2 4" xfId="12261" xr:uid="{1D7DD64B-3C9F-4B5F-AC68-266ABAFEA1B8}"/>
    <cellStyle name="Normal 4 2 2 3 2 3 3" xfId="3156" xr:uid="{4DD16B25-8D18-4B20-B668-300249A57C9E}"/>
    <cellStyle name="Normal 4 2 2 3 2 3 3 2" xfId="12264" xr:uid="{AA4F9119-15E5-483F-81BD-8CCD5EE5EB32}"/>
    <cellStyle name="Normal 4 2 2 3 2 3 4" xfId="3157" xr:uid="{4CFA81DD-30B7-487E-A50D-7405F7A5376D}"/>
    <cellStyle name="Normal 4 2 2 3 2 3 4 2" xfId="12265" xr:uid="{A8B0FF9C-D3FA-4966-A7AF-7E3AF483C251}"/>
    <cellStyle name="Normal 4 2 2 3 2 3 5" xfId="3158" xr:uid="{E3655DA9-C5CC-47A6-976C-B93A5181209E}"/>
    <cellStyle name="Normal 4 2 2 3 2 3 5 2" xfId="12266" xr:uid="{E1309244-6A33-46E9-9E11-C448CE619B91}"/>
    <cellStyle name="Normal 4 2 2 3 2 3 6" xfId="12260" xr:uid="{16E21872-E125-48F4-B9BA-A9FF0553B140}"/>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2 2" xfId="12269" xr:uid="{0D353157-B456-4852-80CD-4F99ECA4BDEC}"/>
    <cellStyle name="Normal 4 2 2 3 2 4 2 3" xfId="3162" xr:uid="{67D01617-0280-49FA-BF06-349914DF9235}"/>
    <cellStyle name="Normal 4 2 2 3 2 4 2 3 2" xfId="12270" xr:uid="{A17CFF96-B5AA-4AAD-8F04-D24037E03A8D}"/>
    <cellStyle name="Normal 4 2 2 3 2 4 2 4" xfId="12268" xr:uid="{CBF2D1D2-E595-4719-92AE-535ED5A95EE9}"/>
    <cellStyle name="Normal 4 2 2 3 2 4 3" xfId="3163" xr:uid="{45F521EC-F195-4D9C-91B8-88C5F1B318C6}"/>
    <cellStyle name="Normal 4 2 2 3 2 4 3 2" xfId="12271" xr:uid="{AA091410-80FE-43B6-B7FB-7BE7EF24DB01}"/>
    <cellStyle name="Normal 4 2 2 3 2 4 4" xfId="3164" xr:uid="{6539260C-B372-4CC9-9E8D-720DECDABF37}"/>
    <cellStyle name="Normal 4 2 2 3 2 4 4 2" xfId="12272" xr:uid="{B05BA17A-5444-4BEB-A7BF-50EC3BEE502F}"/>
    <cellStyle name="Normal 4 2 2 3 2 4 5" xfId="3165" xr:uid="{C849F6BE-C80D-44CD-A291-895A6A6CCA8A}"/>
    <cellStyle name="Normal 4 2 2 3 2 4 5 2" xfId="12273" xr:uid="{ABEAA392-9D9C-4602-8EF3-F26C9C614E24}"/>
    <cellStyle name="Normal 4 2 2 3 2 4 6" xfId="12267" xr:uid="{8123D972-678E-480D-AEA3-D3C92EF07065}"/>
    <cellStyle name="Normal 4 2 2 3 2 5" xfId="3166" xr:uid="{36F6CBFA-988C-4488-9A59-61820A96BA48}"/>
    <cellStyle name="Normal 4 2 2 3 2 5 2" xfId="3167" xr:uid="{720754F3-E0C7-4F07-9EA4-576918A7992D}"/>
    <cellStyle name="Normal 4 2 2 3 2 5 2 2" xfId="12275" xr:uid="{4919158B-D308-4780-AA7C-BDE6093B0320}"/>
    <cellStyle name="Normal 4 2 2 3 2 5 3" xfId="3168" xr:uid="{56E24575-4A0D-45FB-BFC1-8A4A0D1A9B7C}"/>
    <cellStyle name="Normal 4 2 2 3 2 5 3 2" xfId="12276" xr:uid="{639E5788-6E5B-4B19-8326-4820BE5665DE}"/>
    <cellStyle name="Normal 4 2 2 3 2 5 4" xfId="12274" xr:uid="{C89DAE8C-1B2B-4224-806B-566B14408AFE}"/>
    <cellStyle name="Normal 4 2 2 3 2 6" xfId="3169" xr:uid="{D506CE30-7528-4ACB-B153-850071B6422C}"/>
    <cellStyle name="Normal 4 2 2 3 2 6 2" xfId="12277" xr:uid="{68E73AC2-EF3A-493A-952D-2EB29C477692}"/>
    <cellStyle name="Normal 4 2 2 3 2 7" xfId="3170" xr:uid="{5AE5122C-C64E-4C38-B584-4FF0CF292392}"/>
    <cellStyle name="Normal 4 2 2 3 2 7 2" xfId="12278" xr:uid="{B7AAFA7B-5632-4E40-A9B4-C947962C3796}"/>
    <cellStyle name="Normal 4 2 2 3 2 8" xfId="3171" xr:uid="{19A8B173-A9E8-49F3-B4B6-EE3BFE17945D}"/>
    <cellStyle name="Normal 4 2 2 3 2 8 2" xfId="12279" xr:uid="{D4DC48D8-B6DE-49E4-A6BA-21058B45B4AB}"/>
    <cellStyle name="Normal 4 2 2 3 2 9" xfId="12238" xr:uid="{D9F2C418-D404-459F-8B2D-2B5EDE54BAD1}"/>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2 2" xfId="12283" xr:uid="{ABF23811-78CE-42E5-8CE0-855ED5514176}"/>
    <cellStyle name="Normal 4 2 2 3 3 2 2 3" xfId="3176" xr:uid="{8E433706-97B1-451D-A7CC-2068007E5B7F}"/>
    <cellStyle name="Normal 4 2 2 3 3 2 2 3 2" xfId="12284" xr:uid="{DE785B5C-2002-467F-A248-537310C360E3}"/>
    <cellStyle name="Normal 4 2 2 3 3 2 2 4" xfId="12282" xr:uid="{AC76E113-7976-49A9-A7ED-93802747F79A}"/>
    <cellStyle name="Normal 4 2 2 3 3 2 3" xfId="3177" xr:uid="{B630CC69-1ED2-4991-B4BF-0492C65C3C07}"/>
    <cellStyle name="Normal 4 2 2 3 3 2 3 2" xfId="12285" xr:uid="{14764C52-ABCA-494F-9757-7DF7234B0EA0}"/>
    <cellStyle name="Normal 4 2 2 3 3 2 4" xfId="3178" xr:uid="{A88F22F7-1C36-4F9F-8871-E8C7BC39DC73}"/>
    <cellStyle name="Normal 4 2 2 3 3 2 4 2" xfId="12286" xr:uid="{10511F7F-F04F-4CA9-9EB0-B72F618FAAB2}"/>
    <cellStyle name="Normal 4 2 2 3 3 2 5" xfId="3179" xr:uid="{C9FFDDC5-50E5-441D-B472-F5C3DE05C3B7}"/>
    <cellStyle name="Normal 4 2 2 3 3 2 5 2" xfId="12287" xr:uid="{AFB8B8FD-2242-4E4C-9AEC-EE16597B104F}"/>
    <cellStyle name="Normal 4 2 2 3 3 2 6" xfId="12281" xr:uid="{566C90D3-E04D-476A-BB4A-85CF1E32DBF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2 2" xfId="12290" xr:uid="{D583250B-EAA1-41D0-903B-1F49FD003D2D}"/>
    <cellStyle name="Normal 4 2 2 3 3 3 2 3" xfId="3183" xr:uid="{156CF28B-0CF8-4DB6-8226-2F9242ED5B14}"/>
    <cellStyle name="Normal 4 2 2 3 3 3 2 3 2" xfId="12291" xr:uid="{42E29BFE-4DEB-4689-AD8B-5D7F9529E404}"/>
    <cellStyle name="Normal 4 2 2 3 3 3 2 4" xfId="12289" xr:uid="{89BD2DD3-95C5-4B47-A87D-C318DC2C18C0}"/>
    <cellStyle name="Normal 4 2 2 3 3 3 3" xfId="3184" xr:uid="{6091BF03-188F-4566-8591-8EFDD33E9D4C}"/>
    <cellStyle name="Normal 4 2 2 3 3 3 3 2" xfId="12292" xr:uid="{F025FBB3-DEB8-42F1-9342-932B52E4A4D4}"/>
    <cellStyle name="Normal 4 2 2 3 3 3 4" xfId="3185" xr:uid="{D35C92B9-D871-4902-A881-0CDCD5565A05}"/>
    <cellStyle name="Normal 4 2 2 3 3 3 4 2" xfId="12293" xr:uid="{3D0EA130-FB10-40C1-B85F-2CA1F9A86092}"/>
    <cellStyle name="Normal 4 2 2 3 3 3 5" xfId="3186" xr:uid="{C94E9363-0C2F-4BE7-B11E-68AAFA72B9C1}"/>
    <cellStyle name="Normal 4 2 2 3 3 3 5 2" xfId="12294" xr:uid="{02AD8E24-D6CE-4054-8CE6-57CC41B4FB50}"/>
    <cellStyle name="Normal 4 2 2 3 3 3 6" xfId="12288" xr:uid="{1A572C0E-01D0-4124-9E97-5F36EC1CA651}"/>
    <cellStyle name="Normal 4 2 2 3 3 4" xfId="3187" xr:uid="{F6B7363A-67EC-47DB-9C33-FA13E64233D2}"/>
    <cellStyle name="Normal 4 2 2 3 3 4 2" xfId="3188" xr:uid="{A0F7D261-D0E9-4C03-9358-F3F219416F84}"/>
    <cellStyle name="Normal 4 2 2 3 3 4 2 2" xfId="12296" xr:uid="{76509A61-939E-4BFF-A3F7-6FDA608F42A5}"/>
    <cellStyle name="Normal 4 2 2 3 3 4 3" xfId="3189" xr:uid="{31BA1BDE-10F4-497B-951D-E630C7249D99}"/>
    <cellStyle name="Normal 4 2 2 3 3 4 3 2" xfId="12297" xr:uid="{73C01BED-5C7B-4C9F-81C6-9CFABEC9FA35}"/>
    <cellStyle name="Normal 4 2 2 3 3 4 4" xfId="12295" xr:uid="{A90797A0-F860-48DE-8E1A-BD76B7905353}"/>
    <cellStyle name="Normal 4 2 2 3 3 5" xfId="3190" xr:uid="{CB0F9944-6DEB-4D36-B705-45D4E3D0C529}"/>
    <cellStyle name="Normal 4 2 2 3 3 5 2" xfId="12298" xr:uid="{5E328FAD-E4C3-401D-87AD-8548AB93215F}"/>
    <cellStyle name="Normal 4 2 2 3 3 6" xfId="3191" xr:uid="{95F53046-07B9-422C-841C-5F072146E6DA}"/>
    <cellStyle name="Normal 4 2 2 3 3 6 2" xfId="12299" xr:uid="{6D749591-F3C5-47A6-ACA6-30E526A08FA9}"/>
    <cellStyle name="Normal 4 2 2 3 3 7" xfId="3192" xr:uid="{3053BD2F-EC8D-40BA-A754-E508521A4BFA}"/>
    <cellStyle name="Normal 4 2 2 3 3 7 2" xfId="12300" xr:uid="{CF574380-5FB7-4082-BEE0-6626F7DC4DEE}"/>
    <cellStyle name="Normal 4 2 2 3 3 8" xfId="12280" xr:uid="{4DC2B210-B251-4EF8-B464-E02C6CAD77EB}"/>
    <cellStyle name="Normal 4 2 2 3 4" xfId="3193" xr:uid="{CF11EB66-9B59-4FB1-A012-3488273D0EA8}"/>
    <cellStyle name="Normal 4 2 2 3 4 2" xfId="3194" xr:uid="{B81BBB25-D55F-41AD-A020-8190D05E5945}"/>
    <cellStyle name="Normal 4 2 2 3 4 2 2" xfId="3195" xr:uid="{FBC3AD17-C145-4BB4-BC6F-98F872F2C8E0}"/>
    <cellStyle name="Normal 4 2 2 3 4 2 2 2" xfId="12303" xr:uid="{E471A642-044C-4880-B073-653279F470C6}"/>
    <cellStyle name="Normal 4 2 2 3 4 2 3" xfId="3196" xr:uid="{AEAF882B-325E-4553-8975-8DBDE81191EA}"/>
    <cellStyle name="Normal 4 2 2 3 4 2 3 2" xfId="12304" xr:uid="{AA9FB456-D9D5-47BC-9F1B-DEC5F44525FD}"/>
    <cellStyle name="Normal 4 2 2 3 4 2 4" xfId="12302" xr:uid="{229CE629-27CF-4B09-AF55-BC1349BCAF73}"/>
    <cellStyle name="Normal 4 2 2 3 4 3" xfId="3197" xr:uid="{04C3C801-5434-48AE-A64C-4C146C8F2536}"/>
    <cellStyle name="Normal 4 2 2 3 4 3 2" xfId="12305" xr:uid="{49FDCE98-F36C-4B4E-9AE8-242F3556A593}"/>
    <cellStyle name="Normal 4 2 2 3 4 4" xfId="3198" xr:uid="{850E792C-2C8B-4649-BA22-A435E89F12DB}"/>
    <cellStyle name="Normal 4 2 2 3 4 4 2" xfId="12306" xr:uid="{4F84F2AC-694D-4341-8D9A-4D47334584A8}"/>
    <cellStyle name="Normal 4 2 2 3 4 5" xfId="3199" xr:uid="{C8B4525B-B4D1-47C4-8B44-1063EB84C44F}"/>
    <cellStyle name="Normal 4 2 2 3 4 5 2" xfId="12307" xr:uid="{DFBA4999-820C-4084-ABEC-DB5269D76BC1}"/>
    <cellStyle name="Normal 4 2 2 3 4 6" xfId="12301" xr:uid="{CEAD5087-1755-42A2-AA02-A92F51D1EEBE}"/>
    <cellStyle name="Normal 4 2 2 3 5" xfId="3200" xr:uid="{F6A80326-8189-416F-B3C0-FD95A7F1FC17}"/>
    <cellStyle name="Normal 4 2 2 3 5 2" xfId="3201" xr:uid="{FFB3460B-9BCD-4C68-92AD-2A8E40953890}"/>
    <cellStyle name="Normal 4 2 2 3 5 2 2" xfId="3202" xr:uid="{07DC48A1-CDB6-4EC9-B566-3F92E91F6C97}"/>
    <cellStyle name="Normal 4 2 2 3 5 2 2 2" xfId="12310" xr:uid="{E70A12CC-0BE5-4CF7-ACC5-D55476116595}"/>
    <cellStyle name="Normal 4 2 2 3 5 2 3" xfId="3203" xr:uid="{02EFB072-B880-4C7A-BFC5-8751D510752D}"/>
    <cellStyle name="Normal 4 2 2 3 5 2 3 2" xfId="12311" xr:uid="{A722C6C6-C09E-46E0-872D-BF1CB9CECEDA}"/>
    <cellStyle name="Normal 4 2 2 3 5 2 4" xfId="12309" xr:uid="{F2FB726F-5149-42EE-848C-6F397F46EF14}"/>
    <cellStyle name="Normal 4 2 2 3 5 3" xfId="3204" xr:uid="{F871D5B9-263A-4CB5-A600-13AC3DA598D7}"/>
    <cellStyle name="Normal 4 2 2 3 5 3 2" xfId="12312" xr:uid="{65F9FD82-E01C-424A-BFFB-1F88C1F9D7B3}"/>
    <cellStyle name="Normal 4 2 2 3 5 4" xfId="3205" xr:uid="{EAF7A205-CF51-45C7-B7C5-3A3DA451F9D2}"/>
    <cellStyle name="Normal 4 2 2 3 5 4 2" xfId="12313" xr:uid="{AE12F449-AA2B-43D7-BE95-F4DBC970E7BF}"/>
    <cellStyle name="Normal 4 2 2 3 5 5" xfId="3206" xr:uid="{A07283BA-FB69-4903-9CBA-7D2A8DAD69D3}"/>
    <cellStyle name="Normal 4 2 2 3 5 5 2" xfId="12314" xr:uid="{1306B14E-B844-400C-A04B-6C530ABF0EE8}"/>
    <cellStyle name="Normal 4 2 2 3 5 6" xfId="12308" xr:uid="{367B632B-2238-42F3-82B0-A09F44E48DB0}"/>
    <cellStyle name="Normal 4 2 2 3 6" xfId="3207" xr:uid="{50E9E464-70FB-4B51-B7CC-FA6F6F7EE2BA}"/>
    <cellStyle name="Normal 4 2 2 3 6 2" xfId="3208" xr:uid="{27ED8C1F-EF77-4027-A1F7-AA0733010B54}"/>
    <cellStyle name="Normal 4 2 2 3 6 2 2" xfId="12316" xr:uid="{39613626-CB31-42CE-9DA2-B800925FCFCF}"/>
    <cellStyle name="Normal 4 2 2 3 6 3" xfId="3209" xr:uid="{0431EDCE-076A-49D6-98F5-2D4A8493D328}"/>
    <cellStyle name="Normal 4 2 2 3 6 3 2" xfId="12317" xr:uid="{E13CE4DE-70FE-4C76-B8CF-D34738878582}"/>
    <cellStyle name="Normal 4 2 2 3 6 4" xfId="12315" xr:uid="{66D0451E-3049-4B81-BBF2-91417F17268F}"/>
    <cellStyle name="Normal 4 2 2 3 7" xfId="3210" xr:uid="{252FA78C-FFB1-4263-8EA8-33C5863E535D}"/>
    <cellStyle name="Normal 4 2 2 3 7 2" xfId="12318" xr:uid="{DE0BF122-EBAF-44BA-8604-686BE915F266}"/>
    <cellStyle name="Normal 4 2 2 3 8" xfId="3211" xr:uid="{F4D8D0D1-1D3E-4D99-AC70-D15BEEBDE269}"/>
    <cellStyle name="Normal 4 2 2 3 8 2" xfId="12319" xr:uid="{1DC561E5-35C3-4EED-9C4C-C55F42856419}"/>
    <cellStyle name="Normal 4 2 2 3 9" xfId="3212" xr:uid="{F4FFF77E-7A29-4193-BC93-B8408C6A9004}"/>
    <cellStyle name="Normal 4 2 2 3 9 2" xfId="12320" xr:uid="{96076B60-5BFE-4302-B6D6-D9B0BD7745A5}"/>
    <cellStyle name="Normal 4 2 2 4" xfId="3213" xr:uid="{88E0C8B3-1321-49E8-AEAF-51FEF4AD5782}"/>
    <cellStyle name="Normal 4 2 2 4 10" xfId="12321" xr:uid="{7CB0521C-8C87-4CFD-9FD7-49284284A40A}"/>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2 2" xfId="12326" xr:uid="{21BA6E4C-4054-433E-A6A9-C7BC9E2DB1EE}"/>
    <cellStyle name="Normal 4 2 2 4 2 2 2 2 3" xfId="3219" xr:uid="{91597B41-48B8-481E-86B5-94E9CDE64F00}"/>
    <cellStyle name="Normal 4 2 2 4 2 2 2 2 3 2" xfId="12327" xr:uid="{54CE43C4-C4FA-414E-A63E-533E0BC60566}"/>
    <cellStyle name="Normal 4 2 2 4 2 2 2 2 4" xfId="12325" xr:uid="{9DFAD658-BA45-429E-9B0B-B89C31A746AB}"/>
    <cellStyle name="Normal 4 2 2 4 2 2 2 3" xfId="3220" xr:uid="{93835852-3603-45CF-A849-EF99A9CFFA87}"/>
    <cellStyle name="Normal 4 2 2 4 2 2 2 3 2" xfId="12328" xr:uid="{F08D234B-9927-4075-8EE4-FD81A4FAF629}"/>
    <cellStyle name="Normal 4 2 2 4 2 2 2 4" xfId="3221" xr:uid="{E866AA5A-DCDB-4A90-AE18-29B1ADC54488}"/>
    <cellStyle name="Normal 4 2 2 4 2 2 2 4 2" xfId="12329" xr:uid="{07000AA9-25EC-4C31-945B-3D421EED5682}"/>
    <cellStyle name="Normal 4 2 2 4 2 2 2 5" xfId="3222" xr:uid="{2B4070F4-7539-453D-B421-EA9B5FC31821}"/>
    <cellStyle name="Normal 4 2 2 4 2 2 2 5 2" xfId="12330" xr:uid="{83D91A13-C2D6-4B83-A308-F981C7DF80B3}"/>
    <cellStyle name="Normal 4 2 2 4 2 2 2 6" xfId="12324" xr:uid="{17F65F15-4B4F-4BC0-8F75-D05E60DA1F52}"/>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2 2" xfId="12333" xr:uid="{1349B921-DDAE-49B6-93CC-C41575412B56}"/>
    <cellStyle name="Normal 4 2 2 4 2 2 3 2 3" xfId="3226" xr:uid="{4639EF7F-DB35-4B84-803E-2E57284017E5}"/>
    <cellStyle name="Normal 4 2 2 4 2 2 3 2 3 2" xfId="12334" xr:uid="{CDF5EB0A-FB05-44D4-A8C7-191C7D86D8C8}"/>
    <cellStyle name="Normal 4 2 2 4 2 2 3 2 4" xfId="12332" xr:uid="{99DFB1CA-3BD1-4128-95FB-41CDE7209B0D}"/>
    <cellStyle name="Normal 4 2 2 4 2 2 3 3" xfId="3227" xr:uid="{42987351-12CA-4436-ADC1-4B6D4FC0CCD3}"/>
    <cellStyle name="Normal 4 2 2 4 2 2 3 3 2" xfId="12335" xr:uid="{5EBD4B5C-749B-472A-A215-534C0AF10663}"/>
    <cellStyle name="Normal 4 2 2 4 2 2 3 4" xfId="3228" xr:uid="{1522F2FB-8524-4CF4-9262-349AC3477DA5}"/>
    <cellStyle name="Normal 4 2 2 4 2 2 3 4 2" xfId="12336" xr:uid="{BAF4E1D5-D073-4615-A092-26280FDFE776}"/>
    <cellStyle name="Normal 4 2 2 4 2 2 3 5" xfId="3229" xr:uid="{12B8E452-C6FE-4B1D-A0CC-3E8BE3D4C7FB}"/>
    <cellStyle name="Normal 4 2 2 4 2 2 3 5 2" xfId="12337" xr:uid="{010375F2-011B-4E58-ACB8-B7CFD2812F36}"/>
    <cellStyle name="Normal 4 2 2 4 2 2 3 6" xfId="12331" xr:uid="{9036839B-F276-4F97-B2FC-DD6709088501}"/>
    <cellStyle name="Normal 4 2 2 4 2 2 4" xfId="3230" xr:uid="{DABECEF1-B6F4-4361-A64C-221B8389C23E}"/>
    <cellStyle name="Normal 4 2 2 4 2 2 4 2" xfId="3231" xr:uid="{5CD91889-C24E-4F02-A860-3DB294567E9F}"/>
    <cellStyle name="Normal 4 2 2 4 2 2 4 2 2" xfId="12339" xr:uid="{D1810F09-3BF8-4B32-AD95-9DD9E6CB9570}"/>
    <cellStyle name="Normal 4 2 2 4 2 2 4 3" xfId="3232" xr:uid="{8C8FF3E8-7696-4FAE-9645-AE4B62444292}"/>
    <cellStyle name="Normal 4 2 2 4 2 2 4 3 2" xfId="12340" xr:uid="{961CEB95-3120-4513-A5B6-63208A145757}"/>
    <cellStyle name="Normal 4 2 2 4 2 2 4 4" xfId="12338" xr:uid="{CBBA4DE6-5E75-421C-8E21-54645FE2FE9D}"/>
    <cellStyle name="Normal 4 2 2 4 2 2 5" xfId="3233" xr:uid="{CFB2882C-61E3-49FA-A9F3-E3923E8AE532}"/>
    <cellStyle name="Normal 4 2 2 4 2 2 5 2" xfId="12341" xr:uid="{05239BD3-B059-4A24-9C97-F6FD5406C0E2}"/>
    <cellStyle name="Normal 4 2 2 4 2 2 6" xfId="3234" xr:uid="{22348FB7-BFA7-4FE5-A6AD-46EFECB4205A}"/>
    <cellStyle name="Normal 4 2 2 4 2 2 6 2" xfId="12342" xr:uid="{745AE309-F662-4765-B27E-B9EAE46A8B68}"/>
    <cellStyle name="Normal 4 2 2 4 2 2 7" xfId="3235" xr:uid="{CAAFC8C9-347F-4673-B5AE-9ACD2062C714}"/>
    <cellStyle name="Normal 4 2 2 4 2 2 7 2" xfId="12343" xr:uid="{C8FE0621-B2CB-4A0E-9125-CD5FA82D4E91}"/>
    <cellStyle name="Normal 4 2 2 4 2 2 8" xfId="12323" xr:uid="{881CB9A4-7A8C-4A66-99A7-284CD4BE69CF}"/>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2 2" xfId="12346" xr:uid="{17D9F1AD-FDF6-434D-9EF9-940530CA4B7B}"/>
    <cellStyle name="Normal 4 2 2 4 2 3 2 3" xfId="3239" xr:uid="{9C734A0E-B574-4A1E-8CEF-C66E2F2F4E72}"/>
    <cellStyle name="Normal 4 2 2 4 2 3 2 3 2" xfId="12347" xr:uid="{EBA9528C-B83B-41FD-B28D-03BDDE4CD573}"/>
    <cellStyle name="Normal 4 2 2 4 2 3 2 4" xfId="12345" xr:uid="{CE66F2FD-1F07-4050-B7FC-A2430A952618}"/>
    <cellStyle name="Normal 4 2 2 4 2 3 3" xfId="3240" xr:uid="{21047AB8-45F3-4D7A-9981-DD3FB4CF96C6}"/>
    <cellStyle name="Normal 4 2 2 4 2 3 3 2" xfId="12348" xr:uid="{02C5099E-C7F2-4DA1-962E-1F1BB8C6E9ED}"/>
    <cellStyle name="Normal 4 2 2 4 2 3 4" xfId="3241" xr:uid="{34E4DA0E-630F-46CC-8A87-334F3688D3AC}"/>
    <cellStyle name="Normal 4 2 2 4 2 3 4 2" xfId="12349" xr:uid="{76169BBD-248F-4AEA-A3AE-276DBF8BF7F6}"/>
    <cellStyle name="Normal 4 2 2 4 2 3 5" xfId="3242" xr:uid="{CD1291BD-11B9-4A9F-A980-23B25B6889CA}"/>
    <cellStyle name="Normal 4 2 2 4 2 3 5 2" xfId="12350" xr:uid="{D28807BD-E59F-4399-997C-149D6893C8D8}"/>
    <cellStyle name="Normal 4 2 2 4 2 3 6" xfId="12344" xr:uid="{1D37A938-7409-443B-8A56-88E1333B8DB5}"/>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2 2" xfId="12353" xr:uid="{083D4615-E8EE-431F-9CEC-DDEE9B3E1E59}"/>
    <cellStyle name="Normal 4 2 2 4 2 4 2 3" xfId="3246" xr:uid="{C3A8B33E-189B-40BC-91A7-9476D9C631DD}"/>
    <cellStyle name="Normal 4 2 2 4 2 4 2 3 2" xfId="12354" xr:uid="{513D75FB-5A1C-4785-B9D9-4035CEED69CC}"/>
    <cellStyle name="Normal 4 2 2 4 2 4 2 4" xfId="12352" xr:uid="{907BA454-52B5-4685-84AB-C7F4D50160AE}"/>
    <cellStyle name="Normal 4 2 2 4 2 4 3" xfId="3247" xr:uid="{B5239EB7-DEAE-482A-A220-EA52F4FBFFE7}"/>
    <cellStyle name="Normal 4 2 2 4 2 4 3 2" xfId="12355" xr:uid="{33B4B5B9-9C79-45EC-BED0-4B353B05B923}"/>
    <cellStyle name="Normal 4 2 2 4 2 4 4" xfId="3248" xr:uid="{73B3D623-6835-409B-9780-734A84657618}"/>
    <cellStyle name="Normal 4 2 2 4 2 4 4 2" xfId="12356" xr:uid="{5FB8AAF8-B3A0-4F28-9DBC-E529ACB9589E}"/>
    <cellStyle name="Normal 4 2 2 4 2 4 5" xfId="3249" xr:uid="{8969E937-B4F4-48A6-9AAC-42BF2D85C421}"/>
    <cellStyle name="Normal 4 2 2 4 2 4 5 2" xfId="12357" xr:uid="{3C0B1D23-0BB3-43A1-9478-32F67578BAA0}"/>
    <cellStyle name="Normal 4 2 2 4 2 4 6" xfId="12351" xr:uid="{4777CEB6-7F92-4D60-BB46-8392A4FF091D}"/>
    <cellStyle name="Normal 4 2 2 4 2 5" xfId="3250" xr:uid="{4B573A5D-CC97-4187-A442-51051E763063}"/>
    <cellStyle name="Normal 4 2 2 4 2 5 2" xfId="3251" xr:uid="{052C13C2-3246-4912-BD87-D9B314730906}"/>
    <cellStyle name="Normal 4 2 2 4 2 5 2 2" xfId="12359" xr:uid="{4E6148EB-7FAE-4D37-8BAF-87381F2B1167}"/>
    <cellStyle name="Normal 4 2 2 4 2 5 3" xfId="3252" xr:uid="{0FCEE59B-E772-4151-8F5A-09AAFE290F03}"/>
    <cellStyle name="Normal 4 2 2 4 2 5 3 2" xfId="12360" xr:uid="{3E1777F6-FE15-4A40-A407-517C248DDEA8}"/>
    <cellStyle name="Normal 4 2 2 4 2 5 4" xfId="12358" xr:uid="{BFA36E27-C07F-42F7-BA45-467DE7BEB497}"/>
    <cellStyle name="Normal 4 2 2 4 2 6" xfId="3253" xr:uid="{65654A2A-D8F1-4782-95A1-06AF9EE346F8}"/>
    <cellStyle name="Normal 4 2 2 4 2 6 2" xfId="12361" xr:uid="{8A6E60E0-0237-42DF-9D57-C5746361B38A}"/>
    <cellStyle name="Normal 4 2 2 4 2 7" xfId="3254" xr:uid="{21C86316-3F14-4A51-B545-E37BAB7B88AB}"/>
    <cellStyle name="Normal 4 2 2 4 2 7 2" xfId="12362" xr:uid="{D2AEBDAB-D2CA-4A47-85C2-DD65C81061B4}"/>
    <cellStyle name="Normal 4 2 2 4 2 8" xfId="3255" xr:uid="{69551117-E037-4AD1-9B13-22558533812E}"/>
    <cellStyle name="Normal 4 2 2 4 2 8 2" xfId="12363" xr:uid="{7ED4FA88-C1F2-4951-8A63-317B87169058}"/>
    <cellStyle name="Normal 4 2 2 4 2 9" xfId="12322" xr:uid="{56FEFEE5-45FF-4E30-8A38-26A721757EB4}"/>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2 2" xfId="12367" xr:uid="{94D96102-AFFE-4BD5-8290-B68B70398C54}"/>
    <cellStyle name="Normal 4 2 2 4 3 2 2 3" xfId="3260" xr:uid="{C9205376-5B63-4355-82BA-80D6044696D0}"/>
    <cellStyle name="Normal 4 2 2 4 3 2 2 3 2" xfId="12368" xr:uid="{8226A78C-1E91-4474-A1F1-D595DA02E817}"/>
    <cellStyle name="Normal 4 2 2 4 3 2 2 4" xfId="12366" xr:uid="{C6468F58-84AE-423D-BF33-F20325D3985D}"/>
    <cellStyle name="Normal 4 2 2 4 3 2 3" xfId="3261" xr:uid="{771734EA-7114-49A6-89CA-F88B197609AE}"/>
    <cellStyle name="Normal 4 2 2 4 3 2 3 2" xfId="12369" xr:uid="{17F2C1F5-FB01-48AB-8BBE-CFE228ADBA36}"/>
    <cellStyle name="Normal 4 2 2 4 3 2 4" xfId="3262" xr:uid="{21A53B7D-9AC9-4B2D-82EB-9E052C4F6BE9}"/>
    <cellStyle name="Normal 4 2 2 4 3 2 4 2" xfId="12370" xr:uid="{F41A8C4E-B1E2-47C5-82FB-2AD15D0FF23C}"/>
    <cellStyle name="Normal 4 2 2 4 3 2 5" xfId="3263" xr:uid="{ADBFD64A-4C9A-4DEE-8066-6D4E094E60E0}"/>
    <cellStyle name="Normal 4 2 2 4 3 2 5 2" xfId="12371" xr:uid="{B4579812-C753-46A0-BAF7-FE61F9DE0BCF}"/>
    <cellStyle name="Normal 4 2 2 4 3 2 6" xfId="12365" xr:uid="{7040F80D-2584-49C1-A775-39DEA95614A4}"/>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2 2" xfId="12374" xr:uid="{A669CFF4-64E4-4443-98FC-5DE8BE28413F}"/>
    <cellStyle name="Normal 4 2 2 4 3 3 2 3" xfId="3267" xr:uid="{F25B1D6D-596D-4B76-B8CF-6882228A09B3}"/>
    <cellStyle name="Normal 4 2 2 4 3 3 2 3 2" xfId="12375" xr:uid="{145AC001-B2BE-4FCD-AB70-427174AE7648}"/>
    <cellStyle name="Normal 4 2 2 4 3 3 2 4" xfId="12373" xr:uid="{F1F977A8-BB79-46AC-9008-C7CB70673B7B}"/>
    <cellStyle name="Normal 4 2 2 4 3 3 3" xfId="3268" xr:uid="{29AEA84B-F4F8-4BEC-B656-BFFD28D90FDE}"/>
    <cellStyle name="Normal 4 2 2 4 3 3 3 2" xfId="12376" xr:uid="{61F5D288-1E03-4C01-9D36-B012B9EF7423}"/>
    <cellStyle name="Normal 4 2 2 4 3 3 4" xfId="3269" xr:uid="{5B29D714-7D9A-405C-A8EA-425A47C24F7E}"/>
    <cellStyle name="Normal 4 2 2 4 3 3 4 2" xfId="12377" xr:uid="{CAAACE85-B628-44AD-9285-3868FB0043E5}"/>
    <cellStyle name="Normal 4 2 2 4 3 3 5" xfId="3270" xr:uid="{5327F7EB-9B8C-45F6-9588-080688740007}"/>
    <cellStyle name="Normal 4 2 2 4 3 3 5 2" xfId="12378" xr:uid="{4151BCF6-A3A5-42AC-9871-A8D8D4AF5903}"/>
    <cellStyle name="Normal 4 2 2 4 3 3 6" xfId="12372" xr:uid="{D600FDFB-F167-4221-9F23-CAE749F90C37}"/>
    <cellStyle name="Normal 4 2 2 4 3 4" xfId="3271" xr:uid="{676B74FF-C92E-4D47-8397-F0BD29006CA0}"/>
    <cellStyle name="Normal 4 2 2 4 3 4 2" xfId="3272" xr:uid="{66C1517B-64F8-40AA-A39F-080EBD342509}"/>
    <cellStyle name="Normal 4 2 2 4 3 4 2 2" xfId="12380" xr:uid="{58A82A75-2421-4623-85D6-9765AD87DFC0}"/>
    <cellStyle name="Normal 4 2 2 4 3 4 3" xfId="3273" xr:uid="{48DE2EBB-D6CB-4D3A-B236-466788012681}"/>
    <cellStyle name="Normal 4 2 2 4 3 4 3 2" xfId="12381" xr:uid="{AE2A7251-67B7-4587-B65E-C53DF59D9F16}"/>
    <cellStyle name="Normal 4 2 2 4 3 4 4" xfId="12379" xr:uid="{B18F0FF6-62C0-4112-9748-A4876A4C27E0}"/>
    <cellStyle name="Normal 4 2 2 4 3 5" xfId="3274" xr:uid="{F1B0AF2F-F17E-4E16-BE4A-72B5691D99D0}"/>
    <cellStyle name="Normal 4 2 2 4 3 5 2" xfId="12382" xr:uid="{55CB0DEE-6B7E-49EC-94BF-5C21F2D56B2A}"/>
    <cellStyle name="Normal 4 2 2 4 3 6" xfId="3275" xr:uid="{94B8E752-843F-4647-AF81-7932FD3C333A}"/>
    <cellStyle name="Normal 4 2 2 4 3 6 2" xfId="12383" xr:uid="{DA7D83BD-DCD2-4E70-BB09-0C39FFA82C0E}"/>
    <cellStyle name="Normal 4 2 2 4 3 7" xfId="3276" xr:uid="{162921D8-E98B-4EA2-8F20-24D0244E176F}"/>
    <cellStyle name="Normal 4 2 2 4 3 7 2" xfId="12384" xr:uid="{3121FA3B-70DC-4747-AEC5-7B8FFB7EE555}"/>
    <cellStyle name="Normal 4 2 2 4 3 8" xfId="12364" xr:uid="{4E075147-A57D-48AD-BD4B-14555E77C498}"/>
    <cellStyle name="Normal 4 2 2 4 4" xfId="3277" xr:uid="{AF43A7EE-0EBA-4099-BED6-62DFE4A9178E}"/>
    <cellStyle name="Normal 4 2 2 4 4 2" xfId="3278" xr:uid="{F330544A-E395-4D98-95AA-37C2353510EB}"/>
    <cellStyle name="Normal 4 2 2 4 4 2 2" xfId="3279" xr:uid="{9EA835B9-95F6-4836-ABA6-259F3B997FD5}"/>
    <cellStyle name="Normal 4 2 2 4 4 2 2 2" xfId="12387" xr:uid="{DDCDBAC0-BD3A-4567-975A-CF1EB24C253F}"/>
    <cellStyle name="Normal 4 2 2 4 4 2 3" xfId="3280" xr:uid="{42E4C5A8-CA72-4B83-98C5-AC8EEDF7312B}"/>
    <cellStyle name="Normal 4 2 2 4 4 2 3 2" xfId="12388" xr:uid="{BB53BED5-60E1-4373-88E0-39D62579A3EF}"/>
    <cellStyle name="Normal 4 2 2 4 4 2 4" xfId="12386" xr:uid="{892C0953-7657-4F7E-9B84-BA50A21FBFFA}"/>
    <cellStyle name="Normal 4 2 2 4 4 3" xfId="3281" xr:uid="{DA3C9B8D-1A48-43A9-A82A-AB8307CFEBB5}"/>
    <cellStyle name="Normal 4 2 2 4 4 3 2" xfId="12389" xr:uid="{46651F46-DDD3-49BA-BB15-A0B2CC789810}"/>
    <cellStyle name="Normal 4 2 2 4 4 4" xfId="3282" xr:uid="{49AF87B8-2E2C-4C4A-AB23-B8F50C79C7BF}"/>
    <cellStyle name="Normal 4 2 2 4 4 4 2" xfId="12390" xr:uid="{3736590D-DFAE-45CA-B786-2E08C6BF7B82}"/>
    <cellStyle name="Normal 4 2 2 4 4 5" xfId="3283" xr:uid="{B81D8263-A448-4CB6-88A2-F1618DB3F343}"/>
    <cellStyle name="Normal 4 2 2 4 4 5 2" xfId="12391" xr:uid="{CEB04581-E89A-45CD-8852-97D3DB9B37C3}"/>
    <cellStyle name="Normal 4 2 2 4 4 6" xfId="12385" xr:uid="{FE24B75D-6F43-43A5-8392-1774E64F249D}"/>
    <cellStyle name="Normal 4 2 2 4 5" xfId="3284" xr:uid="{B9FBDB21-1040-4F49-BD27-CE3C1C09986C}"/>
    <cellStyle name="Normal 4 2 2 4 5 2" xfId="3285" xr:uid="{3EAD53ED-44B5-481C-89CE-FB47AD7173B6}"/>
    <cellStyle name="Normal 4 2 2 4 5 2 2" xfId="3286" xr:uid="{745E6191-84BA-427E-A72E-2738769F2A78}"/>
    <cellStyle name="Normal 4 2 2 4 5 2 2 2" xfId="12394" xr:uid="{0FDBD52B-884F-491B-8EBA-E080C1A5B88B}"/>
    <cellStyle name="Normal 4 2 2 4 5 2 3" xfId="3287" xr:uid="{EFD9329F-98DE-4286-A1F3-FFC398E62A0A}"/>
    <cellStyle name="Normal 4 2 2 4 5 2 3 2" xfId="12395" xr:uid="{0287311F-EB11-4FA2-8D74-170FEA588363}"/>
    <cellStyle name="Normal 4 2 2 4 5 2 4" xfId="12393" xr:uid="{9DADE4A2-7543-48E8-B164-4105C108820E}"/>
    <cellStyle name="Normal 4 2 2 4 5 3" xfId="3288" xr:uid="{7ACE0CD7-B2E0-415A-8291-FC07F31AC1C6}"/>
    <cellStyle name="Normal 4 2 2 4 5 3 2" xfId="12396" xr:uid="{95D43A37-93C6-4DA4-9407-5FC5CACE5962}"/>
    <cellStyle name="Normal 4 2 2 4 5 4" xfId="3289" xr:uid="{7B97D74F-6B84-48B5-9ECF-89281BA9F57E}"/>
    <cellStyle name="Normal 4 2 2 4 5 4 2" xfId="12397" xr:uid="{0232E2D8-A4E6-4086-9E4C-422E7E7F87BA}"/>
    <cellStyle name="Normal 4 2 2 4 5 5" xfId="3290" xr:uid="{DFE6BFE6-B8ED-402D-9EEB-3567584AB574}"/>
    <cellStyle name="Normal 4 2 2 4 5 5 2" xfId="12398" xr:uid="{F240E6BD-350A-4E6B-A24A-FE3C52949523}"/>
    <cellStyle name="Normal 4 2 2 4 5 6" xfId="12392" xr:uid="{98AFE324-EE8A-45C9-A009-0BFE4CC64A66}"/>
    <cellStyle name="Normal 4 2 2 4 6" xfId="3291" xr:uid="{7FC1BC5C-F314-425A-B367-47D3BE46CF76}"/>
    <cellStyle name="Normal 4 2 2 4 6 2" xfId="3292" xr:uid="{0CAD0B78-D2B3-44AF-A403-DF6481D6FD15}"/>
    <cellStyle name="Normal 4 2 2 4 6 2 2" xfId="12400" xr:uid="{ADB7094F-7E85-428B-B458-5643582F98D5}"/>
    <cellStyle name="Normal 4 2 2 4 6 3" xfId="3293" xr:uid="{DAE27A64-7E32-4DBD-B811-067E024361A5}"/>
    <cellStyle name="Normal 4 2 2 4 6 3 2" xfId="12401" xr:uid="{082FB6C8-03DA-45A0-8063-629DF5D03D2B}"/>
    <cellStyle name="Normal 4 2 2 4 6 4" xfId="12399" xr:uid="{467C5D0A-0382-40F3-A1C5-57098CA3E3AC}"/>
    <cellStyle name="Normal 4 2 2 4 7" xfId="3294" xr:uid="{C46C24AB-BD25-4BD7-BA9B-93F34FE22F4F}"/>
    <cellStyle name="Normal 4 2 2 4 7 2" xfId="12402" xr:uid="{4BBF40A1-A749-449E-AA41-DC121B1E3BB5}"/>
    <cellStyle name="Normal 4 2 2 4 8" xfId="3295" xr:uid="{A568E2F9-B651-49A6-A5C4-A3C694646171}"/>
    <cellStyle name="Normal 4 2 2 4 8 2" xfId="12403" xr:uid="{CE3AC731-49F5-4523-9314-53596D8934A5}"/>
    <cellStyle name="Normal 4 2 2 4 9" xfId="3296" xr:uid="{B02947A4-9D79-4AE4-8095-7FD465720672}"/>
    <cellStyle name="Normal 4 2 2 4 9 2" xfId="12404" xr:uid="{438783D3-107D-40A4-B457-493D6B0AB6EE}"/>
    <cellStyle name="Normal 4 2 2 5" xfId="3297" xr:uid="{ED080C83-17B4-431D-B733-9B85B1408680}"/>
    <cellStyle name="Normal 4 2 2 5 10" xfId="12405" xr:uid="{5514325A-90C4-4604-AB8B-EF19AF445081}"/>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2 2" xfId="12410" xr:uid="{4072EC97-49B5-4DCB-8DD5-7198B4E4BB95}"/>
    <cellStyle name="Normal 4 2 2 5 2 2 2 2 3" xfId="3303" xr:uid="{C1432F21-A86F-4465-8CA2-8901E7471B4A}"/>
    <cellStyle name="Normal 4 2 2 5 2 2 2 2 3 2" xfId="12411" xr:uid="{CAB03C29-071A-42EB-B043-F29D9F6EE408}"/>
    <cellStyle name="Normal 4 2 2 5 2 2 2 2 4" xfId="12409" xr:uid="{2C158775-BD21-4301-8005-57C89CB48AFC}"/>
    <cellStyle name="Normal 4 2 2 5 2 2 2 3" xfId="3304" xr:uid="{F45CB521-B2F1-42D2-A31C-0C62DB89515C}"/>
    <cellStyle name="Normal 4 2 2 5 2 2 2 3 2" xfId="12412" xr:uid="{BC65A291-F256-4593-B475-6B0C4A78F9B1}"/>
    <cellStyle name="Normal 4 2 2 5 2 2 2 4" xfId="3305" xr:uid="{88A4DC33-1172-4C9D-ADFE-DD99A737616E}"/>
    <cellStyle name="Normal 4 2 2 5 2 2 2 4 2" xfId="12413" xr:uid="{010EF9D5-79DB-4653-8693-C0E1E5A0A0CD}"/>
    <cellStyle name="Normal 4 2 2 5 2 2 2 5" xfId="3306" xr:uid="{0B4641A1-2A90-464A-8766-C96DA13184A8}"/>
    <cellStyle name="Normal 4 2 2 5 2 2 2 5 2" xfId="12414" xr:uid="{DC8F1016-1DE7-4E16-97A5-571ACD9F84D7}"/>
    <cellStyle name="Normal 4 2 2 5 2 2 2 6" xfId="12408" xr:uid="{B224F752-557C-4698-AB4D-89A5F798F6E3}"/>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2 2" xfId="12417" xr:uid="{EAF3F35F-F1C7-4284-8D6B-3B7E381F8BCD}"/>
    <cellStyle name="Normal 4 2 2 5 2 2 3 2 3" xfId="3310" xr:uid="{26E787C0-388B-448C-8EC8-28B359B32D25}"/>
    <cellStyle name="Normal 4 2 2 5 2 2 3 2 3 2" xfId="12418" xr:uid="{296C9C2E-D67B-4FCE-ACE5-CB1F8CA596B4}"/>
    <cellStyle name="Normal 4 2 2 5 2 2 3 2 4" xfId="12416" xr:uid="{A72621CB-FD52-4133-ACEE-2EBB7979F9F5}"/>
    <cellStyle name="Normal 4 2 2 5 2 2 3 3" xfId="3311" xr:uid="{D9A9CAA0-3A01-4041-B5C1-F33870276511}"/>
    <cellStyle name="Normal 4 2 2 5 2 2 3 3 2" xfId="12419" xr:uid="{EE42D85B-CA7F-4D45-BC16-EAB7E7DACD15}"/>
    <cellStyle name="Normal 4 2 2 5 2 2 3 4" xfId="3312" xr:uid="{8281A0FA-2A5C-4348-8A9C-19F0B136A6C7}"/>
    <cellStyle name="Normal 4 2 2 5 2 2 3 4 2" xfId="12420" xr:uid="{D7A5CAC4-F773-46C2-A0A3-0A68649D4782}"/>
    <cellStyle name="Normal 4 2 2 5 2 2 3 5" xfId="3313" xr:uid="{C13A60CE-F5A4-475A-8132-5C0C7B15A32B}"/>
    <cellStyle name="Normal 4 2 2 5 2 2 3 5 2" xfId="12421" xr:uid="{B2E6AEB6-6C50-450C-92DF-245FF7C9128D}"/>
    <cellStyle name="Normal 4 2 2 5 2 2 3 6" xfId="12415" xr:uid="{522B3BCC-C9E1-473D-BC61-761AE773BC8D}"/>
    <cellStyle name="Normal 4 2 2 5 2 2 4" xfId="3314" xr:uid="{5F069FB1-8C12-4E7A-9B95-EF47EE90AA0C}"/>
    <cellStyle name="Normal 4 2 2 5 2 2 4 2" xfId="3315" xr:uid="{C507E15C-ECE6-4FFD-8524-1D6BD3EB0285}"/>
    <cellStyle name="Normal 4 2 2 5 2 2 4 2 2" xfId="12423" xr:uid="{C52224BC-F23A-4D89-AA7F-9609A56B3F18}"/>
    <cellStyle name="Normal 4 2 2 5 2 2 4 3" xfId="3316" xr:uid="{B7D2E3CC-7252-4384-B11A-EA37146D0B21}"/>
    <cellStyle name="Normal 4 2 2 5 2 2 4 3 2" xfId="12424" xr:uid="{9F765C00-95D7-46D2-9550-BB8D559E20D2}"/>
    <cellStyle name="Normal 4 2 2 5 2 2 4 4" xfId="12422" xr:uid="{71A4394B-273F-4BAB-B4B1-E6365D25B31F}"/>
    <cellStyle name="Normal 4 2 2 5 2 2 5" xfId="3317" xr:uid="{767C8D4E-968B-41E6-9CA7-F2F22FF522D2}"/>
    <cellStyle name="Normal 4 2 2 5 2 2 5 2" xfId="12425" xr:uid="{2F0E899B-7716-4971-A1A3-072324E8B892}"/>
    <cellStyle name="Normal 4 2 2 5 2 2 6" xfId="3318" xr:uid="{64B772FC-85AC-4EE9-BE3B-205542D429FD}"/>
    <cellStyle name="Normal 4 2 2 5 2 2 6 2" xfId="12426" xr:uid="{53970758-B5BE-4CCB-8E8E-A9B2DE2AFD6E}"/>
    <cellStyle name="Normal 4 2 2 5 2 2 7" xfId="3319" xr:uid="{5951EE43-F34C-4839-86D7-6B262C5397F1}"/>
    <cellStyle name="Normal 4 2 2 5 2 2 7 2" xfId="12427" xr:uid="{D7338196-E0D1-450A-B73A-3F31F9B5EA30}"/>
    <cellStyle name="Normal 4 2 2 5 2 2 8" xfId="12407" xr:uid="{A283BC57-BB7B-487B-8E6E-24624F7E649B}"/>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2 2" xfId="12430" xr:uid="{624191D2-0B96-43F6-8258-3BD8053044A5}"/>
    <cellStyle name="Normal 4 2 2 5 2 3 2 3" xfId="3323" xr:uid="{B539C159-732F-4684-99C3-6EA8721DB6FB}"/>
    <cellStyle name="Normal 4 2 2 5 2 3 2 3 2" xfId="12431" xr:uid="{7B0B4C0D-4E04-4BBA-A874-CB35BE6568E2}"/>
    <cellStyle name="Normal 4 2 2 5 2 3 2 4" xfId="12429" xr:uid="{841A8A59-D31F-471F-9E35-BF24809F5B1B}"/>
    <cellStyle name="Normal 4 2 2 5 2 3 3" xfId="3324" xr:uid="{FD828218-ED51-4D16-A77B-0D9AB8C8D245}"/>
    <cellStyle name="Normal 4 2 2 5 2 3 3 2" xfId="12432" xr:uid="{2DE8C65D-CB7D-43FF-A613-D228BC192E22}"/>
    <cellStyle name="Normal 4 2 2 5 2 3 4" xfId="3325" xr:uid="{C67C0850-C89D-48D8-B015-3D3D7F3EE6C4}"/>
    <cellStyle name="Normal 4 2 2 5 2 3 4 2" xfId="12433" xr:uid="{1546D211-90BC-4598-97E1-5771D4B59AE0}"/>
    <cellStyle name="Normal 4 2 2 5 2 3 5" xfId="3326" xr:uid="{94C7193D-451E-44C2-9339-9CDB2777AD06}"/>
    <cellStyle name="Normal 4 2 2 5 2 3 5 2" xfId="12434" xr:uid="{6EE62406-6B11-4C8A-9AF3-428D8B8AEBEA}"/>
    <cellStyle name="Normal 4 2 2 5 2 3 6" xfId="12428" xr:uid="{326CC765-3A5A-44E0-9FFD-9A2004C4DF7D}"/>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2 2" xfId="12437" xr:uid="{264774F6-5A49-4707-96B1-B285DD7A48E0}"/>
    <cellStyle name="Normal 4 2 2 5 2 4 2 3" xfId="3330" xr:uid="{A7076F57-193D-4D0C-A4BF-B2299D6AA5F1}"/>
    <cellStyle name="Normal 4 2 2 5 2 4 2 3 2" xfId="12438" xr:uid="{AF07F2F1-7D26-4177-A41D-E9CEF46278FF}"/>
    <cellStyle name="Normal 4 2 2 5 2 4 2 4" xfId="12436" xr:uid="{85B825E9-1567-4EFB-ABED-629748CF2B40}"/>
    <cellStyle name="Normal 4 2 2 5 2 4 3" xfId="3331" xr:uid="{819FC4C8-01BC-4693-885D-80E8060A6DBF}"/>
    <cellStyle name="Normal 4 2 2 5 2 4 3 2" xfId="12439" xr:uid="{FCC69BBA-36FD-45D6-9411-1B2FCC66024D}"/>
    <cellStyle name="Normal 4 2 2 5 2 4 4" xfId="3332" xr:uid="{9293F598-259A-4021-AF02-D99C7AA2FAE8}"/>
    <cellStyle name="Normal 4 2 2 5 2 4 4 2" xfId="12440" xr:uid="{30E1E965-2819-4D03-B2E8-3E744324731E}"/>
    <cellStyle name="Normal 4 2 2 5 2 4 5" xfId="3333" xr:uid="{188C7CAC-AFA2-4E86-B234-D0C58A89B9CF}"/>
    <cellStyle name="Normal 4 2 2 5 2 4 5 2" xfId="12441" xr:uid="{5A7026E2-F2F8-4934-9BD8-CFC7369BAA30}"/>
    <cellStyle name="Normal 4 2 2 5 2 4 6" xfId="12435" xr:uid="{4878C09F-F548-4FF5-9B10-C60C7AE0415D}"/>
    <cellStyle name="Normal 4 2 2 5 2 5" xfId="3334" xr:uid="{ED74DC86-3C89-4D65-9DF3-626337199DE6}"/>
    <cellStyle name="Normal 4 2 2 5 2 5 2" xfId="3335" xr:uid="{C4A2BB16-A74A-4156-AB0D-3FA3600E2A2B}"/>
    <cellStyle name="Normal 4 2 2 5 2 5 2 2" xfId="12443" xr:uid="{D6C435FE-05E5-44FA-86FE-8A472AA8906A}"/>
    <cellStyle name="Normal 4 2 2 5 2 5 3" xfId="3336" xr:uid="{6E90581A-923F-4158-B827-67F053D949C2}"/>
    <cellStyle name="Normal 4 2 2 5 2 5 3 2" xfId="12444" xr:uid="{B5378D65-479F-48DD-A2DB-88F2D14973BF}"/>
    <cellStyle name="Normal 4 2 2 5 2 5 4" xfId="12442" xr:uid="{EF92F11E-D383-4048-BF28-EF01F6DF2257}"/>
    <cellStyle name="Normal 4 2 2 5 2 6" xfId="3337" xr:uid="{6BAFF280-D1B7-46ED-8BF1-530F02814D4A}"/>
    <cellStyle name="Normal 4 2 2 5 2 6 2" xfId="12445" xr:uid="{2B25F1DF-07B5-4C6C-B686-3713DA7AD6D6}"/>
    <cellStyle name="Normal 4 2 2 5 2 7" xfId="3338" xr:uid="{B2B87587-FAE1-4BE2-9205-02A7FB45F538}"/>
    <cellStyle name="Normal 4 2 2 5 2 7 2" xfId="12446" xr:uid="{48517FAF-73EE-41D0-8895-7E3174E74D2D}"/>
    <cellStyle name="Normal 4 2 2 5 2 8" xfId="3339" xr:uid="{DB8558E9-8C3F-4B29-A11A-85ADDC5142F7}"/>
    <cellStyle name="Normal 4 2 2 5 2 8 2" xfId="12447" xr:uid="{421D0D98-9EE1-4B11-A1F2-43C7D3D9C218}"/>
    <cellStyle name="Normal 4 2 2 5 2 9" xfId="12406" xr:uid="{A68F2033-AFD9-47F3-96EB-2A5CCD15C3C0}"/>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2 2" xfId="12451" xr:uid="{D155E603-9755-426C-8ECB-E3F20C09EFEB}"/>
    <cellStyle name="Normal 4 2 2 5 3 2 2 3" xfId="3344" xr:uid="{DF7220C7-6D18-41D1-B1A1-685D3BC04051}"/>
    <cellStyle name="Normal 4 2 2 5 3 2 2 3 2" xfId="12452" xr:uid="{49699544-6E96-47BB-8042-35C15F9C7EAA}"/>
    <cellStyle name="Normal 4 2 2 5 3 2 2 4" xfId="12450" xr:uid="{7B8A8C16-24DF-4C0C-A390-AF8CD0B32E34}"/>
    <cellStyle name="Normal 4 2 2 5 3 2 3" xfId="3345" xr:uid="{8BF1F3D3-C877-4BC5-B6EE-1EFFE77D20A9}"/>
    <cellStyle name="Normal 4 2 2 5 3 2 3 2" xfId="12453" xr:uid="{955C9E97-B8D6-4663-AF10-6AB511CC380F}"/>
    <cellStyle name="Normal 4 2 2 5 3 2 4" xfId="3346" xr:uid="{88A6BAE7-6235-4C29-8306-7E3241D54111}"/>
    <cellStyle name="Normal 4 2 2 5 3 2 4 2" xfId="12454" xr:uid="{BCF84999-D20C-45E0-8846-03F14B858B1F}"/>
    <cellStyle name="Normal 4 2 2 5 3 2 5" xfId="3347" xr:uid="{E2496770-B1EA-40B3-B288-3BA840E3D863}"/>
    <cellStyle name="Normal 4 2 2 5 3 2 5 2" xfId="12455" xr:uid="{8F5BED45-658B-4881-8539-6E9AC4210B3F}"/>
    <cellStyle name="Normal 4 2 2 5 3 2 6" xfId="12449" xr:uid="{809906E1-976B-4AA7-8004-58D3175FFD32}"/>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2 2" xfId="12458" xr:uid="{37DA6B44-C072-4BD4-8300-86FAAB02B758}"/>
    <cellStyle name="Normal 4 2 2 5 3 3 2 3" xfId="3351" xr:uid="{3A81E209-77BF-44FB-934B-E84BD844BEA0}"/>
    <cellStyle name="Normal 4 2 2 5 3 3 2 3 2" xfId="12459" xr:uid="{6C6FD72E-80C4-496E-8096-63BD920AC86F}"/>
    <cellStyle name="Normal 4 2 2 5 3 3 2 4" xfId="12457" xr:uid="{3B8DEE34-D798-4ED9-82EF-90FB96AF2B81}"/>
    <cellStyle name="Normal 4 2 2 5 3 3 3" xfId="3352" xr:uid="{5A4E07FB-0DFD-4173-83C2-7F401E8761DA}"/>
    <cellStyle name="Normal 4 2 2 5 3 3 3 2" xfId="12460" xr:uid="{41166168-0E22-490D-928E-025382EA68BB}"/>
    <cellStyle name="Normal 4 2 2 5 3 3 4" xfId="3353" xr:uid="{3FB5A666-AEA9-4001-8F9B-5202A6FAD8D9}"/>
    <cellStyle name="Normal 4 2 2 5 3 3 4 2" xfId="12461" xr:uid="{A40DB652-9452-4BEE-A412-1EBF75DC8CD1}"/>
    <cellStyle name="Normal 4 2 2 5 3 3 5" xfId="3354" xr:uid="{AF9D0B36-7975-4AF4-9D5A-2CD850E6EFC7}"/>
    <cellStyle name="Normal 4 2 2 5 3 3 5 2" xfId="12462" xr:uid="{2E4EE5A4-9B77-46EC-9508-59F0D197537D}"/>
    <cellStyle name="Normal 4 2 2 5 3 3 6" xfId="12456" xr:uid="{7E363C4D-914A-4631-BC5B-85E232E78784}"/>
    <cellStyle name="Normal 4 2 2 5 3 4" xfId="3355" xr:uid="{90B7DD0E-0397-474B-BA93-D6B87106ED66}"/>
    <cellStyle name="Normal 4 2 2 5 3 4 2" xfId="3356" xr:uid="{5FB89FE0-04C6-4FF2-84B7-861C9BE726C4}"/>
    <cellStyle name="Normal 4 2 2 5 3 4 2 2" xfId="12464" xr:uid="{732F3D1A-5305-4AAA-84E5-D49B1F1F4C4D}"/>
    <cellStyle name="Normal 4 2 2 5 3 4 3" xfId="3357" xr:uid="{835F115E-B3DB-4B25-B849-7EB3B9B5465E}"/>
    <cellStyle name="Normal 4 2 2 5 3 4 3 2" xfId="12465" xr:uid="{309AC443-407F-4537-BBFF-20C2187141C3}"/>
    <cellStyle name="Normal 4 2 2 5 3 4 4" xfId="12463" xr:uid="{3022480F-D6C4-4D35-8565-E501D0CAB3D0}"/>
    <cellStyle name="Normal 4 2 2 5 3 5" xfId="3358" xr:uid="{BD644B71-B29A-40AF-8D73-3543FC7B98C3}"/>
    <cellStyle name="Normal 4 2 2 5 3 5 2" xfId="12466" xr:uid="{1EA5147D-5276-4F8D-AA14-EB2ED0F54E7F}"/>
    <cellStyle name="Normal 4 2 2 5 3 6" xfId="3359" xr:uid="{1EBC2E09-C0E3-48E2-8AFE-4ECA5174B39D}"/>
    <cellStyle name="Normal 4 2 2 5 3 6 2" xfId="12467" xr:uid="{1D28C772-6AC7-4DC0-AA0C-7EA9677ABF79}"/>
    <cellStyle name="Normal 4 2 2 5 3 7" xfId="3360" xr:uid="{F2D8E070-CCF0-4486-B9FC-B7515EA04A90}"/>
    <cellStyle name="Normal 4 2 2 5 3 7 2" xfId="12468" xr:uid="{F854F3CC-A162-4DA2-A775-4CA50E86CAC1}"/>
    <cellStyle name="Normal 4 2 2 5 3 8" xfId="12448" xr:uid="{E2039CA1-1993-462D-A6EB-59C319D618BD}"/>
    <cellStyle name="Normal 4 2 2 5 4" xfId="3361" xr:uid="{4D4D413F-561D-410A-A8D7-C4176A0D42AE}"/>
    <cellStyle name="Normal 4 2 2 5 4 2" xfId="3362" xr:uid="{22FA6147-862E-4205-AFC6-DA7A5AB68223}"/>
    <cellStyle name="Normal 4 2 2 5 4 2 2" xfId="3363" xr:uid="{F21E0DE8-1ACB-488B-ABA2-3B5CBDECB1CF}"/>
    <cellStyle name="Normal 4 2 2 5 4 2 2 2" xfId="12471" xr:uid="{BC4F6B71-6952-452C-83D6-55A7344FFA68}"/>
    <cellStyle name="Normal 4 2 2 5 4 2 3" xfId="3364" xr:uid="{F6BA6583-38CD-4842-87D1-69A40326C7FE}"/>
    <cellStyle name="Normal 4 2 2 5 4 2 3 2" xfId="12472" xr:uid="{95A314CA-91FB-4ADE-9281-AE643FD36072}"/>
    <cellStyle name="Normal 4 2 2 5 4 2 4" xfId="12470" xr:uid="{D4C5CED7-53AB-42DA-9906-BAE500406E22}"/>
    <cellStyle name="Normal 4 2 2 5 4 3" xfId="3365" xr:uid="{5ADCB00C-AA39-4888-9F96-4D89AD4EF5B1}"/>
    <cellStyle name="Normal 4 2 2 5 4 3 2" xfId="12473" xr:uid="{58C81DD0-1DE9-4E51-821F-21BAAD247B0A}"/>
    <cellStyle name="Normal 4 2 2 5 4 4" xfId="3366" xr:uid="{8C86D131-6AA4-4B48-BD30-F6D62FC817BE}"/>
    <cellStyle name="Normal 4 2 2 5 4 4 2" xfId="12474" xr:uid="{D4F753F0-E2D2-4281-96BE-87DE9D852B63}"/>
    <cellStyle name="Normal 4 2 2 5 4 5" xfId="3367" xr:uid="{5DF57FB6-F2A3-42FE-BE82-F3807B64F023}"/>
    <cellStyle name="Normal 4 2 2 5 4 5 2" xfId="12475" xr:uid="{2FA7BD7B-F3B5-4879-860D-C5C7351A68A3}"/>
    <cellStyle name="Normal 4 2 2 5 4 6" xfId="12469" xr:uid="{05B4C645-03A4-479A-82B2-E03CAECC177C}"/>
    <cellStyle name="Normal 4 2 2 5 5" xfId="3368" xr:uid="{D5C25A43-B8D7-4A8E-A732-2DF6CC994443}"/>
    <cellStyle name="Normal 4 2 2 5 5 2" xfId="3369" xr:uid="{17028C8D-AC0B-44D6-857B-71AE261D5D50}"/>
    <cellStyle name="Normal 4 2 2 5 5 2 2" xfId="3370" xr:uid="{9AD05A27-001C-4062-81F3-430F3383B23E}"/>
    <cellStyle name="Normal 4 2 2 5 5 2 2 2" xfId="12478" xr:uid="{24FC4BEF-2022-46D6-9246-1FBE18831479}"/>
    <cellStyle name="Normal 4 2 2 5 5 2 3" xfId="3371" xr:uid="{EBBE667E-0553-4D55-AC18-0386DA9330DE}"/>
    <cellStyle name="Normal 4 2 2 5 5 2 3 2" xfId="12479" xr:uid="{B45F3F73-4B39-407F-9788-C251EBD19445}"/>
    <cellStyle name="Normal 4 2 2 5 5 2 4" xfId="12477" xr:uid="{A6202551-7E85-4B5C-9A66-0B301C1FEC84}"/>
    <cellStyle name="Normal 4 2 2 5 5 3" xfId="3372" xr:uid="{DD13D6FE-2AAA-4ED0-AEBD-99AB0B4B544B}"/>
    <cellStyle name="Normal 4 2 2 5 5 3 2" xfId="12480" xr:uid="{EAC8B097-C447-40D8-8179-E6FC9DEF8EDC}"/>
    <cellStyle name="Normal 4 2 2 5 5 4" xfId="3373" xr:uid="{5BAAB560-3448-4885-AAF9-B28FF1B2DE6B}"/>
    <cellStyle name="Normal 4 2 2 5 5 4 2" xfId="12481" xr:uid="{A77FD0E1-89BF-419F-A07C-DB8A7DD14BA3}"/>
    <cellStyle name="Normal 4 2 2 5 5 5" xfId="3374" xr:uid="{18061CA3-3877-4E8B-ADF4-2E89B10C29AA}"/>
    <cellStyle name="Normal 4 2 2 5 5 5 2" xfId="12482" xr:uid="{933D103C-8E80-492F-86A8-4580D7E1D354}"/>
    <cellStyle name="Normal 4 2 2 5 5 6" xfId="12476" xr:uid="{3F3F329C-460C-422B-84BF-2EDFEFD42D1D}"/>
    <cellStyle name="Normal 4 2 2 5 6" xfId="3375" xr:uid="{E4E65065-B254-4DC7-A92D-73F53F1FC415}"/>
    <cellStyle name="Normal 4 2 2 5 6 2" xfId="3376" xr:uid="{3842FE94-DC78-49EE-8DCC-647E2710D05E}"/>
    <cellStyle name="Normal 4 2 2 5 6 2 2" xfId="12484" xr:uid="{19AE845B-AA55-4889-B911-7F5C403FA072}"/>
    <cellStyle name="Normal 4 2 2 5 6 3" xfId="3377" xr:uid="{D2FD60C1-83C3-43D6-A040-96EE25BA2814}"/>
    <cellStyle name="Normal 4 2 2 5 6 3 2" xfId="12485" xr:uid="{FE0A8E0D-4A55-4DBA-A4A5-2C9FB96C64D6}"/>
    <cellStyle name="Normal 4 2 2 5 6 4" xfId="12483" xr:uid="{E6FF07F3-C712-4CC0-8A73-A0BB8E6BFBD2}"/>
    <cellStyle name="Normal 4 2 2 5 7" xfId="3378" xr:uid="{7DA7B3C2-8295-4FA8-A86B-7C458C546037}"/>
    <cellStyle name="Normal 4 2 2 5 7 2" xfId="12486" xr:uid="{A610AFAE-16CB-4450-AC58-07EE0F98CFB2}"/>
    <cellStyle name="Normal 4 2 2 5 8" xfId="3379" xr:uid="{AADCB41B-BCF9-4B60-BA8F-FC808FCB1EDD}"/>
    <cellStyle name="Normal 4 2 2 5 8 2" xfId="12487" xr:uid="{D105779C-1779-419F-8BE8-257332E8AF8B}"/>
    <cellStyle name="Normal 4 2 2 5 9" xfId="3380" xr:uid="{92D00242-B658-4720-991D-6846B328BE0C}"/>
    <cellStyle name="Normal 4 2 2 5 9 2" xfId="12488" xr:uid="{98E32E8F-7D41-4FDC-81BB-3CD9756BC867}"/>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2 2" xfId="12493" xr:uid="{DF5EFCC8-B078-4443-BC29-BDA27315BC59}"/>
    <cellStyle name="Normal 4 2 2 6 2 2 2 3" xfId="3386" xr:uid="{A7A4E55D-4503-4C13-81FF-BA5566A93B4F}"/>
    <cellStyle name="Normal 4 2 2 6 2 2 2 3 2" xfId="12494" xr:uid="{4FAA9B90-CBA0-4B7D-9706-55AD81021123}"/>
    <cellStyle name="Normal 4 2 2 6 2 2 2 4" xfId="12492" xr:uid="{CA831431-264B-4739-8E2E-403B02DBD32F}"/>
    <cellStyle name="Normal 4 2 2 6 2 2 3" xfId="3387" xr:uid="{56939029-9688-4EA7-BE1D-153AF0642FC8}"/>
    <cellStyle name="Normal 4 2 2 6 2 2 3 2" xfId="12495" xr:uid="{60E65C89-9C22-4C22-9FC6-95E07A78340B}"/>
    <cellStyle name="Normal 4 2 2 6 2 2 4" xfId="3388" xr:uid="{4A0900E1-F094-43FC-94A8-FA9DA1B4393B}"/>
    <cellStyle name="Normal 4 2 2 6 2 2 4 2" xfId="12496" xr:uid="{5F5FB11C-B4A2-40A2-9FE7-9308D6165235}"/>
    <cellStyle name="Normal 4 2 2 6 2 2 5" xfId="3389" xr:uid="{66EFB9D8-4452-4AAD-92D5-3EE41A8022C6}"/>
    <cellStyle name="Normal 4 2 2 6 2 2 5 2" xfId="12497" xr:uid="{1B76B326-D182-4FD9-B1F4-7F6A72782C52}"/>
    <cellStyle name="Normal 4 2 2 6 2 2 6" xfId="12491" xr:uid="{B341B26C-9C78-4154-8FC7-9EBBC8F046B8}"/>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2 2" xfId="12500" xr:uid="{36D4D680-65A0-49E1-B15B-8BCBEE717E44}"/>
    <cellStyle name="Normal 4 2 2 6 2 3 2 3" xfId="3393" xr:uid="{4FE164BD-1AD6-4624-AF13-3EA6D52C56DA}"/>
    <cellStyle name="Normal 4 2 2 6 2 3 2 3 2" xfId="12501" xr:uid="{6E489038-5AE3-47DD-865A-1331D61EA11A}"/>
    <cellStyle name="Normal 4 2 2 6 2 3 2 4" xfId="12499" xr:uid="{077007D8-7593-496A-B09C-3DBD61DCAE0F}"/>
    <cellStyle name="Normal 4 2 2 6 2 3 3" xfId="3394" xr:uid="{912FD360-AFB7-4A09-BCF1-59793D49D1A2}"/>
    <cellStyle name="Normal 4 2 2 6 2 3 3 2" xfId="12502" xr:uid="{59955B68-5695-4978-865F-F01ABDDF42DB}"/>
    <cellStyle name="Normal 4 2 2 6 2 3 4" xfId="3395" xr:uid="{410F1EFF-8B3F-47BA-B783-7834323C407B}"/>
    <cellStyle name="Normal 4 2 2 6 2 3 4 2" xfId="12503" xr:uid="{A0DA9D47-30D1-41C5-A2FE-FB9E6C209645}"/>
    <cellStyle name="Normal 4 2 2 6 2 3 5" xfId="3396" xr:uid="{7F47584B-4040-49C9-AD63-0A43E777C2CE}"/>
    <cellStyle name="Normal 4 2 2 6 2 3 5 2" xfId="12504" xr:uid="{E5AFD0B5-DE68-4582-89C1-5E0744E835DB}"/>
    <cellStyle name="Normal 4 2 2 6 2 3 6" xfId="12498" xr:uid="{80933FA0-CDD5-4BB7-8475-431BCFB30534}"/>
    <cellStyle name="Normal 4 2 2 6 2 4" xfId="3397" xr:uid="{DCA2CDA6-02B9-4DCC-A0BA-AAF517CE657D}"/>
    <cellStyle name="Normal 4 2 2 6 2 4 2" xfId="3398" xr:uid="{E5E70D94-96B0-4879-B076-E5C7972BF490}"/>
    <cellStyle name="Normal 4 2 2 6 2 4 2 2" xfId="12506" xr:uid="{266699CB-602A-4FFA-A69E-03265DCF252F}"/>
    <cellStyle name="Normal 4 2 2 6 2 4 3" xfId="3399" xr:uid="{78393F8D-0773-40FB-960C-67662BBECFF8}"/>
    <cellStyle name="Normal 4 2 2 6 2 4 3 2" xfId="12507" xr:uid="{0C0AAEB1-C517-40CF-A0D1-21B8D3D08658}"/>
    <cellStyle name="Normal 4 2 2 6 2 4 4" xfId="12505" xr:uid="{732CEC67-040E-46F5-8536-912AF0871F78}"/>
    <cellStyle name="Normal 4 2 2 6 2 5" xfId="3400" xr:uid="{C49C0FAC-92D7-425F-9D62-8C2FA8F58EDA}"/>
    <cellStyle name="Normal 4 2 2 6 2 5 2" xfId="12508" xr:uid="{6CB48C4F-74E0-421C-A3AE-55BFF0F01FF1}"/>
    <cellStyle name="Normal 4 2 2 6 2 6" xfId="3401" xr:uid="{6189C807-11B0-4407-9D71-BC6CCCD85663}"/>
    <cellStyle name="Normal 4 2 2 6 2 6 2" xfId="12509" xr:uid="{09AE0F4A-DEB9-45FA-A50B-075A7FDBF9EF}"/>
    <cellStyle name="Normal 4 2 2 6 2 7" xfId="3402" xr:uid="{B8C82A64-9FE7-4F0B-A86C-E933E72BD7FE}"/>
    <cellStyle name="Normal 4 2 2 6 2 7 2" xfId="12510" xr:uid="{F98B8BB1-FD82-4DA2-BA6D-BB2004E77FDE}"/>
    <cellStyle name="Normal 4 2 2 6 2 8" xfId="12490" xr:uid="{9E9A9EF2-B755-425C-9390-9F38E520D064}"/>
    <cellStyle name="Normal 4 2 2 6 3" xfId="3403" xr:uid="{06AA5A32-952A-4F25-99DA-980111CBFA75}"/>
    <cellStyle name="Normal 4 2 2 6 3 2" xfId="3404" xr:uid="{B1AC245C-9E88-44DE-B111-5839E4D85A91}"/>
    <cellStyle name="Normal 4 2 2 6 3 2 2" xfId="3405" xr:uid="{BACA79F0-36F1-4AB8-BB84-ADD7D7040149}"/>
    <cellStyle name="Normal 4 2 2 6 3 2 2 2" xfId="12513" xr:uid="{262639DD-3D99-4BA3-BCC8-8C546F1CB6FF}"/>
    <cellStyle name="Normal 4 2 2 6 3 2 3" xfId="3406" xr:uid="{F6B54C9B-39E3-4E8C-9DB1-3802B6A62FA3}"/>
    <cellStyle name="Normal 4 2 2 6 3 2 3 2" xfId="12514" xr:uid="{87956299-62C0-48D2-8A07-214BA71E2AE4}"/>
    <cellStyle name="Normal 4 2 2 6 3 2 4" xfId="12512" xr:uid="{5AB54731-BE26-4D4E-8241-238271E710C1}"/>
    <cellStyle name="Normal 4 2 2 6 3 3" xfId="3407" xr:uid="{5052CCC4-DF89-4C37-9D28-375B0872767C}"/>
    <cellStyle name="Normal 4 2 2 6 3 3 2" xfId="12515" xr:uid="{B5870605-86C4-41D1-A72F-410A739F48AF}"/>
    <cellStyle name="Normal 4 2 2 6 3 4" xfId="3408" xr:uid="{B48CCECE-75C6-448C-B689-03892C3BA883}"/>
    <cellStyle name="Normal 4 2 2 6 3 4 2" xfId="12516" xr:uid="{5F2E1410-373A-48C7-B022-200D502A29D8}"/>
    <cellStyle name="Normal 4 2 2 6 3 5" xfId="3409" xr:uid="{CD784AFE-CDF2-431C-9145-7CFF670910ED}"/>
    <cellStyle name="Normal 4 2 2 6 3 5 2" xfId="12517" xr:uid="{A81BE49F-7AF6-412E-BA5C-02223600BF6A}"/>
    <cellStyle name="Normal 4 2 2 6 3 6" xfId="12511" xr:uid="{F2BA24D0-E96F-4AB9-B97A-4A476668A072}"/>
    <cellStyle name="Normal 4 2 2 6 4" xfId="3410" xr:uid="{56D31CF3-212C-437B-A10B-987924C93DD7}"/>
    <cellStyle name="Normal 4 2 2 6 4 2" xfId="3411" xr:uid="{95EFB778-36EB-4975-B99D-3FA3E33A87A5}"/>
    <cellStyle name="Normal 4 2 2 6 4 2 2" xfId="3412" xr:uid="{E0EEE036-CE53-4C46-A596-7EFD0288505E}"/>
    <cellStyle name="Normal 4 2 2 6 4 2 2 2" xfId="12520" xr:uid="{6FC26035-023D-4D9E-9AD5-E0F30945E385}"/>
    <cellStyle name="Normal 4 2 2 6 4 2 3" xfId="3413" xr:uid="{2321FCD0-9D69-435A-8719-F582812727B1}"/>
    <cellStyle name="Normal 4 2 2 6 4 2 3 2" xfId="12521" xr:uid="{789C688E-94CE-4323-97D7-37E1433FB4C5}"/>
    <cellStyle name="Normal 4 2 2 6 4 2 4" xfId="12519" xr:uid="{5C4A099B-002F-445D-ADEC-40715716D02D}"/>
    <cellStyle name="Normal 4 2 2 6 4 3" xfId="3414" xr:uid="{08AFD70F-4BE0-4586-ACFE-42CC8C7DB999}"/>
    <cellStyle name="Normal 4 2 2 6 4 3 2" xfId="12522" xr:uid="{59508594-AC3E-413C-8661-803037117F52}"/>
    <cellStyle name="Normal 4 2 2 6 4 4" xfId="3415" xr:uid="{718F53F0-80D2-45BC-93BC-A0D5BFE3DA6E}"/>
    <cellStyle name="Normal 4 2 2 6 4 4 2" xfId="12523" xr:uid="{CB68FEE5-0A0D-484D-BDA3-919563C5FAFE}"/>
    <cellStyle name="Normal 4 2 2 6 4 5" xfId="3416" xr:uid="{0070D6CE-DFB1-47F9-BD3D-4D78A4F976BC}"/>
    <cellStyle name="Normal 4 2 2 6 4 5 2" xfId="12524" xr:uid="{FE0E11F2-1754-43C2-87E3-2A86BF0E4143}"/>
    <cellStyle name="Normal 4 2 2 6 4 6" xfId="12518" xr:uid="{67B5166C-4243-4EE7-BF13-B5B266F6B8A4}"/>
    <cellStyle name="Normal 4 2 2 6 5" xfId="3417" xr:uid="{50A7B1B7-6620-4636-915D-AE354A9AA239}"/>
    <cellStyle name="Normal 4 2 2 6 5 2" xfId="3418" xr:uid="{8C7EC5B5-8FF4-46AF-80F0-6AB28260771B}"/>
    <cellStyle name="Normal 4 2 2 6 5 2 2" xfId="12526" xr:uid="{9DB08E77-E23A-48D2-8383-C415ECB99602}"/>
    <cellStyle name="Normal 4 2 2 6 5 3" xfId="3419" xr:uid="{68766BBA-85DE-411D-9253-2EAE50AC6048}"/>
    <cellStyle name="Normal 4 2 2 6 5 3 2" xfId="12527" xr:uid="{425E4547-0B34-4F5F-9E7B-6B4456646DD5}"/>
    <cellStyle name="Normal 4 2 2 6 5 4" xfId="12525" xr:uid="{283D1D47-3867-4C01-9E25-AAD27C2516A6}"/>
    <cellStyle name="Normal 4 2 2 6 6" xfId="3420" xr:uid="{A2C65BD8-F4CA-45E3-8274-BD409890D872}"/>
    <cellStyle name="Normal 4 2 2 6 6 2" xfId="12528" xr:uid="{81437A34-3603-4427-88AC-90008CF09B4B}"/>
    <cellStyle name="Normal 4 2 2 6 7" xfId="3421" xr:uid="{53F82548-CF72-462A-8409-99095F476B4F}"/>
    <cellStyle name="Normal 4 2 2 6 7 2" xfId="12529" xr:uid="{7889005F-40AE-4212-80EB-3FE11CC9C133}"/>
    <cellStyle name="Normal 4 2 2 6 8" xfId="3422" xr:uid="{1D4384F4-66DF-4D14-B2D3-4CA6F1ADD98C}"/>
    <cellStyle name="Normal 4 2 2 6 8 2" xfId="12530" xr:uid="{19368759-76D6-4E48-B2AB-D0E1C14AD269}"/>
    <cellStyle name="Normal 4 2 2 6 9" xfId="12489" xr:uid="{294FFA60-BB77-48BE-8772-1FCF7A800BD2}"/>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2 2" xfId="12534" xr:uid="{89DA0D95-F05A-44E6-8563-E6EA9219AEB8}"/>
    <cellStyle name="Normal 4 2 2 7 2 2 3" xfId="3427" xr:uid="{9D3955FD-40FA-4B39-90FA-26320BC32E01}"/>
    <cellStyle name="Normal 4 2 2 7 2 2 3 2" xfId="12535" xr:uid="{9195D9E2-D5ED-4D7D-87CF-0B59F5F830C0}"/>
    <cellStyle name="Normal 4 2 2 7 2 2 4" xfId="12533" xr:uid="{CB0A0BAD-EA84-4E97-ACB9-81CB1E32C64C}"/>
    <cellStyle name="Normal 4 2 2 7 2 3" xfId="3428" xr:uid="{6CDBC183-0FB9-41CC-B307-96781F9A4526}"/>
    <cellStyle name="Normal 4 2 2 7 2 3 2" xfId="12536" xr:uid="{58BDC64D-CD49-4547-9B7F-C3BA4B6728D8}"/>
    <cellStyle name="Normal 4 2 2 7 2 4" xfId="3429" xr:uid="{AD9ED781-ECF3-49D2-973C-32FEB3D29882}"/>
    <cellStyle name="Normal 4 2 2 7 2 4 2" xfId="12537" xr:uid="{3EF09F86-AE32-4C73-BE84-28DB68478852}"/>
    <cellStyle name="Normal 4 2 2 7 2 5" xfId="3430" xr:uid="{9F79A6B0-781E-43EE-8DB8-18B2754DA662}"/>
    <cellStyle name="Normal 4 2 2 7 2 5 2" xfId="12538" xr:uid="{5643CB10-434C-429E-AAC9-1A133ABB04AE}"/>
    <cellStyle name="Normal 4 2 2 7 2 6" xfId="12532" xr:uid="{D1E86B69-0AFE-455A-AF52-2720F2D3FF1D}"/>
    <cellStyle name="Normal 4 2 2 7 3" xfId="3431" xr:uid="{94FACFBD-3945-4A30-8C68-CB45512F5D01}"/>
    <cellStyle name="Normal 4 2 2 7 3 2" xfId="3432" xr:uid="{0FCFD727-96D6-49C4-9D8B-AAC12F03965C}"/>
    <cellStyle name="Normal 4 2 2 7 3 2 2" xfId="3433" xr:uid="{6B76DA0A-6C36-46BE-BB8D-2D67A9DE7B2D}"/>
    <cellStyle name="Normal 4 2 2 7 3 2 2 2" xfId="12541" xr:uid="{6BA5C52C-40F1-4678-9002-987FB53A5034}"/>
    <cellStyle name="Normal 4 2 2 7 3 2 3" xfId="3434" xr:uid="{0B98A05D-F27B-4B0B-868B-E14E5A8617A0}"/>
    <cellStyle name="Normal 4 2 2 7 3 2 3 2" xfId="12542" xr:uid="{1481B1E8-9201-4921-86EE-3A6E9B8E9BFF}"/>
    <cellStyle name="Normal 4 2 2 7 3 2 4" xfId="12540" xr:uid="{05628B49-08CC-4495-896D-88BEB8D2EB8D}"/>
    <cellStyle name="Normal 4 2 2 7 3 3" xfId="3435" xr:uid="{23EA99C8-9120-4460-BBBC-4F95152B1B5F}"/>
    <cellStyle name="Normal 4 2 2 7 3 3 2" xfId="12543" xr:uid="{8F7AD1EE-24AD-422A-B0F3-5E087A37B080}"/>
    <cellStyle name="Normal 4 2 2 7 3 4" xfId="3436" xr:uid="{C829178E-095F-4172-B61C-290B5FC51333}"/>
    <cellStyle name="Normal 4 2 2 7 3 4 2" xfId="12544" xr:uid="{EE43C4D0-1295-4720-A838-F80F7B94ED9B}"/>
    <cellStyle name="Normal 4 2 2 7 3 5" xfId="3437" xr:uid="{468CE662-46E4-45F9-9130-D51A0F5A644C}"/>
    <cellStyle name="Normal 4 2 2 7 3 5 2" xfId="12545" xr:uid="{77F4CF07-B2C7-47A8-B3D6-1A8F05A07F0E}"/>
    <cellStyle name="Normal 4 2 2 7 3 6" xfId="12539" xr:uid="{83EF9A56-0C2A-43AC-8709-BDE1A0194530}"/>
    <cellStyle name="Normal 4 2 2 7 4" xfId="3438" xr:uid="{77EDD920-6F65-4C82-A605-21CB805848F3}"/>
    <cellStyle name="Normal 4 2 2 7 4 2" xfId="3439" xr:uid="{68A88887-B156-40EE-8E97-8BDF6FC898B9}"/>
    <cellStyle name="Normal 4 2 2 7 4 2 2" xfId="12547" xr:uid="{EB9EE3DE-1046-4529-9DEC-4856258E0B65}"/>
    <cellStyle name="Normal 4 2 2 7 4 3" xfId="3440" xr:uid="{8F68EE7D-58D7-4444-B577-EDE628DDAD46}"/>
    <cellStyle name="Normal 4 2 2 7 4 3 2" xfId="12548" xr:uid="{98B3BCEC-A4DE-4DB5-B84B-5B867A8C4928}"/>
    <cellStyle name="Normal 4 2 2 7 4 4" xfId="12546" xr:uid="{BE52CF88-9DC2-402F-90EC-73DF962A8350}"/>
    <cellStyle name="Normal 4 2 2 7 5" xfId="3441" xr:uid="{8EDA864D-CDD2-4435-94F8-40E10AEC6E99}"/>
    <cellStyle name="Normal 4 2 2 7 5 2" xfId="12549" xr:uid="{7527CD57-5416-4992-A695-6EB851FA5F9F}"/>
    <cellStyle name="Normal 4 2 2 7 6" xfId="3442" xr:uid="{3546D33D-E0AC-4ED9-AC98-DF22488FDB4A}"/>
    <cellStyle name="Normal 4 2 2 7 6 2" xfId="12550" xr:uid="{B24F0A50-BADA-43F8-8D21-B6B44B11B437}"/>
    <cellStyle name="Normal 4 2 2 7 7" xfId="3443" xr:uid="{F95A0440-44DF-400F-9A6E-A56BCE112787}"/>
    <cellStyle name="Normal 4 2 2 7 7 2" xfId="12551" xr:uid="{B729FFBE-D3D7-4EAC-8BB8-29C6740EB1DA}"/>
    <cellStyle name="Normal 4 2 2 7 8" xfId="12531" xr:uid="{FD8D8F60-FBDA-47BB-8539-3C5518CDC91E}"/>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2 2" xfId="12555" xr:uid="{F068A170-4A20-40A9-8A90-6A19A6DA0791}"/>
    <cellStyle name="Normal 4 2 2 8 2 2 3" xfId="3448" xr:uid="{621929EE-CD9E-4665-8393-C0847F0675F3}"/>
    <cellStyle name="Normal 4 2 2 8 2 2 3 2" xfId="12556" xr:uid="{1723B70F-E390-4D92-BAEC-D743985D015D}"/>
    <cellStyle name="Normal 4 2 2 8 2 2 4" xfId="12554" xr:uid="{6AD7C934-FDE8-4928-AE1E-1CF6570EAB3F}"/>
    <cellStyle name="Normal 4 2 2 8 2 3" xfId="3449" xr:uid="{E6850A21-62B5-4D8E-9AA2-1E53D8D7304C}"/>
    <cellStyle name="Normal 4 2 2 8 2 3 2" xfId="12557" xr:uid="{6F202323-2F2B-42C3-99D3-EB791A925FDE}"/>
    <cellStyle name="Normal 4 2 2 8 2 4" xfId="3450" xr:uid="{950A60F1-6BD7-45B7-BDE1-3FCCE59F63C1}"/>
    <cellStyle name="Normal 4 2 2 8 2 4 2" xfId="12558" xr:uid="{DA2EC8E6-A800-4FDC-B0C4-2C9F84135705}"/>
    <cellStyle name="Normal 4 2 2 8 2 5" xfId="3451" xr:uid="{AC893596-556D-4FB1-88F5-901C3CAB737F}"/>
    <cellStyle name="Normal 4 2 2 8 2 5 2" xfId="12559" xr:uid="{B3F18730-0331-428E-863A-9951F90760A9}"/>
    <cellStyle name="Normal 4 2 2 8 2 6" xfId="12553" xr:uid="{6D960C5C-0AF1-4203-B3AA-403FA1DD05D5}"/>
    <cellStyle name="Normal 4 2 2 8 3" xfId="3452" xr:uid="{0DBDE312-816C-4837-AE86-9BABBF834F8F}"/>
    <cellStyle name="Normal 4 2 2 8 3 2" xfId="3453" xr:uid="{4591CD9D-0B44-42E9-A450-594F1EBDCB80}"/>
    <cellStyle name="Normal 4 2 2 8 3 2 2" xfId="3454" xr:uid="{C680EC20-449A-4CEB-BB2A-EB93AB7EE008}"/>
    <cellStyle name="Normal 4 2 2 8 3 2 2 2" xfId="12562" xr:uid="{DBAD05B0-39EB-4A7B-BBBF-0E0314BD7D2B}"/>
    <cellStyle name="Normal 4 2 2 8 3 2 3" xfId="3455" xr:uid="{DC67FB4E-C9EC-4A94-B424-DEC7F45353CC}"/>
    <cellStyle name="Normal 4 2 2 8 3 2 3 2" xfId="12563" xr:uid="{305812F4-8565-4F2D-8210-DD7BDE87A722}"/>
    <cellStyle name="Normal 4 2 2 8 3 2 4" xfId="12561" xr:uid="{E93B9583-0D2A-40C7-B8EF-AAEC6138C30A}"/>
    <cellStyle name="Normal 4 2 2 8 3 3" xfId="3456" xr:uid="{8746A74E-4758-4EA0-B573-9292437A435A}"/>
    <cellStyle name="Normal 4 2 2 8 3 3 2" xfId="12564" xr:uid="{F07D0E58-8B73-46DA-838E-69CB85E71749}"/>
    <cellStyle name="Normal 4 2 2 8 3 4" xfId="3457" xr:uid="{31EAD87E-EFAD-4AD1-8A89-EA5EF7F9520E}"/>
    <cellStyle name="Normal 4 2 2 8 3 4 2" xfId="12565" xr:uid="{6CA73CE3-983F-4ADE-9C45-6A78F3F932F8}"/>
    <cellStyle name="Normal 4 2 2 8 3 5" xfId="3458" xr:uid="{98E914F5-0016-4752-BE3F-2958508C8977}"/>
    <cellStyle name="Normal 4 2 2 8 3 5 2" xfId="12566" xr:uid="{6DB7FDA5-71E7-419E-B337-E4417FC8F60A}"/>
    <cellStyle name="Normal 4 2 2 8 3 6" xfId="12560" xr:uid="{410F978E-1121-4E0E-A682-0BCA0644B97A}"/>
    <cellStyle name="Normal 4 2 2 8 4" xfId="3459" xr:uid="{D8954F78-B374-4C37-A1C9-F77F0688004F}"/>
    <cellStyle name="Normal 4 2 2 8 4 2" xfId="3460" xr:uid="{CF54BF9C-0E06-42FD-9C9D-90374FC9092B}"/>
    <cellStyle name="Normal 4 2 2 8 4 2 2" xfId="12568" xr:uid="{05ADCB00-541E-42B3-86B1-7110737DDE6E}"/>
    <cellStyle name="Normal 4 2 2 8 4 3" xfId="3461" xr:uid="{6EFE1BFD-4256-4590-A22C-0D2FC3B9D839}"/>
    <cellStyle name="Normal 4 2 2 8 4 3 2" xfId="12569" xr:uid="{1AD0048B-91BC-4C55-9A6C-B413CE3F8695}"/>
    <cellStyle name="Normal 4 2 2 8 4 4" xfId="12567" xr:uid="{ACBA8319-BD49-41F4-871A-C1F0AE821651}"/>
    <cellStyle name="Normal 4 2 2 8 5" xfId="3462" xr:uid="{61DEB501-3B0D-4266-97D1-4750E1533D68}"/>
    <cellStyle name="Normal 4 2 2 8 5 2" xfId="12570" xr:uid="{683FB0F1-A476-4708-B08C-5CBD4B4B2C4E}"/>
    <cellStyle name="Normal 4 2 2 8 6" xfId="3463" xr:uid="{08342EB2-C8F7-4F8A-826E-A61EF457BDEF}"/>
    <cellStyle name="Normal 4 2 2 8 6 2" xfId="12571" xr:uid="{4270FBD0-C45E-4678-937F-3BB8CDD4472A}"/>
    <cellStyle name="Normal 4 2 2 8 7" xfId="3464" xr:uid="{D8764369-A603-43B4-9EE7-D227A1C702C7}"/>
    <cellStyle name="Normal 4 2 2 8 7 2" xfId="12572" xr:uid="{887D55B8-45E9-417B-B70C-E281BDA69F7A}"/>
    <cellStyle name="Normal 4 2 2 8 8" xfId="12552" xr:uid="{6B97D4F0-5E41-462B-94C3-3C24121ABD21}"/>
    <cellStyle name="Normal 4 2 2 9" xfId="3465" xr:uid="{7504F96E-6223-4D7E-B8CD-B8C10A6326B1}"/>
    <cellStyle name="Normal 4 2 2 9 2" xfId="3466" xr:uid="{88F08C3B-09A3-4601-8F12-85AD37863991}"/>
    <cellStyle name="Normal 4 2 2 9 2 2" xfId="3467" xr:uid="{E068D987-4A5E-4205-ADD0-B48D5DEA7B77}"/>
    <cellStyle name="Normal 4 2 2 9 2 2 2" xfId="12575" xr:uid="{8A0367D7-0827-4EB9-A858-3DE839BCCF9A}"/>
    <cellStyle name="Normal 4 2 2 9 2 3" xfId="3468" xr:uid="{68818B67-4E79-4BDA-86D2-3DB7AF56691A}"/>
    <cellStyle name="Normal 4 2 2 9 2 3 2" xfId="12576" xr:uid="{5204EA14-1080-4F28-BBE6-B4A7EB755F51}"/>
    <cellStyle name="Normal 4 2 2 9 2 4" xfId="12574" xr:uid="{40D7016E-D928-41C3-B857-105FFF0A65DD}"/>
    <cellStyle name="Normal 4 2 2 9 3" xfId="3469" xr:uid="{C1A38CCF-0C0F-43B6-96FB-600CFAA9BBE3}"/>
    <cellStyle name="Normal 4 2 2 9 3 2" xfId="12577" xr:uid="{F9DF7D34-19B7-4055-9AD6-4DBE78BC5585}"/>
    <cellStyle name="Normal 4 2 2 9 4" xfId="3470" xr:uid="{EB933091-F532-407D-B1D7-B3AA0EB31E9B}"/>
    <cellStyle name="Normal 4 2 2 9 4 2" xfId="12578" xr:uid="{5990864B-771E-480E-B11D-5901E9C98497}"/>
    <cellStyle name="Normal 4 2 2 9 5" xfId="3471" xr:uid="{8177B3F0-CA22-468F-BD76-1E1587CC4D74}"/>
    <cellStyle name="Normal 4 2 2 9 5 2" xfId="12579" xr:uid="{1DA47BD2-CD07-40DF-B93E-0E070CB139A6}"/>
    <cellStyle name="Normal 4 2 2 9 6" xfId="12573" xr:uid="{2579BDD6-D977-43B5-A86F-7672D9870E25}"/>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2 2" xfId="12583" xr:uid="{B384AD20-4ECC-41D7-836C-E95F7F82916B}"/>
    <cellStyle name="Normal 4 2 3 10 2 3" xfId="3476" xr:uid="{5B121B0D-BB6E-4808-81CB-0A202D83FD94}"/>
    <cellStyle name="Normal 4 2 3 10 2 3 2" xfId="12584" xr:uid="{E100F6BD-F2F1-4A2B-979B-AA060EA500DD}"/>
    <cellStyle name="Normal 4 2 3 10 2 4" xfId="12582" xr:uid="{EE87537D-D63C-4988-8074-17FB58138BCC}"/>
    <cellStyle name="Normal 4 2 3 10 3" xfId="3477" xr:uid="{24F3D1D5-A9BD-4B55-BC89-0099A6068B63}"/>
    <cellStyle name="Normal 4 2 3 10 3 2" xfId="12585" xr:uid="{CD0F48E0-488D-416E-AA32-A7BD59B203E2}"/>
    <cellStyle name="Normal 4 2 3 10 4" xfId="3478" xr:uid="{43DA6A9D-5F42-48DF-A331-725206BF4626}"/>
    <cellStyle name="Normal 4 2 3 10 4 2" xfId="12586" xr:uid="{1CA58D1F-88C2-4C78-ADC5-A8ACAF98B8E7}"/>
    <cellStyle name="Normal 4 2 3 10 5" xfId="3479" xr:uid="{58987370-C152-439B-A41D-553B7286BA4C}"/>
    <cellStyle name="Normal 4 2 3 10 5 2" xfId="12587" xr:uid="{AA0D8478-62C1-4BE6-86DA-96AE32C1DD07}"/>
    <cellStyle name="Normal 4 2 3 10 6" xfId="12581" xr:uid="{8FB17F89-FB0B-4870-A261-FF87B2CED1F9}"/>
    <cellStyle name="Normal 4 2 3 11" xfId="3480" xr:uid="{0719BA67-16DA-4642-A36C-E531539D4375}"/>
    <cellStyle name="Normal 4 2 3 11 2" xfId="3481" xr:uid="{21F617BD-74B3-4170-A5E5-E5DFA40DE87C}"/>
    <cellStyle name="Normal 4 2 3 11 2 2" xfId="12589" xr:uid="{BB0F115D-0105-4C61-8182-BD99836487EC}"/>
    <cellStyle name="Normal 4 2 3 11 3" xfId="3482" xr:uid="{14E498CC-974B-4627-BE32-6B7E18D0FA2C}"/>
    <cellStyle name="Normal 4 2 3 11 3 2" xfId="12590" xr:uid="{84355725-DF51-4EC8-B6B2-3E6D07DD7FD5}"/>
    <cellStyle name="Normal 4 2 3 11 4" xfId="12588" xr:uid="{18D4BAD4-F233-473D-9113-FBA3F349D07F}"/>
    <cellStyle name="Normal 4 2 3 12" xfId="3483" xr:uid="{4F200A14-08D8-4361-B67E-B83798039F60}"/>
    <cellStyle name="Normal 4 2 3 12 2" xfId="12591" xr:uid="{0AA98DA5-50AA-437D-9707-DE850E784D9C}"/>
    <cellStyle name="Normal 4 2 3 13" xfId="3484" xr:uid="{315179B7-7F6A-4DC5-905F-60780D780BB3}"/>
    <cellStyle name="Normal 4 2 3 13 2" xfId="12592" xr:uid="{F07A4BCC-6DE3-4C02-B63D-52B0A3760096}"/>
    <cellStyle name="Normal 4 2 3 14" xfId="3485" xr:uid="{F9A31158-55EA-48BA-AB0C-A1B75C6DF88D}"/>
    <cellStyle name="Normal 4 2 3 14 2" xfId="12593" xr:uid="{E20903DF-C1DB-4BDE-B820-B58E21CD136B}"/>
    <cellStyle name="Normal 4 2 3 15" xfId="12580" xr:uid="{B1243291-4787-418C-8120-965BEE3F19B3}"/>
    <cellStyle name="Normal 4 2 3 2" xfId="3486" xr:uid="{F4CF9E49-1D73-4C09-B0F9-7A5B349958A2}"/>
    <cellStyle name="Normal 4 2 3 2 10" xfId="3487" xr:uid="{31402210-9590-40E3-94F2-B46175A7A6B8}"/>
    <cellStyle name="Normal 4 2 3 2 10 2" xfId="12595" xr:uid="{775B2B6B-47E0-4402-850D-CDB3ECE5C7EA}"/>
    <cellStyle name="Normal 4 2 3 2 11" xfId="3488" xr:uid="{B4847D68-19A8-42D2-ACDC-11749B778ED6}"/>
    <cellStyle name="Normal 4 2 3 2 11 2" xfId="12596" xr:uid="{3C2219BE-E81D-47CA-88AD-73E4CED7CCC5}"/>
    <cellStyle name="Normal 4 2 3 2 12" xfId="3489" xr:uid="{5F12356A-0AA6-44C0-9699-8F2534CD6C36}"/>
    <cellStyle name="Normal 4 2 3 2 12 2" xfId="12597" xr:uid="{7BBF57B2-26F3-43A8-8CE5-35529A806DA9}"/>
    <cellStyle name="Normal 4 2 3 2 13" xfId="12594" xr:uid="{05D4F043-7F80-4342-9129-61E0657A78CA}"/>
    <cellStyle name="Normal 4 2 3 2 2" xfId="3490" xr:uid="{795DCFA4-3DC6-4432-8C76-44C80589FBE0}"/>
    <cellStyle name="Normal 4 2 3 2 2 10" xfId="12598" xr:uid="{C6BF0D2C-5FFA-43B4-B6B7-511FB90D4FA9}"/>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2 2" xfId="12603" xr:uid="{8BB32134-02AB-4ADB-BCDE-1A02000D26EF}"/>
    <cellStyle name="Normal 4 2 3 2 2 2 2 2 2 3" xfId="3496" xr:uid="{7E3B7F7F-D073-4698-9E4D-5E4CF72241D7}"/>
    <cellStyle name="Normal 4 2 3 2 2 2 2 2 2 3 2" xfId="12604" xr:uid="{7CF091A6-6CA1-4600-B973-422154C2E5EF}"/>
    <cellStyle name="Normal 4 2 3 2 2 2 2 2 2 4" xfId="12602" xr:uid="{758FCDE0-7547-4431-93A9-31C0BD8B4C3D}"/>
    <cellStyle name="Normal 4 2 3 2 2 2 2 2 3" xfId="3497" xr:uid="{EE9D9865-8F84-4D53-B3A7-9B101201609B}"/>
    <cellStyle name="Normal 4 2 3 2 2 2 2 2 3 2" xfId="12605" xr:uid="{DBAF5266-3081-4104-B4C1-46B7F27A90E7}"/>
    <cellStyle name="Normal 4 2 3 2 2 2 2 2 4" xfId="3498" xr:uid="{BA7C91D7-2FD8-4410-AFF4-6599CA6165E8}"/>
    <cellStyle name="Normal 4 2 3 2 2 2 2 2 4 2" xfId="12606" xr:uid="{F5CC2468-A61D-446A-AFE5-B2B49271F298}"/>
    <cellStyle name="Normal 4 2 3 2 2 2 2 2 5" xfId="3499" xr:uid="{CF1DDC82-6C76-4985-A107-A63A272439BF}"/>
    <cellStyle name="Normal 4 2 3 2 2 2 2 2 5 2" xfId="12607" xr:uid="{8FCDDD73-1C21-4376-B30B-BEA0C9D82F3F}"/>
    <cellStyle name="Normal 4 2 3 2 2 2 2 2 6" xfId="12601" xr:uid="{F92E1965-7EBC-4D55-8010-94CCFD611E0C}"/>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2 2" xfId="12610" xr:uid="{9BF5F86E-4094-4136-BA33-C007BBCA308C}"/>
    <cellStyle name="Normal 4 2 3 2 2 2 2 3 2 3" xfId="3503" xr:uid="{3C5CF218-D1D1-4985-A016-4300E36F38A8}"/>
    <cellStyle name="Normal 4 2 3 2 2 2 2 3 2 3 2" xfId="12611" xr:uid="{0007CDA4-2F65-465B-AF36-955C93A8C5AE}"/>
    <cellStyle name="Normal 4 2 3 2 2 2 2 3 2 4" xfId="12609" xr:uid="{EDA0F29E-AFE5-44AD-91CC-A41D60F29AA5}"/>
    <cellStyle name="Normal 4 2 3 2 2 2 2 3 3" xfId="3504" xr:uid="{34177E0A-16E2-4FE8-8A4F-FAF38193B6DE}"/>
    <cellStyle name="Normal 4 2 3 2 2 2 2 3 3 2" xfId="12612" xr:uid="{78475312-E1DC-49CC-BFB7-3C831DA40872}"/>
    <cellStyle name="Normal 4 2 3 2 2 2 2 3 4" xfId="3505" xr:uid="{484DEBFC-78F4-4DD6-B232-9C555CAAF965}"/>
    <cellStyle name="Normal 4 2 3 2 2 2 2 3 4 2" xfId="12613" xr:uid="{793DE229-3529-409D-8538-7BC7D67A4B75}"/>
    <cellStyle name="Normal 4 2 3 2 2 2 2 3 5" xfId="3506" xr:uid="{37D8891C-4D89-4C33-B423-05B1C528429C}"/>
    <cellStyle name="Normal 4 2 3 2 2 2 2 3 5 2" xfId="12614" xr:uid="{B844A452-EAEA-4CFF-988F-5CEFFED73F67}"/>
    <cellStyle name="Normal 4 2 3 2 2 2 2 3 6" xfId="12608" xr:uid="{9ED4017B-3CBC-446D-AED3-36DE004B3EF3}"/>
    <cellStyle name="Normal 4 2 3 2 2 2 2 4" xfId="3507" xr:uid="{7EC6F175-5DB4-480E-983C-F967036EFC33}"/>
    <cellStyle name="Normal 4 2 3 2 2 2 2 4 2" xfId="3508" xr:uid="{E196ED7B-06F6-4EED-A13B-ECB6A69E8A33}"/>
    <cellStyle name="Normal 4 2 3 2 2 2 2 4 2 2" xfId="12616" xr:uid="{1E241084-67A4-48BA-A944-9A86DB67C580}"/>
    <cellStyle name="Normal 4 2 3 2 2 2 2 4 3" xfId="3509" xr:uid="{4A9E40AE-2137-4FCC-BA10-557828707B3A}"/>
    <cellStyle name="Normal 4 2 3 2 2 2 2 4 3 2" xfId="12617" xr:uid="{4BF0ADF7-5B2E-46E4-B003-9F1AE93FCBFA}"/>
    <cellStyle name="Normal 4 2 3 2 2 2 2 4 4" xfId="12615" xr:uid="{6DCEF975-16F9-442F-91BC-E7A42F512674}"/>
    <cellStyle name="Normal 4 2 3 2 2 2 2 5" xfId="3510" xr:uid="{242CCAF0-B818-4A88-92AC-3D04B45EEF01}"/>
    <cellStyle name="Normal 4 2 3 2 2 2 2 5 2" xfId="12618" xr:uid="{2DB7DFFC-297C-4A28-8FAE-D43AA16792C5}"/>
    <cellStyle name="Normal 4 2 3 2 2 2 2 6" xfId="3511" xr:uid="{00EDE7BD-FE98-4D5B-A810-CBD52BBD00FF}"/>
    <cellStyle name="Normal 4 2 3 2 2 2 2 6 2" xfId="12619" xr:uid="{96A04FD0-FDFF-4AED-96D3-F0A7E9CFED25}"/>
    <cellStyle name="Normal 4 2 3 2 2 2 2 7" xfId="3512" xr:uid="{C4C25D6D-A724-43AC-B0E2-5ADB4BE06D9D}"/>
    <cellStyle name="Normal 4 2 3 2 2 2 2 7 2" xfId="12620" xr:uid="{E84D90AD-2940-46C9-94B3-271FAD34F320}"/>
    <cellStyle name="Normal 4 2 3 2 2 2 2 8" xfId="12600" xr:uid="{4286A876-A8D1-4DC9-BBD9-F184CB912BE0}"/>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2 2" xfId="12623" xr:uid="{72EF101B-4E09-4542-B41E-9522AC6D21A4}"/>
    <cellStyle name="Normal 4 2 3 2 2 2 3 2 3" xfId="3516" xr:uid="{896FFFE5-0C06-442F-9F44-81FFBC09601A}"/>
    <cellStyle name="Normal 4 2 3 2 2 2 3 2 3 2" xfId="12624" xr:uid="{369D438C-435C-4710-A07C-949EE8C16977}"/>
    <cellStyle name="Normal 4 2 3 2 2 2 3 2 4" xfId="12622" xr:uid="{BF564AA3-C8B0-4543-8943-8BC6AC4EE2D2}"/>
    <cellStyle name="Normal 4 2 3 2 2 2 3 3" xfId="3517" xr:uid="{CDB9B14F-2DC0-40E7-A1E3-A293122DEFD1}"/>
    <cellStyle name="Normal 4 2 3 2 2 2 3 3 2" xfId="12625" xr:uid="{29C2BBDF-75D2-4C03-9F7F-1F55B92FD586}"/>
    <cellStyle name="Normal 4 2 3 2 2 2 3 4" xfId="3518" xr:uid="{14376D92-AC56-471F-8577-984CD0D58751}"/>
    <cellStyle name="Normal 4 2 3 2 2 2 3 4 2" xfId="12626" xr:uid="{46497CAE-1D97-41D0-88EF-7EC6AC692142}"/>
    <cellStyle name="Normal 4 2 3 2 2 2 3 5" xfId="3519" xr:uid="{8C6F89B4-C747-4FDE-B009-E77F183D1C1E}"/>
    <cellStyle name="Normal 4 2 3 2 2 2 3 5 2" xfId="12627" xr:uid="{AF7B8820-8F20-4B31-BE60-0411B18CAB21}"/>
    <cellStyle name="Normal 4 2 3 2 2 2 3 6" xfId="12621" xr:uid="{E9417C7B-4613-4ECF-A042-7B4AFF2574C7}"/>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2 2" xfId="12630" xr:uid="{231FBB51-2AA6-468E-A6EC-68A19D408051}"/>
    <cellStyle name="Normal 4 2 3 2 2 2 4 2 3" xfId="3523" xr:uid="{75BBADD0-A142-4684-8474-0AF1D945BE74}"/>
    <cellStyle name="Normal 4 2 3 2 2 2 4 2 3 2" xfId="12631" xr:uid="{9914DD56-5C82-46DB-AA2D-B4C378FEF95D}"/>
    <cellStyle name="Normal 4 2 3 2 2 2 4 2 4" xfId="12629" xr:uid="{4FC63E41-A515-44F0-88F1-F199C9A49C23}"/>
    <cellStyle name="Normal 4 2 3 2 2 2 4 3" xfId="3524" xr:uid="{59EC6727-BE9D-4FA3-907E-C56F8B167DD5}"/>
    <cellStyle name="Normal 4 2 3 2 2 2 4 3 2" xfId="12632" xr:uid="{1DAD7F67-1C18-4A19-848E-EBDBABE345B4}"/>
    <cellStyle name="Normal 4 2 3 2 2 2 4 4" xfId="3525" xr:uid="{ADD405C4-AB41-4A24-8B69-22240A697CE7}"/>
    <cellStyle name="Normal 4 2 3 2 2 2 4 4 2" xfId="12633" xr:uid="{1C0C753A-357C-46BC-BD1D-E3BCC6F88E66}"/>
    <cellStyle name="Normal 4 2 3 2 2 2 4 5" xfId="3526" xr:uid="{E93A03FA-DE5B-44E8-8104-BD311C677DC4}"/>
    <cellStyle name="Normal 4 2 3 2 2 2 4 5 2" xfId="12634" xr:uid="{40D5EA32-92E3-41BB-BED0-DB5D4630B596}"/>
    <cellStyle name="Normal 4 2 3 2 2 2 4 6" xfId="12628" xr:uid="{94C0B672-7219-46CD-96B5-6CC5D93D6DB1}"/>
    <cellStyle name="Normal 4 2 3 2 2 2 5" xfId="3527" xr:uid="{94783288-8EC0-4FFC-81B1-A65F8C7C951E}"/>
    <cellStyle name="Normal 4 2 3 2 2 2 5 2" xfId="3528" xr:uid="{123B68DC-92FC-4EE4-AD07-D7F5FD249414}"/>
    <cellStyle name="Normal 4 2 3 2 2 2 5 2 2" xfId="12636" xr:uid="{C8873E9E-572F-4ADE-9410-8A93689FEC4E}"/>
    <cellStyle name="Normal 4 2 3 2 2 2 5 3" xfId="3529" xr:uid="{7B82A63A-C496-4695-8B98-2FA137B2834A}"/>
    <cellStyle name="Normal 4 2 3 2 2 2 5 3 2" xfId="12637" xr:uid="{91E24067-F2DA-43B5-88A6-B4E7C23B266F}"/>
    <cellStyle name="Normal 4 2 3 2 2 2 5 4" xfId="12635" xr:uid="{3CAF93DF-975B-4DF2-BEE6-99942EBB3336}"/>
    <cellStyle name="Normal 4 2 3 2 2 2 6" xfId="3530" xr:uid="{0E8F1C2A-CF98-4D38-BCEA-038E6C8810D3}"/>
    <cellStyle name="Normal 4 2 3 2 2 2 6 2" xfId="12638" xr:uid="{E7A8AE31-E2EE-48A8-B14F-A23034061A84}"/>
    <cellStyle name="Normal 4 2 3 2 2 2 7" xfId="3531" xr:uid="{C2FE55E2-3A17-4E1A-B061-6E8DDC036D8C}"/>
    <cellStyle name="Normal 4 2 3 2 2 2 7 2" xfId="12639" xr:uid="{138210A1-BA37-46D2-9C12-E188446D39E5}"/>
    <cellStyle name="Normal 4 2 3 2 2 2 8" xfId="3532" xr:uid="{074A9668-171B-492E-A364-DAAD30C5960A}"/>
    <cellStyle name="Normal 4 2 3 2 2 2 8 2" xfId="12640" xr:uid="{E1D074B9-9CC7-429A-875A-CB652ADB3777}"/>
    <cellStyle name="Normal 4 2 3 2 2 2 9" xfId="12599" xr:uid="{98ACA839-60A4-4094-9C84-16F0DDCC97A1}"/>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2 2" xfId="12644" xr:uid="{C5853E6E-1E52-437F-9217-91D8B490DC45}"/>
    <cellStyle name="Normal 4 2 3 2 2 3 2 2 3" xfId="3537" xr:uid="{0470B00C-5242-4555-83DC-75159F9613A4}"/>
    <cellStyle name="Normal 4 2 3 2 2 3 2 2 3 2" xfId="12645" xr:uid="{389E5031-6CCF-420F-BF63-F0994580A8FC}"/>
    <cellStyle name="Normal 4 2 3 2 2 3 2 2 4" xfId="12643" xr:uid="{E66BB284-9B7D-43FB-970F-0BCA1AD7A75A}"/>
    <cellStyle name="Normal 4 2 3 2 2 3 2 3" xfId="3538" xr:uid="{9D701871-D039-48D2-AAE1-ED6260017374}"/>
    <cellStyle name="Normal 4 2 3 2 2 3 2 3 2" xfId="12646" xr:uid="{E9082BE6-898A-427D-B81F-86222037346D}"/>
    <cellStyle name="Normal 4 2 3 2 2 3 2 4" xfId="3539" xr:uid="{E4E54916-3F3A-4026-A2F7-382C5D740414}"/>
    <cellStyle name="Normal 4 2 3 2 2 3 2 4 2" xfId="12647" xr:uid="{F548D468-03FA-45A1-9703-6FA44F248FDC}"/>
    <cellStyle name="Normal 4 2 3 2 2 3 2 5" xfId="3540" xr:uid="{29ACF857-BA8F-4F07-B6B0-CDF1D6A545A9}"/>
    <cellStyle name="Normal 4 2 3 2 2 3 2 5 2" xfId="12648" xr:uid="{180D6C2A-3EB2-4A8B-893A-8376B9C2191E}"/>
    <cellStyle name="Normal 4 2 3 2 2 3 2 6" xfId="12642" xr:uid="{105BBBB0-899A-461B-91EF-2C568CA83C8C}"/>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2 2" xfId="12651" xr:uid="{5E1F2E51-CA11-48D8-B4C6-529D0135697C}"/>
    <cellStyle name="Normal 4 2 3 2 2 3 3 2 3" xfId="3544" xr:uid="{268D3F84-2E72-4389-93F7-C384127BFF97}"/>
    <cellStyle name="Normal 4 2 3 2 2 3 3 2 3 2" xfId="12652" xr:uid="{FF4FDC11-DFAA-4727-B168-1641D7DB8533}"/>
    <cellStyle name="Normal 4 2 3 2 2 3 3 2 4" xfId="12650" xr:uid="{14D87E29-A2EB-41CC-8FDC-D7F2C540E6C0}"/>
    <cellStyle name="Normal 4 2 3 2 2 3 3 3" xfId="3545" xr:uid="{FB34F2EC-3725-4316-943C-E1218AC20C35}"/>
    <cellStyle name="Normal 4 2 3 2 2 3 3 3 2" xfId="12653" xr:uid="{88BEF73A-DC5C-497C-A993-F886904938B2}"/>
    <cellStyle name="Normal 4 2 3 2 2 3 3 4" xfId="3546" xr:uid="{7B4EA742-2B92-41CB-9845-E75825435A4B}"/>
    <cellStyle name="Normal 4 2 3 2 2 3 3 4 2" xfId="12654" xr:uid="{BEF3923C-C0CA-4A51-80E9-587240E6626D}"/>
    <cellStyle name="Normal 4 2 3 2 2 3 3 5" xfId="3547" xr:uid="{9C6D67F2-ECF0-470D-B681-C12B1C1E0ABF}"/>
    <cellStyle name="Normal 4 2 3 2 2 3 3 5 2" xfId="12655" xr:uid="{91D2F02E-590C-4F71-8C12-96AE3A03A8E9}"/>
    <cellStyle name="Normal 4 2 3 2 2 3 3 6" xfId="12649" xr:uid="{785DA565-C656-42C4-A6A3-71E1C28CC1D2}"/>
    <cellStyle name="Normal 4 2 3 2 2 3 4" xfId="3548" xr:uid="{869C3628-283E-47AB-ABA3-81DF3A2E8943}"/>
    <cellStyle name="Normal 4 2 3 2 2 3 4 2" xfId="3549" xr:uid="{44C4C339-5428-43DC-A79A-DED17DDDCCAA}"/>
    <cellStyle name="Normal 4 2 3 2 2 3 4 2 2" xfId="12657" xr:uid="{02003852-F086-4B48-9B52-5C878517D5E1}"/>
    <cellStyle name="Normal 4 2 3 2 2 3 4 3" xfId="3550" xr:uid="{D6551F61-59C1-40BA-B105-B26BB66FC713}"/>
    <cellStyle name="Normal 4 2 3 2 2 3 4 3 2" xfId="12658" xr:uid="{31D2173D-4493-46B2-885C-5DD27070E312}"/>
    <cellStyle name="Normal 4 2 3 2 2 3 4 4" xfId="12656" xr:uid="{F04DFDF7-81D1-4F42-85F8-B9BC8F0922CF}"/>
    <cellStyle name="Normal 4 2 3 2 2 3 5" xfId="3551" xr:uid="{1C7CAAA3-24D2-47B2-B9F7-3D50C6AAA1B0}"/>
    <cellStyle name="Normal 4 2 3 2 2 3 5 2" xfId="12659" xr:uid="{159DD1CE-7020-40E4-BE3C-08674D323DAB}"/>
    <cellStyle name="Normal 4 2 3 2 2 3 6" xfId="3552" xr:uid="{4429D738-F7EE-4348-97F1-B2E8E952EC0C}"/>
    <cellStyle name="Normal 4 2 3 2 2 3 6 2" xfId="12660" xr:uid="{F563CBB6-92D6-4F12-9D7E-9A5441ABD873}"/>
    <cellStyle name="Normal 4 2 3 2 2 3 7" xfId="3553" xr:uid="{DCF45517-DFDB-40E8-B71A-53CEBF17382B}"/>
    <cellStyle name="Normal 4 2 3 2 2 3 7 2" xfId="12661" xr:uid="{97B921A5-D6CE-4C98-8133-7F356230E5CD}"/>
    <cellStyle name="Normal 4 2 3 2 2 3 8" xfId="12641" xr:uid="{2461690B-DB14-4665-B383-04CC03101CDA}"/>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2 2" xfId="12664" xr:uid="{59106066-AD5D-4928-9A21-609AD0FD9889}"/>
    <cellStyle name="Normal 4 2 3 2 2 4 2 3" xfId="3557" xr:uid="{81A3EB5C-9921-445F-AB01-9B466CD4F3D5}"/>
    <cellStyle name="Normal 4 2 3 2 2 4 2 3 2" xfId="12665" xr:uid="{D83FD353-12E5-449F-8AB7-BA4A214D3308}"/>
    <cellStyle name="Normal 4 2 3 2 2 4 2 4" xfId="12663" xr:uid="{9A37EBCA-7D2D-4FD7-A6E0-5B78DD0D4C88}"/>
    <cellStyle name="Normal 4 2 3 2 2 4 3" xfId="3558" xr:uid="{B3A2CC28-C11C-4B67-9A58-94A261F56007}"/>
    <cellStyle name="Normal 4 2 3 2 2 4 3 2" xfId="12666" xr:uid="{B4252965-E97A-4B41-A36E-39CF09C9963F}"/>
    <cellStyle name="Normal 4 2 3 2 2 4 4" xfId="3559" xr:uid="{A5546F4B-20DB-4843-A756-2DE3917ED843}"/>
    <cellStyle name="Normal 4 2 3 2 2 4 4 2" xfId="12667" xr:uid="{DD4B81F5-3B20-43CD-9F5A-5F3894B34910}"/>
    <cellStyle name="Normal 4 2 3 2 2 4 5" xfId="3560" xr:uid="{EB3AAB83-0001-47B1-BACD-B37121E3EE93}"/>
    <cellStyle name="Normal 4 2 3 2 2 4 5 2" xfId="12668" xr:uid="{CDBB719D-504F-4298-9FB0-10131FEA0AD8}"/>
    <cellStyle name="Normal 4 2 3 2 2 4 6" xfId="12662" xr:uid="{7CB18EC7-0B82-4F87-8692-1E97A401DF9A}"/>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2 2" xfId="12671" xr:uid="{C34C9A4F-E74B-4EB5-8466-DA6D5F02A62D}"/>
    <cellStyle name="Normal 4 2 3 2 2 5 2 3" xfId="3564" xr:uid="{3BB4ABFB-9990-46C3-9AAA-B7A6C9F2DA29}"/>
    <cellStyle name="Normal 4 2 3 2 2 5 2 3 2" xfId="12672" xr:uid="{A9014016-67FE-4952-982D-22CC1E568CD3}"/>
    <cellStyle name="Normal 4 2 3 2 2 5 2 4" xfId="12670" xr:uid="{C0AD4246-9495-40BD-8CF3-1A9DE234F48C}"/>
    <cellStyle name="Normal 4 2 3 2 2 5 3" xfId="3565" xr:uid="{BB0705CE-3712-4E6F-A4C5-B242FF5B6198}"/>
    <cellStyle name="Normal 4 2 3 2 2 5 3 2" xfId="12673" xr:uid="{8B0842D1-0E40-45D2-AECE-67AD3602B336}"/>
    <cellStyle name="Normal 4 2 3 2 2 5 4" xfId="3566" xr:uid="{7D1CB3F6-A178-465E-8F72-15B30C0A7E88}"/>
    <cellStyle name="Normal 4 2 3 2 2 5 4 2" xfId="12674" xr:uid="{839DF276-3657-48EA-8A68-083A82B9EE02}"/>
    <cellStyle name="Normal 4 2 3 2 2 5 5" xfId="3567" xr:uid="{6BF40048-9A9B-49E1-8983-2A6C6420A6E7}"/>
    <cellStyle name="Normal 4 2 3 2 2 5 5 2" xfId="12675" xr:uid="{20EA9301-C7AE-4EE9-82FD-B4BF9EFBB26C}"/>
    <cellStyle name="Normal 4 2 3 2 2 5 6" xfId="12669" xr:uid="{27D7E234-EB20-4232-937F-EDCE23DD6551}"/>
    <cellStyle name="Normal 4 2 3 2 2 6" xfId="3568" xr:uid="{501FF180-25A5-4AE7-80A3-9486D58C7BDB}"/>
    <cellStyle name="Normal 4 2 3 2 2 6 2" xfId="3569" xr:uid="{67328E7C-7FA0-46E9-8FE1-616A251A3D0C}"/>
    <cellStyle name="Normal 4 2 3 2 2 6 2 2" xfId="12677" xr:uid="{F1AD4D59-6F8E-4C5A-8397-3DC9F46503BC}"/>
    <cellStyle name="Normal 4 2 3 2 2 6 3" xfId="3570" xr:uid="{2EEAA322-280F-43A8-BC76-E4920ED08E1A}"/>
    <cellStyle name="Normal 4 2 3 2 2 6 3 2" xfId="12678" xr:uid="{69C9A532-1AEB-4373-9F57-0A3945B78662}"/>
    <cellStyle name="Normal 4 2 3 2 2 6 4" xfId="12676" xr:uid="{ECA076FB-59EA-4E6E-B4F7-6C58142DB303}"/>
    <cellStyle name="Normal 4 2 3 2 2 7" xfId="3571" xr:uid="{961F7223-75B4-4530-8D33-6034944A80DE}"/>
    <cellStyle name="Normal 4 2 3 2 2 7 2" xfId="12679" xr:uid="{2F6AD80A-CA46-43A4-AD89-DB2F9EC3DFED}"/>
    <cellStyle name="Normal 4 2 3 2 2 8" xfId="3572" xr:uid="{637F1AEF-0A9E-48FD-B3D2-F4CA54F4FB62}"/>
    <cellStyle name="Normal 4 2 3 2 2 8 2" xfId="12680" xr:uid="{A19E4FDB-F2BE-45FA-946E-CBF07E635C66}"/>
    <cellStyle name="Normal 4 2 3 2 2 9" xfId="3573" xr:uid="{AE4AB6E4-F5F5-4A6E-AF98-77DBDAF1A5F7}"/>
    <cellStyle name="Normal 4 2 3 2 2 9 2" xfId="12681" xr:uid="{215CF9EE-2A99-4089-9049-CCD7338F0466}"/>
    <cellStyle name="Normal 4 2 3 2 3" xfId="3574" xr:uid="{EC552C9B-DB60-40DF-9779-5B4F0F70A124}"/>
    <cellStyle name="Normal 4 2 3 2 3 10" xfId="12682" xr:uid="{8AA3D811-1AE9-4C83-8D74-5A266AD46FF3}"/>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2 2" xfId="12687" xr:uid="{8D372753-885C-4BC0-8A44-601DAD710531}"/>
    <cellStyle name="Normal 4 2 3 2 3 2 2 2 2 3" xfId="3580" xr:uid="{73EE8E75-9D22-4750-80B8-000D7B532E3F}"/>
    <cellStyle name="Normal 4 2 3 2 3 2 2 2 2 3 2" xfId="12688" xr:uid="{3835A0F9-DE50-4E8B-8A04-E23B106803ED}"/>
    <cellStyle name="Normal 4 2 3 2 3 2 2 2 2 4" xfId="12686" xr:uid="{136436FC-8777-466A-B973-DD5DDA985646}"/>
    <cellStyle name="Normal 4 2 3 2 3 2 2 2 3" xfId="3581" xr:uid="{ED0FD5DF-B660-4D35-A7DD-368E726CE312}"/>
    <cellStyle name="Normal 4 2 3 2 3 2 2 2 3 2" xfId="12689" xr:uid="{02DA96A2-8572-446D-B9BA-AC27F1F35352}"/>
    <cellStyle name="Normal 4 2 3 2 3 2 2 2 4" xfId="3582" xr:uid="{6C9B5534-EEAE-4575-A313-C634A0E2608E}"/>
    <cellStyle name="Normal 4 2 3 2 3 2 2 2 4 2" xfId="12690" xr:uid="{A3A8CB4B-C156-465F-BD39-4E0381488577}"/>
    <cellStyle name="Normal 4 2 3 2 3 2 2 2 5" xfId="3583" xr:uid="{6A42DB01-86C2-46EC-B847-5F1F853980AD}"/>
    <cellStyle name="Normal 4 2 3 2 3 2 2 2 5 2" xfId="12691" xr:uid="{89F25055-85B4-4D8B-9119-7009CB4154A8}"/>
    <cellStyle name="Normal 4 2 3 2 3 2 2 2 6" xfId="12685" xr:uid="{EFAF99D6-0DC3-4DC2-AFE6-1AFF831330C8}"/>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2 2" xfId="12694" xr:uid="{B8082C0F-0AF2-4CFA-9389-9529A0431BA1}"/>
    <cellStyle name="Normal 4 2 3 2 3 2 2 3 2 3" xfId="3587" xr:uid="{402E4C93-3B28-4714-A4DD-F4E6B5D0AFD5}"/>
    <cellStyle name="Normal 4 2 3 2 3 2 2 3 2 3 2" xfId="12695" xr:uid="{F2D975D4-205B-4CDE-9C4E-E738E4C6DCED}"/>
    <cellStyle name="Normal 4 2 3 2 3 2 2 3 2 4" xfId="12693" xr:uid="{3EBA0B8A-529C-4A44-A199-3FE16C15F6C4}"/>
    <cellStyle name="Normal 4 2 3 2 3 2 2 3 3" xfId="3588" xr:uid="{ECEF9C51-246D-479F-A02B-63B8AABDA640}"/>
    <cellStyle name="Normal 4 2 3 2 3 2 2 3 3 2" xfId="12696" xr:uid="{C4110CF8-ECB8-423C-B37A-F076ACD9ACCF}"/>
    <cellStyle name="Normal 4 2 3 2 3 2 2 3 4" xfId="3589" xr:uid="{3B18671A-E697-4338-A40B-129540ADE618}"/>
    <cellStyle name="Normal 4 2 3 2 3 2 2 3 4 2" xfId="12697" xr:uid="{8F817A18-27F8-4585-811C-E1ED6A1BE48D}"/>
    <cellStyle name="Normal 4 2 3 2 3 2 2 3 5" xfId="3590" xr:uid="{28E23F1F-D80B-4A5F-9A65-246AFDEE4E7B}"/>
    <cellStyle name="Normal 4 2 3 2 3 2 2 3 5 2" xfId="12698" xr:uid="{2DA607B1-D876-40FB-9961-311CC3C6F23F}"/>
    <cellStyle name="Normal 4 2 3 2 3 2 2 3 6" xfId="12692" xr:uid="{E7CA0DC0-7C81-40D3-BA8D-9746D9B6F1FA}"/>
    <cellStyle name="Normal 4 2 3 2 3 2 2 4" xfId="3591" xr:uid="{8800E787-2966-423C-B829-0F43B1A5525B}"/>
    <cellStyle name="Normal 4 2 3 2 3 2 2 4 2" xfId="3592" xr:uid="{2BFCAB83-FCD0-4486-8931-D1ACCBCE16BD}"/>
    <cellStyle name="Normal 4 2 3 2 3 2 2 4 2 2" xfId="12700" xr:uid="{046EF92A-0A77-4EF1-927B-A354D4C998F8}"/>
    <cellStyle name="Normal 4 2 3 2 3 2 2 4 3" xfId="3593" xr:uid="{05BC0EDD-3303-4DDE-9A14-F191E69BC6BB}"/>
    <cellStyle name="Normal 4 2 3 2 3 2 2 4 3 2" xfId="12701" xr:uid="{214C2C65-9D6A-4257-8D8D-34414937CB8A}"/>
    <cellStyle name="Normal 4 2 3 2 3 2 2 4 4" xfId="12699" xr:uid="{319978B5-E1ED-4885-A204-63407AB8B9FD}"/>
    <cellStyle name="Normal 4 2 3 2 3 2 2 5" xfId="3594" xr:uid="{8B77C33F-E836-48F2-AE28-62E2BD89C6BD}"/>
    <cellStyle name="Normal 4 2 3 2 3 2 2 5 2" xfId="12702" xr:uid="{EF7A3D30-C0E4-4140-9304-379E67A81A13}"/>
    <cellStyle name="Normal 4 2 3 2 3 2 2 6" xfId="3595" xr:uid="{820EBF6E-AB1D-43F8-BEAE-AD1924D4E614}"/>
    <cellStyle name="Normal 4 2 3 2 3 2 2 6 2" xfId="12703" xr:uid="{85388B07-03A4-4259-A11A-78DA6E39F57C}"/>
    <cellStyle name="Normal 4 2 3 2 3 2 2 7" xfId="3596" xr:uid="{AE316EE7-5307-452B-BF46-BC77E98CCCB3}"/>
    <cellStyle name="Normal 4 2 3 2 3 2 2 7 2" xfId="12704" xr:uid="{EB3C511C-D344-4F1D-BE8C-55A6102CF97C}"/>
    <cellStyle name="Normal 4 2 3 2 3 2 2 8" xfId="12684" xr:uid="{96AA0F0A-54F8-4B30-AE3C-64B8B02396F4}"/>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2 2" xfId="12707" xr:uid="{263792B5-7760-4B45-A4C0-78F517439E34}"/>
    <cellStyle name="Normal 4 2 3 2 3 2 3 2 3" xfId="3600" xr:uid="{BE724C3C-B476-427E-AC15-02E50085D83F}"/>
    <cellStyle name="Normal 4 2 3 2 3 2 3 2 3 2" xfId="12708" xr:uid="{61AA1099-91B6-492E-B8D8-384810B33E21}"/>
    <cellStyle name="Normal 4 2 3 2 3 2 3 2 4" xfId="12706" xr:uid="{CF3CA941-1D10-4041-BCE0-4169AF595D8C}"/>
    <cellStyle name="Normal 4 2 3 2 3 2 3 3" xfId="3601" xr:uid="{4C08E62E-5673-4821-8B9D-B09A9364F8C4}"/>
    <cellStyle name="Normal 4 2 3 2 3 2 3 3 2" xfId="12709" xr:uid="{010055D0-8F31-4813-B54A-00B144C9EDC2}"/>
    <cellStyle name="Normal 4 2 3 2 3 2 3 4" xfId="3602" xr:uid="{09B7BCD5-D3DC-4FCD-AD4F-EBE747A9CADC}"/>
    <cellStyle name="Normal 4 2 3 2 3 2 3 4 2" xfId="12710" xr:uid="{375BF33F-86FF-4E5A-89DA-46EC50862682}"/>
    <cellStyle name="Normal 4 2 3 2 3 2 3 5" xfId="3603" xr:uid="{6571DE2C-28A4-4A59-AD30-4EC42AC3A0DE}"/>
    <cellStyle name="Normal 4 2 3 2 3 2 3 5 2" xfId="12711" xr:uid="{E428DEF7-29CF-4E99-97EA-1CABD7AE8A37}"/>
    <cellStyle name="Normal 4 2 3 2 3 2 3 6" xfId="12705" xr:uid="{046B3D2A-A32B-474B-B846-B7061A571155}"/>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2 2" xfId="12714" xr:uid="{65EE171E-3050-486C-A3B6-5D6D41CC9EE6}"/>
    <cellStyle name="Normal 4 2 3 2 3 2 4 2 3" xfId="3607" xr:uid="{22E10350-668B-4B23-A37F-B3DBC1C355BB}"/>
    <cellStyle name="Normal 4 2 3 2 3 2 4 2 3 2" xfId="12715" xr:uid="{1AEB3F76-B3C5-4DAF-AB81-3453E2DEDAA2}"/>
    <cellStyle name="Normal 4 2 3 2 3 2 4 2 4" xfId="12713" xr:uid="{89C6F8D3-263A-4438-B21D-FEC5A1A0E75C}"/>
    <cellStyle name="Normal 4 2 3 2 3 2 4 3" xfId="3608" xr:uid="{E69F513B-CD48-484A-85AF-30A9691FE4C0}"/>
    <cellStyle name="Normal 4 2 3 2 3 2 4 3 2" xfId="12716" xr:uid="{48EB458D-F232-4756-91E0-A26C4CCFFA04}"/>
    <cellStyle name="Normal 4 2 3 2 3 2 4 4" xfId="3609" xr:uid="{B6C6DC8F-A9DC-45D6-B4D3-0EFF9BE3A32B}"/>
    <cellStyle name="Normal 4 2 3 2 3 2 4 4 2" xfId="12717" xr:uid="{E4C1BD22-EC94-44BE-8363-18E073312DF6}"/>
    <cellStyle name="Normal 4 2 3 2 3 2 4 5" xfId="3610" xr:uid="{62D3ACEF-2A5C-479E-B453-022F7D745D55}"/>
    <cellStyle name="Normal 4 2 3 2 3 2 4 5 2" xfId="12718" xr:uid="{F52CD0CB-5951-40CF-BFD5-94D0418DBBB7}"/>
    <cellStyle name="Normal 4 2 3 2 3 2 4 6" xfId="12712" xr:uid="{EE3C84D4-AC5F-4A64-8D29-E02399FBEA8A}"/>
    <cellStyle name="Normal 4 2 3 2 3 2 5" xfId="3611" xr:uid="{C0CFF314-E56D-4419-BE27-34E5FCC26DA8}"/>
    <cellStyle name="Normal 4 2 3 2 3 2 5 2" xfId="3612" xr:uid="{1B68EEE3-A84F-4EBA-885C-66A58C4A1A77}"/>
    <cellStyle name="Normal 4 2 3 2 3 2 5 2 2" xfId="12720" xr:uid="{2D360F31-7FFE-43B0-83F0-10A3B25CFE8A}"/>
    <cellStyle name="Normal 4 2 3 2 3 2 5 3" xfId="3613" xr:uid="{B0980DB8-A197-45DB-B8A1-57E685648EDD}"/>
    <cellStyle name="Normal 4 2 3 2 3 2 5 3 2" xfId="12721" xr:uid="{4A47A213-E899-4825-B99A-FE9CCF7BBD0C}"/>
    <cellStyle name="Normal 4 2 3 2 3 2 5 4" xfId="12719" xr:uid="{33D56FED-C581-4BB1-94B3-17F54B5330E6}"/>
    <cellStyle name="Normal 4 2 3 2 3 2 6" xfId="3614" xr:uid="{8CD774CF-F12E-468A-82BC-2545D11ED4B6}"/>
    <cellStyle name="Normal 4 2 3 2 3 2 6 2" xfId="12722" xr:uid="{54F94D8A-1D67-421C-A81C-69678169C68C}"/>
    <cellStyle name="Normal 4 2 3 2 3 2 7" xfId="3615" xr:uid="{667769F5-47FC-46DB-95CC-5BAAC677F532}"/>
    <cellStyle name="Normal 4 2 3 2 3 2 7 2" xfId="12723" xr:uid="{E51F45CA-5441-41C5-92BA-2233E253821A}"/>
    <cellStyle name="Normal 4 2 3 2 3 2 8" xfId="3616" xr:uid="{CAD0C4DF-4057-4B04-8BF5-42692D971484}"/>
    <cellStyle name="Normal 4 2 3 2 3 2 8 2" xfId="12724" xr:uid="{5B03321C-9B7D-411C-816C-44905866AD34}"/>
    <cellStyle name="Normal 4 2 3 2 3 2 9" xfId="12683" xr:uid="{80F53FC4-9E96-40B8-8109-7191D2FC5223}"/>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2 2" xfId="12728" xr:uid="{4F31437F-BA15-4F7A-B60D-01EBEB72031E}"/>
    <cellStyle name="Normal 4 2 3 2 3 3 2 2 3" xfId="3621" xr:uid="{F52CD05C-9BC6-498F-978D-FB06BBDB22D1}"/>
    <cellStyle name="Normal 4 2 3 2 3 3 2 2 3 2" xfId="12729" xr:uid="{7D400A7B-CECE-4FC9-9C0A-EBA5C0D7FC01}"/>
    <cellStyle name="Normal 4 2 3 2 3 3 2 2 4" xfId="12727" xr:uid="{48EDE457-1049-47DD-B90D-0D355C1B6F99}"/>
    <cellStyle name="Normal 4 2 3 2 3 3 2 3" xfId="3622" xr:uid="{E57B2DA0-C3C7-49E5-A4C2-6A595174796A}"/>
    <cellStyle name="Normal 4 2 3 2 3 3 2 3 2" xfId="12730" xr:uid="{10B28466-8D38-4D11-AB3B-D236D41FDDF9}"/>
    <cellStyle name="Normal 4 2 3 2 3 3 2 4" xfId="3623" xr:uid="{01F2E2CA-09BB-433A-B4E6-242590A19D06}"/>
    <cellStyle name="Normal 4 2 3 2 3 3 2 4 2" xfId="12731" xr:uid="{6482C4A3-D219-4E9C-B729-D3B95E71474F}"/>
    <cellStyle name="Normal 4 2 3 2 3 3 2 5" xfId="3624" xr:uid="{011E0690-0F82-4BDD-999A-7B21194B93BE}"/>
    <cellStyle name="Normal 4 2 3 2 3 3 2 5 2" xfId="12732" xr:uid="{CBCD8058-D913-4AFA-86B3-646521FFE982}"/>
    <cellStyle name="Normal 4 2 3 2 3 3 2 6" xfId="12726" xr:uid="{7371FB88-0B89-469A-89D3-B47F629CD143}"/>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2 2" xfId="12735" xr:uid="{6D939DA8-E96E-412B-8574-749FDC1D12E7}"/>
    <cellStyle name="Normal 4 2 3 2 3 3 3 2 3" xfId="3628" xr:uid="{01D91FC4-4107-43B9-89C5-5CA037BCEFFB}"/>
    <cellStyle name="Normal 4 2 3 2 3 3 3 2 3 2" xfId="12736" xr:uid="{A4BBFCD2-5ACD-4A5F-9F65-D80E86A31FD8}"/>
    <cellStyle name="Normal 4 2 3 2 3 3 3 2 4" xfId="12734" xr:uid="{3DACC096-BB65-4AD7-850A-224C9C1829BE}"/>
    <cellStyle name="Normal 4 2 3 2 3 3 3 3" xfId="3629" xr:uid="{ED55A668-872C-4A4C-A154-A1E427494864}"/>
    <cellStyle name="Normal 4 2 3 2 3 3 3 3 2" xfId="12737" xr:uid="{18D8D0D1-965C-4449-B7C0-36D34834DE0E}"/>
    <cellStyle name="Normal 4 2 3 2 3 3 3 4" xfId="3630" xr:uid="{D13CF458-B7ED-45BB-9644-B3620697D6A2}"/>
    <cellStyle name="Normal 4 2 3 2 3 3 3 4 2" xfId="12738" xr:uid="{EECE1066-0FAB-4396-932C-A2BD34A5FD4B}"/>
    <cellStyle name="Normal 4 2 3 2 3 3 3 5" xfId="3631" xr:uid="{D5E679E6-E703-4BF2-8DD0-5053BE846EA1}"/>
    <cellStyle name="Normal 4 2 3 2 3 3 3 5 2" xfId="12739" xr:uid="{2596427E-9E7B-4DFC-9ECD-69F86A946C4D}"/>
    <cellStyle name="Normal 4 2 3 2 3 3 3 6" xfId="12733" xr:uid="{B535AEEE-29BC-4DAD-8AAE-E3E64400FBE8}"/>
    <cellStyle name="Normal 4 2 3 2 3 3 4" xfId="3632" xr:uid="{56AF9B65-D3AF-4C6C-B4C6-89292970D2C8}"/>
    <cellStyle name="Normal 4 2 3 2 3 3 4 2" xfId="3633" xr:uid="{FFEA7DC1-739D-4F71-94FB-00D94D4E81D0}"/>
    <cellStyle name="Normal 4 2 3 2 3 3 4 2 2" xfId="12741" xr:uid="{4FE204BE-F13B-4FF5-921C-2F9EA2895267}"/>
    <cellStyle name="Normal 4 2 3 2 3 3 4 3" xfId="3634" xr:uid="{C526A26D-A938-4655-B013-F2B7CD5879C0}"/>
    <cellStyle name="Normal 4 2 3 2 3 3 4 3 2" xfId="12742" xr:uid="{64D5E699-029C-485E-A8C9-BCCCACB0DC59}"/>
    <cellStyle name="Normal 4 2 3 2 3 3 4 4" xfId="12740" xr:uid="{1F6CC7B2-C107-4B84-913B-E24D2C76FE48}"/>
    <cellStyle name="Normal 4 2 3 2 3 3 5" xfId="3635" xr:uid="{564E1B4E-1E40-4873-A30C-FD7661022FFD}"/>
    <cellStyle name="Normal 4 2 3 2 3 3 5 2" xfId="12743" xr:uid="{F38B7C98-F0D3-4C4B-8422-AB608EB2DFF3}"/>
    <cellStyle name="Normal 4 2 3 2 3 3 6" xfId="3636" xr:uid="{C025AE2B-D325-415F-9B7B-DF4E7D5983A5}"/>
    <cellStyle name="Normal 4 2 3 2 3 3 6 2" xfId="12744" xr:uid="{9A32697C-243C-49D2-B0DB-C72CD63A0A7B}"/>
    <cellStyle name="Normal 4 2 3 2 3 3 7" xfId="3637" xr:uid="{3763BD7C-6611-480F-A7A4-EC37D024A425}"/>
    <cellStyle name="Normal 4 2 3 2 3 3 7 2" xfId="12745" xr:uid="{644504E9-ABEF-4CF7-909F-CFA802E1CB27}"/>
    <cellStyle name="Normal 4 2 3 2 3 3 8" xfId="12725" xr:uid="{B6648AE3-9658-458D-919A-A786F6FB944C}"/>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2 2" xfId="12748" xr:uid="{AD20B52A-CA17-4113-9174-F59C52BEE954}"/>
    <cellStyle name="Normal 4 2 3 2 3 4 2 3" xfId="3641" xr:uid="{7E5A829E-7F3C-4DF5-8872-9D658148B13F}"/>
    <cellStyle name="Normal 4 2 3 2 3 4 2 3 2" xfId="12749" xr:uid="{828E7A65-5D72-4B8E-BA8F-C5E8E6D93531}"/>
    <cellStyle name="Normal 4 2 3 2 3 4 2 4" xfId="12747" xr:uid="{C9297521-C928-4369-B2CC-1E6083EC4B38}"/>
    <cellStyle name="Normal 4 2 3 2 3 4 3" xfId="3642" xr:uid="{A79BDC3C-6AA3-4DD5-A210-B56609088795}"/>
    <cellStyle name="Normal 4 2 3 2 3 4 3 2" xfId="12750" xr:uid="{8A41B2BA-EB0B-45F6-B867-1C477D2008E4}"/>
    <cellStyle name="Normal 4 2 3 2 3 4 4" xfId="3643" xr:uid="{F825BB7B-75C4-4AC9-8F12-2CAB797A23AE}"/>
    <cellStyle name="Normal 4 2 3 2 3 4 4 2" xfId="12751" xr:uid="{9F1D6713-EC70-4205-83B7-85DCD3635CB4}"/>
    <cellStyle name="Normal 4 2 3 2 3 4 5" xfId="3644" xr:uid="{829C5608-AC95-4486-AEBD-880E1B0E913C}"/>
    <cellStyle name="Normal 4 2 3 2 3 4 5 2" xfId="12752" xr:uid="{F153DEFC-F876-4F82-B9CE-6CBC204E6DD0}"/>
    <cellStyle name="Normal 4 2 3 2 3 4 6" xfId="12746" xr:uid="{DCE0DB8A-5823-4E3C-A075-A6D9998F44B6}"/>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2 2" xfId="12755" xr:uid="{E48198FE-74C4-41D7-9D6F-B41CA04C1396}"/>
    <cellStyle name="Normal 4 2 3 2 3 5 2 3" xfId="3648" xr:uid="{E4FF2378-BBA8-4DE6-821F-D129BD39EDAD}"/>
    <cellStyle name="Normal 4 2 3 2 3 5 2 3 2" xfId="12756" xr:uid="{F980752E-9FA6-490A-BD8D-77A2672EB66C}"/>
    <cellStyle name="Normal 4 2 3 2 3 5 2 4" xfId="12754" xr:uid="{250AF80D-B98D-4B15-8935-16E7815739FC}"/>
    <cellStyle name="Normal 4 2 3 2 3 5 3" xfId="3649" xr:uid="{F1D32A7F-B725-4B43-BFD0-52AF8F11DF36}"/>
    <cellStyle name="Normal 4 2 3 2 3 5 3 2" xfId="12757" xr:uid="{98FC7EC1-61A8-47D4-96C1-34A64FAE33CA}"/>
    <cellStyle name="Normal 4 2 3 2 3 5 4" xfId="3650" xr:uid="{598E95A9-533C-45C1-A5E2-6F4FA8B91F28}"/>
    <cellStyle name="Normal 4 2 3 2 3 5 4 2" xfId="12758" xr:uid="{E8D9D46F-0902-405B-9679-1C783C0E69BC}"/>
    <cellStyle name="Normal 4 2 3 2 3 5 5" xfId="3651" xr:uid="{127FBA42-AE84-48B2-9829-932108A005D6}"/>
    <cellStyle name="Normal 4 2 3 2 3 5 5 2" xfId="12759" xr:uid="{436620D1-A10B-4A5A-B46E-07AF5A236A61}"/>
    <cellStyle name="Normal 4 2 3 2 3 5 6" xfId="12753" xr:uid="{A8C3914F-B486-4B6C-8185-DE495EB3C129}"/>
    <cellStyle name="Normal 4 2 3 2 3 6" xfId="3652" xr:uid="{5678D47B-6CE8-4F81-9372-F7F8D7C7CE98}"/>
    <cellStyle name="Normal 4 2 3 2 3 6 2" xfId="3653" xr:uid="{A5912B40-B2CE-45AE-B363-219352286E04}"/>
    <cellStyle name="Normal 4 2 3 2 3 6 2 2" xfId="12761" xr:uid="{188353A8-EF02-4E1A-AA89-660506059689}"/>
    <cellStyle name="Normal 4 2 3 2 3 6 3" xfId="3654" xr:uid="{7ED2AD13-B02A-42F9-B0DD-0EFC51F3118D}"/>
    <cellStyle name="Normal 4 2 3 2 3 6 3 2" xfId="12762" xr:uid="{A3982496-CD38-4EC9-9F33-298A888FFB73}"/>
    <cellStyle name="Normal 4 2 3 2 3 6 4" xfId="12760" xr:uid="{41403C97-8E10-49A8-965B-B3FCBF1D2B40}"/>
    <cellStyle name="Normal 4 2 3 2 3 7" xfId="3655" xr:uid="{AE8544A6-6435-43D6-83F5-FDA39DF04EF3}"/>
    <cellStyle name="Normal 4 2 3 2 3 7 2" xfId="12763" xr:uid="{FB3AF604-7F57-4659-BD7E-6A0EF3460C2F}"/>
    <cellStyle name="Normal 4 2 3 2 3 8" xfId="3656" xr:uid="{47AFDB92-D2FB-4544-9BB7-02C7A3FF2B0A}"/>
    <cellStyle name="Normal 4 2 3 2 3 8 2" xfId="12764" xr:uid="{C6A200A2-1173-4167-A1C2-1E94FE737C00}"/>
    <cellStyle name="Normal 4 2 3 2 3 9" xfId="3657" xr:uid="{E7984AA1-410F-4E2D-BEAB-048AACC4CA03}"/>
    <cellStyle name="Normal 4 2 3 2 3 9 2" xfId="12765" xr:uid="{D29E64E2-AB4C-4A28-AF06-C3A8913A8038}"/>
    <cellStyle name="Normal 4 2 3 2 4" xfId="3658" xr:uid="{E1F9AFF2-1987-4876-B256-6422B4EF9D40}"/>
    <cellStyle name="Normal 4 2 3 2 4 10" xfId="12766" xr:uid="{99461BC0-91AE-4C97-8010-434BE330C22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2 2" xfId="12771" xr:uid="{BE088775-E770-4D33-93D0-52730872674D}"/>
    <cellStyle name="Normal 4 2 3 2 4 2 2 2 2 3" xfId="3664" xr:uid="{09181BE1-9595-47F5-9EB0-A89C928FC58A}"/>
    <cellStyle name="Normal 4 2 3 2 4 2 2 2 2 3 2" xfId="12772" xr:uid="{DF47BBC6-FA53-4E26-99C7-60F983E73F64}"/>
    <cellStyle name="Normal 4 2 3 2 4 2 2 2 2 4" xfId="12770" xr:uid="{43DEB5D8-61AE-4677-B412-CDBB68FCF282}"/>
    <cellStyle name="Normal 4 2 3 2 4 2 2 2 3" xfId="3665" xr:uid="{D3FF5C98-60BC-4108-9BEE-17A7ACECE886}"/>
    <cellStyle name="Normal 4 2 3 2 4 2 2 2 3 2" xfId="12773" xr:uid="{7342D082-6593-4650-9928-31A73172B36A}"/>
    <cellStyle name="Normal 4 2 3 2 4 2 2 2 4" xfId="3666" xr:uid="{DD2A5C81-5871-4349-A6A4-7D54A0DDEE3B}"/>
    <cellStyle name="Normal 4 2 3 2 4 2 2 2 4 2" xfId="12774" xr:uid="{AA49267A-1F8A-45D6-B52F-3ACB768C4111}"/>
    <cellStyle name="Normal 4 2 3 2 4 2 2 2 5" xfId="3667" xr:uid="{111D8723-7A7A-472A-80F3-23AD8599292C}"/>
    <cellStyle name="Normal 4 2 3 2 4 2 2 2 5 2" xfId="12775" xr:uid="{DDBDC1C8-7403-4950-9EF0-41BAEE984AC1}"/>
    <cellStyle name="Normal 4 2 3 2 4 2 2 2 6" xfId="12769" xr:uid="{72AEE9C3-23AE-4B07-8C43-2A0775796FF4}"/>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2 2" xfId="12778" xr:uid="{F7C03E6E-8101-4A32-858A-6584D5FA3D9F}"/>
    <cellStyle name="Normal 4 2 3 2 4 2 2 3 2 3" xfId="3671" xr:uid="{EA46F190-61ED-4119-BC95-B2E8B1EF4867}"/>
    <cellStyle name="Normal 4 2 3 2 4 2 2 3 2 3 2" xfId="12779" xr:uid="{D32402A3-571D-4C2C-BFEC-56193EA43A16}"/>
    <cellStyle name="Normal 4 2 3 2 4 2 2 3 2 4" xfId="12777" xr:uid="{C450D0C5-E1FF-4B39-861E-B3257C76BF9F}"/>
    <cellStyle name="Normal 4 2 3 2 4 2 2 3 3" xfId="3672" xr:uid="{0D4AF441-82D2-4EE7-89D9-D4D50E514EBF}"/>
    <cellStyle name="Normal 4 2 3 2 4 2 2 3 3 2" xfId="12780" xr:uid="{8AE60898-696A-47E3-831F-944F8E2FF7D0}"/>
    <cellStyle name="Normal 4 2 3 2 4 2 2 3 4" xfId="3673" xr:uid="{3490410A-362D-4CAB-93F8-55BB3A1A5769}"/>
    <cellStyle name="Normal 4 2 3 2 4 2 2 3 4 2" xfId="12781" xr:uid="{41B40741-F4C0-4B2D-96EE-C663F11274ED}"/>
    <cellStyle name="Normal 4 2 3 2 4 2 2 3 5" xfId="3674" xr:uid="{AB16C3E5-EEB1-4CD1-BE06-72312AB58865}"/>
    <cellStyle name="Normal 4 2 3 2 4 2 2 3 5 2" xfId="12782" xr:uid="{6D43DD62-2F81-423C-B890-EB5AF8336412}"/>
    <cellStyle name="Normal 4 2 3 2 4 2 2 3 6" xfId="12776" xr:uid="{5492523C-8A19-4E91-81B6-7FBDC604BD94}"/>
    <cellStyle name="Normal 4 2 3 2 4 2 2 4" xfId="3675" xr:uid="{17D5B0F3-36B5-42F0-A590-7E89D8685455}"/>
    <cellStyle name="Normal 4 2 3 2 4 2 2 4 2" xfId="3676" xr:uid="{DE1744EC-0EFD-4434-97D8-27DA4B9CB219}"/>
    <cellStyle name="Normal 4 2 3 2 4 2 2 4 2 2" xfId="12784" xr:uid="{EDAF8517-9516-4EEE-8C99-E10F84D9B865}"/>
    <cellStyle name="Normal 4 2 3 2 4 2 2 4 3" xfId="3677" xr:uid="{C106AB3E-78F3-4E6D-85B6-CA24813954F1}"/>
    <cellStyle name="Normal 4 2 3 2 4 2 2 4 3 2" xfId="12785" xr:uid="{CB6B5C6C-7DFD-48A5-B8DF-79FEDD53471B}"/>
    <cellStyle name="Normal 4 2 3 2 4 2 2 4 4" xfId="12783" xr:uid="{D1E27A48-842B-49CD-8A48-E0237410CCAF}"/>
    <cellStyle name="Normal 4 2 3 2 4 2 2 5" xfId="3678" xr:uid="{04E4610E-FA8D-4C42-806E-FB3AD0C5B7C1}"/>
    <cellStyle name="Normal 4 2 3 2 4 2 2 5 2" xfId="12786" xr:uid="{737D7CD4-82E4-4B9C-9637-4F0EF460EFFB}"/>
    <cellStyle name="Normal 4 2 3 2 4 2 2 6" xfId="3679" xr:uid="{6BF13506-C002-4018-87F5-466F6F4C5629}"/>
    <cellStyle name="Normal 4 2 3 2 4 2 2 6 2" xfId="12787" xr:uid="{A402C787-609F-49ED-9CE5-4E2C08F036AE}"/>
    <cellStyle name="Normal 4 2 3 2 4 2 2 7" xfId="3680" xr:uid="{C900DACB-B37F-4D64-A172-880ED8CAA1D4}"/>
    <cellStyle name="Normal 4 2 3 2 4 2 2 7 2" xfId="12788" xr:uid="{350F24B5-A154-469E-B3DB-1F68445EF5EE}"/>
    <cellStyle name="Normal 4 2 3 2 4 2 2 8" xfId="12768" xr:uid="{E43838F4-82DC-49AD-BE76-22638E06D18C}"/>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2 2" xfId="12791" xr:uid="{A25CE1E1-80E2-40F8-B13A-938A6EDBE9A2}"/>
    <cellStyle name="Normal 4 2 3 2 4 2 3 2 3" xfId="3684" xr:uid="{C4BF25FF-53D9-472F-9B49-6AA199CFB2E8}"/>
    <cellStyle name="Normal 4 2 3 2 4 2 3 2 3 2" xfId="12792" xr:uid="{0883A785-960B-48BE-8C6D-4CA6282F4F69}"/>
    <cellStyle name="Normal 4 2 3 2 4 2 3 2 4" xfId="12790" xr:uid="{31DB0FC3-E7CE-492D-B250-313E552B486B}"/>
    <cellStyle name="Normal 4 2 3 2 4 2 3 3" xfId="3685" xr:uid="{608CD416-EBA5-40F0-B513-9F7B26846BC1}"/>
    <cellStyle name="Normal 4 2 3 2 4 2 3 3 2" xfId="12793" xr:uid="{A9432E4E-BD32-4098-A8C0-9CB88BC1BC0A}"/>
    <cellStyle name="Normal 4 2 3 2 4 2 3 4" xfId="3686" xr:uid="{E70BC899-A66D-4BCB-8805-92B7660AB78A}"/>
    <cellStyle name="Normal 4 2 3 2 4 2 3 4 2" xfId="12794" xr:uid="{C394559E-4F6F-4066-B59F-EB4FCC87C0DA}"/>
    <cellStyle name="Normal 4 2 3 2 4 2 3 5" xfId="3687" xr:uid="{84AE3953-D02A-4E85-A6E0-9BE58D74FA8B}"/>
    <cellStyle name="Normal 4 2 3 2 4 2 3 5 2" xfId="12795" xr:uid="{9421F5BE-2711-48CA-BDB4-F89757D86E39}"/>
    <cellStyle name="Normal 4 2 3 2 4 2 3 6" xfId="12789" xr:uid="{366CA623-3824-49C3-AC96-34C0085982EF}"/>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2 2" xfId="12798" xr:uid="{93C046BD-A1D9-4D50-8ABD-9E3530D0F6E2}"/>
    <cellStyle name="Normal 4 2 3 2 4 2 4 2 3" xfId="3691" xr:uid="{6F376559-318D-4AB5-89A8-A958B54FAFDD}"/>
    <cellStyle name="Normal 4 2 3 2 4 2 4 2 3 2" xfId="12799" xr:uid="{2AC99108-70FE-409C-A6C3-FD117A785A55}"/>
    <cellStyle name="Normal 4 2 3 2 4 2 4 2 4" xfId="12797" xr:uid="{732E46A9-D0E6-4477-83AF-F7AC36042B25}"/>
    <cellStyle name="Normal 4 2 3 2 4 2 4 3" xfId="3692" xr:uid="{7B83394E-0A52-44B1-9B90-21F87ED5948E}"/>
    <cellStyle name="Normal 4 2 3 2 4 2 4 3 2" xfId="12800" xr:uid="{0DAD589C-AE6C-4473-93B1-6626B6DE52CB}"/>
    <cellStyle name="Normal 4 2 3 2 4 2 4 4" xfId="3693" xr:uid="{CB553031-12A8-4417-A968-9629FE8F22EB}"/>
    <cellStyle name="Normal 4 2 3 2 4 2 4 4 2" xfId="12801" xr:uid="{D39F5FCA-40FC-4FDF-B1F4-4F0158EAC5D4}"/>
    <cellStyle name="Normal 4 2 3 2 4 2 4 5" xfId="3694" xr:uid="{3ACBA129-27D8-4027-A9B0-F74F05F3908D}"/>
    <cellStyle name="Normal 4 2 3 2 4 2 4 5 2" xfId="12802" xr:uid="{51BD93AB-4763-4699-8FD8-77C2CA7E8BF2}"/>
    <cellStyle name="Normal 4 2 3 2 4 2 4 6" xfId="12796" xr:uid="{1F2AA154-6788-4CC3-AFE0-E14266881D7B}"/>
    <cellStyle name="Normal 4 2 3 2 4 2 5" xfId="3695" xr:uid="{DBC8C341-35C6-4A74-BD1B-78A47C3C72C8}"/>
    <cellStyle name="Normal 4 2 3 2 4 2 5 2" xfId="3696" xr:uid="{84498F3C-E026-4B43-B73A-BC6D658CB1CE}"/>
    <cellStyle name="Normal 4 2 3 2 4 2 5 2 2" xfId="12804" xr:uid="{8C2469C5-8217-435C-9EE3-3A84D50E872A}"/>
    <cellStyle name="Normal 4 2 3 2 4 2 5 3" xfId="3697" xr:uid="{7B4A130D-7659-4653-8FB5-5055BDA56D46}"/>
    <cellStyle name="Normal 4 2 3 2 4 2 5 3 2" xfId="12805" xr:uid="{951FEAC3-6AAE-4AF7-9994-6D5A49E547A2}"/>
    <cellStyle name="Normal 4 2 3 2 4 2 5 4" xfId="12803" xr:uid="{424A535F-FBE0-47F6-AE15-D174DCD3D2FF}"/>
    <cellStyle name="Normal 4 2 3 2 4 2 6" xfId="3698" xr:uid="{0BFEFFB4-1AA1-4A84-AD1D-3711111DD7EC}"/>
    <cellStyle name="Normal 4 2 3 2 4 2 6 2" xfId="12806" xr:uid="{74267ADA-1A43-4AC5-BD0E-9BFAC6BF6187}"/>
    <cellStyle name="Normal 4 2 3 2 4 2 7" xfId="3699" xr:uid="{854948CE-6028-4624-BEDF-309BBE4BF1D9}"/>
    <cellStyle name="Normal 4 2 3 2 4 2 7 2" xfId="12807" xr:uid="{6DB535C6-9B39-4FB1-B965-7B7ECE025850}"/>
    <cellStyle name="Normal 4 2 3 2 4 2 8" xfId="3700" xr:uid="{73DD0F1F-5021-4F89-832A-C4014E23D632}"/>
    <cellStyle name="Normal 4 2 3 2 4 2 8 2" xfId="12808" xr:uid="{5D537FF7-EB15-48BF-AB1B-86456FEC1A63}"/>
    <cellStyle name="Normal 4 2 3 2 4 2 9" xfId="12767" xr:uid="{D702AFBD-BFB5-4F1E-ACC3-AA597B5B87DD}"/>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2 2" xfId="12812" xr:uid="{AFE24FFC-9C31-4468-8DD4-EDD6D9827BC8}"/>
    <cellStyle name="Normal 4 2 3 2 4 3 2 2 3" xfId="3705" xr:uid="{A8D76ACA-551B-4F2C-929B-04471CCDF583}"/>
    <cellStyle name="Normal 4 2 3 2 4 3 2 2 3 2" xfId="12813" xr:uid="{234C4442-460D-4601-B536-7C8353034E0A}"/>
    <cellStyle name="Normal 4 2 3 2 4 3 2 2 4" xfId="12811" xr:uid="{C7A99103-B981-4672-94B2-5E72888331ED}"/>
    <cellStyle name="Normal 4 2 3 2 4 3 2 3" xfId="3706" xr:uid="{B1ED478A-9D57-47A6-8A25-21453352AA1B}"/>
    <cellStyle name="Normal 4 2 3 2 4 3 2 3 2" xfId="12814" xr:uid="{58A61C90-7C65-4F3F-B473-F8193ADAB42E}"/>
    <cellStyle name="Normal 4 2 3 2 4 3 2 4" xfId="3707" xr:uid="{91636427-941C-4086-A5B0-A2FD67CA9815}"/>
    <cellStyle name="Normal 4 2 3 2 4 3 2 4 2" xfId="12815" xr:uid="{A9E6402F-9130-4BA0-8F59-11C60B90BBB0}"/>
    <cellStyle name="Normal 4 2 3 2 4 3 2 5" xfId="3708" xr:uid="{FA075575-5349-41A2-A0B6-22BA56B4C284}"/>
    <cellStyle name="Normal 4 2 3 2 4 3 2 5 2" xfId="12816" xr:uid="{C565EF8A-6744-4699-99A4-004B4FDEA325}"/>
    <cellStyle name="Normal 4 2 3 2 4 3 2 6" xfId="12810" xr:uid="{4B545799-B885-4F9F-B180-9D94E0D75300}"/>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2 2" xfId="12819" xr:uid="{8CBE1C79-EB13-46EE-A416-9C53C9508647}"/>
    <cellStyle name="Normal 4 2 3 2 4 3 3 2 3" xfId="3712" xr:uid="{53EC5475-CD69-4FF2-9819-24716A76D052}"/>
    <cellStyle name="Normal 4 2 3 2 4 3 3 2 3 2" xfId="12820" xr:uid="{4A7D6AC5-A1A9-4D16-A256-6CD79E7358C6}"/>
    <cellStyle name="Normal 4 2 3 2 4 3 3 2 4" xfId="12818" xr:uid="{5FEB872A-CE6A-4195-87E5-9A4D9D7AE0DE}"/>
    <cellStyle name="Normal 4 2 3 2 4 3 3 3" xfId="3713" xr:uid="{B257D008-C0BA-4AD1-BB8B-B0210E72AB7F}"/>
    <cellStyle name="Normal 4 2 3 2 4 3 3 3 2" xfId="12821" xr:uid="{C9612698-0B47-4242-9A47-1C73E6FBB2A2}"/>
    <cellStyle name="Normal 4 2 3 2 4 3 3 4" xfId="3714" xr:uid="{31305DF2-2169-43B9-BDAF-EC3C014073AC}"/>
    <cellStyle name="Normal 4 2 3 2 4 3 3 4 2" xfId="12822" xr:uid="{74210574-FC50-4722-8415-BB4C3974EDAC}"/>
    <cellStyle name="Normal 4 2 3 2 4 3 3 5" xfId="3715" xr:uid="{324713A9-C272-4A17-B776-F04FAA4A26A8}"/>
    <cellStyle name="Normal 4 2 3 2 4 3 3 5 2" xfId="12823" xr:uid="{25286285-72A6-4CC4-8F8A-7D0B73EBFBD2}"/>
    <cellStyle name="Normal 4 2 3 2 4 3 3 6" xfId="12817" xr:uid="{0C3586D7-171E-4FA6-9182-05A24D4E4C38}"/>
    <cellStyle name="Normal 4 2 3 2 4 3 4" xfId="3716" xr:uid="{76C29125-2CB9-40A6-BADC-949DF092F0EB}"/>
    <cellStyle name="Normal 4 2 3 2 4 3 4 2" xfId="3717" xr:uid="{C72DAA76-6BE0-460B-A8C0-804434459FBB}"/>
    <cellStyle name="Normal 4 2 3 2 4 3 4 2 2" xfId="12825" xr:uid="{9B205F85-74B7-40B0-98CD-B42B2BC9C3A3}"/>
    <cellStyle name="Normal 4 2 3 2 4 3 4 3" xfId="3718" xr:uid="{B1D6EF9B-5809-446E-867D-DBA3124DCFAD}"/>
    <cellStyle name="Normal 4 2 3 2 4 3 4 3 2" xfId="12826" xr:uid="{77020E5D-2270-4010-86A0-62DF850BD72B}"/>
    <cellStyle name="Normal 4 2 3 2 4 3 4 4" xfId="12824" xr:uid="{E24F2048-AB8F-4959-84C7-3410AEF9A00C}"/>
    <cellStyle name="Normal 4 2 3 2 4 3 5" xfId="3719" xr:uid="{1A4F1160-0A2F-451B-A364-C9FD71141B11}"/>
    <cellStyle name="Normal 4 2 3 2 4 3 5 2" xfId="12827" xr:uid="{1DB33DFA-2D5B-4009-AD5A-4E5A5140A026}"/>
    <cellStyle name="Normal 4 2 3 2 4 3 6" xfId="3720" xr:uid="{C774D90D-302E-4DA0-ADEC-ABE0C4E466B3}"/>
    <cellStyle name="Normal 4 2 3 2 4 3 6 2" xfId="12828" xr:uid="{34346E2E-4EB1-4BB1-A6B4-9DC4B76170DC}"/>
    <cellStyle name="Normal 4 2 3 2 4 3 7" xfId="3721" xr:uid="{67C9FF77-4BA0-432E-AC85-82F52792255C}"/>
    <cellStyle name="Normal 4 2 3 2 4 3 7 2" xfId="12829" xr:uid="{87AB034A-859F-43B7-902F-BE086F47945C}"/>
    <cellStyle name="Normal 4 2 3 2 4 3 8" xfId="12809" xr:uid="{A2B7E011-22C6-41C5-8A59-89C020B1057E}"/>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2 2" xfId="12832" xr:uid="{5A606854-8CCA-47A1-B808-C28E597FAACE}"/>
    <cellStyle name="Normal 4 2 3 2 4 4 2 3" xfId="3725" xr:uid="{0DDBD64A-9694-4E6B-AEAD-DF22A28DC628}"/>
    <cellStyle name="Normal 4 2 3 2 4 4 2 3 2" xfId="12833" xr:uid="{8ACA2191-1DC4-4609-8C87-EF9935434CF1}"/>
    <cellStyle name="Normal 4 2 3 2 4 4 2 4" xfId="12831" xr:uid="{88F52DD7-4A42-442E-A777-B0C40DB08819}"/>
    <cellStyle name="Normal 4 2 3 2 4 4 3" xfId="3726" xr:uid="{871805E2-1F27-4269-9910-00E8F5396762}"/>
    <cellStyle name="Normal 4 2 3 2 4 4 3 2" xfId="12834" xr:uid="{1298A9F8-0AA0-44D1-A6FB-556EB6F02ACB}"/>
    <cellStyle name="Normal 4 2 3 2 4 4 4" xfId="3727" xr:uid="{5C9C784C-01DE-4BA0-92C7-67CA0A9B75C9}"/>
    <cellStyle name="Normal 4 2 3 2 4 4 4 2" xfId="12835" xr:uid="{E84C4F03-0D84-4B9F-A231-701A723DC7AD}"/>
    <cellStyle name="Normal 4 2 3 2 4 4 5" xfId="3728" xr:uid="{3614B3BC-851F-4267-A20C-E1FB0407BFA2}"/>
    <cellStyle name="Normal 4 2 3 2 4 4 5 2" xfId="12836" xr:uid="{90F57C05-E33B-402E-9773-B41C55858149}"/>
    <cellStyle name="Normal 4 2 3 2 4 4 6" xfId="12830" xr:uid="{31392D48-C87B-43CC-835B-5A552DAB11CE}"/>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2 2" xfId="12839" xr:uid="{FE0FBFB8-A2EE-44B6-97DD-49C5A371652E}"/>
    <cellStyle name="Normal 4 2 3 2 4 5 2 3" xfId="3732" xr:uid="{B49D75DE-41C2-4708-998C-1C175D588748}"/>
    <cellStyle name="Normal 4 2 3 2 4 5 2 3 2" xfId="12840" xr:uid="{0F9EE338-CA10-4DFC-8AB5-A3D08560E2BF}"/>
    <cellStyle name="Normal 4 2 3 2 4 5 2 4" xfId="12838" xr:uid="{D6AE4905-8048-411D-B234-40597EA5192F}"/>
    <cellStyle name="Normal 4 2 3 2 4 5 3" xfId="3733" xr:uid="{F7568B79-CB54-42C8-9310-541E046A7E36}"/>
    <cellStyle name="Normal 4 2 3 2 4 5 3 2" xfId="12841" xr:uid="{AC2B62ED-013B-43D2-BB8C-A6114AEE8184}"/>
    <cellStyle name="Normal 4 2 3 2 4 5 4" xfId="3734" xr:uid="{47F1B730-52AD-4815-A2B5-02C3328DA269}"/>
    <cellStyle name="Normal 4 2 3 2 4 5 4 2" xfId="12842" xr:uid="{F97D6797-BAA9-4725-9CA7-319BCADE6F1E}"/>
    <cellStyle name="Normal 4 2 3 2 4 5 5" xfId="3735" xr:uid="{5C927331-BED9-4ACB-A462-B467EA6026DC}"/>
    <cellStyle name="Normal 4 2 3 2 4 5 5 2" xfId="12843" xr:uid="{85F9E957-3A3C-4D17-9D98-1DAB558C81E9}"/>
    <cellStyle name="Normal 4 2 3 2 4 5 6" xfId="12837" xr:uid="{17070A0F-A3D0-415A-9EBB-37621FB575AE}"/>
    <cellStyle name="Normal 4 2 3 2 4 6" xfId="3736" xr:uid="{76D9102D-1BB1-4EFC-BC08-4DCA4C99F864}"/>
    <cellStyle name="Normal 4 2 3 2 4 6 2" xfId="3737" xr:uid="{66B58EDA-FB34-4D07-870F-A7B43A436C98}"/>
    <cellStyle name="Normal 4 2 3 2 4 6 2 2" xfId="12845" xr:uid="{C8FE8636-3C16-4634-9850-8E82A9FC6CF2}"/>
    <cellStyle name="Normal 4 2 3 2 4 6 3" xfId="3738" xr:uid="{BC9B07FC-87AF-4779-86EA-49D3EC2192C8}"/>
    <cellStyle name="Normal 4 2 3 2 4 6 3 2" xfId="12846" xr:uid="{33400E3D-3F60-4684-A3E4-634F2D7E59A5}"/>
    <cellStyle name="Normal 4 2 3 2 4 6 4" xfId="12844" xr:uid="{611ACEFF-A744-4DA1-A130-BF36D15445CF}"/>
    <cellStyle name="Normal 4 2 3 2 4 7" xfId="3739" xr:uid="{35064536-21DE-4427-926C-A5DFE54DCAD1}"/>
    <cellStyle name="Normal 4 2 3 2 4 7 2" xfId="12847" xr:uid="{FA35F40A-7C1D-4C23-812E-76553341543C}"/>
    <cellStyle name="Normal 4 2 3 2 4 8" xfId="3740" xr:uid="{1B7ADEA9-A869-4447-A17A-AB965E1FA804}"/>
    <cellStyle name="Normal 4 2 3 2 4 8 2" xfId="12848" xr:uid="{366DE36C-F043-4D62-ADE9-BF6C2595882B}"/>
    <cellStyle name="Normal 4 2 3 2 4 9" xfId="3741" xr:uid="{8BB7640B-D985-4997-91B5-3293E9ADAD23}"/>
    <cellStyle name="Normal 4 2 3 2 4 9 2" xfId="12849" xr:uid="{0DDEA607-5950-4501-AD28-5016324689A1}"/>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2 2" xfId="12854" xr:uid="{4D9F3828-4AD9-43C7-B0F3-F8FBEC934FC5}"/>
    <cellStyle name="Normal 4 2 3 2 5 2 2 2 3" xfId="3747" xr:uid="{0E1A9B9D-2CA2-496E-BDA7-3BE9E93F31B8}"/>
    <cellStyle name="Normal 4 2 3 2 5 2 2 2 3 2" xfId="12855" xr:uid="{B01F1B61-0485-432D-87AA-39006FADADFE}"/>
    <cellStyle name="Normal 4 2 3 2 5 2 2 2 4" xfId="12853" xr:uid="{14EDC150-65D9-49EE-87F2-E698DD6D1326}"/>
    <cellStyle name="Normal 4 2 3 2 5 2 2 3" xfId="3748" xr:uid="{D70463BF-7130-4D63-8153-5BA271E6656D}"/>
    <cellStyle name="Normal 4 2 3 2 5 2 2 3 2" xfId="12856" xr:uid="{AEE0AD82-63D0-43DB-A7C4-5A49C4CCCC59}"/>
    <cellStyle name="Normal 4 2 3 2 5 2 2 4" xfId="3749" xr:uid="{7F0457E4-756C-452C-85B7-88B63A10BF11}"/>
    <cellStyle name="Normal 4 2 3 2 5 2 2 4 2" xfId="12857" xr:uid="{5C3B3178-2154-4241-972F-A53E5E452ACD}"/>
    <cellStyle name="Normal 4 2 3 2 5 2 2 5" xfId="3750" xr:uid="{5953B2F4-2C58-488E-8F98-4E182331056B}"/>
    <cellStyle name="Normal 4 2 3 2 5 2 2 5 2" xfId="12858" xr:uid="{4817AA1F-125E-4E37-9A03-0831AB22C921}"/>
    <cellStyle name="Normal 4 2 3 2 5 2 2 6" xfId="12852" xr:uid="{CB071E04-6274-440E-8FF2-D37FAF01DC43}"/>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2 2" xfId="12861" xr:uid="{868F3AE2-45B4-4D40-8DC7-0D6D69D434EB}"/>
    <cellStyle name="Normal 4 2 3 2 5 2 3 2 3" xfId="3754" xr:uid="{97C8C56B-2FE2-4AE7-95A6-0F5B476B2E35}"/>
    <cellStyle name="Normal 4 2 3 2 5 2 3 2 3 2" xfId="12862" xr:uid="{CF9FDDEC-04D0-457F-BB26-5C18E3E72797}"/>
    <cellStyle name="Normal 4 2 3 2 5 2 3 2 4" xfId="12860" xr:uid="{75038433-5254-4DE6-AE5D-775ECFEBFAD2}"/>
    <cellStyle name="Normal 4 2 3 2 5 2 3 3" xfId="3755" xr:uid="{140CB8A6-364A-424E-9F65-5C0308195D08}"/>
    <cellStyle name="Normal 4 2 3 2 5 2 3 3 2" xfId="12863" xr:uid="{3713650F-D855-4B22-9F80-A68D1F5FEAD1}"/>
    <cellStyle name="Normal 4 2 3 2 5 2 3 4" xfId="3756" xr:uid="{F1F9E963-58E0-47C7-91E2-61C532076CF5}"/>
    <cellStyle name="Normal 4 2 3 2 5 2 3 4 2" xfId="12864" xr:uid="{814EA62B-48D9-43DA-AD40-0040191B57B6}"/>
    <cellStyle name="Normal 4 2 3 2 5 2 3 5" xfId="3757" xr:uid="{D07B9280-7C3F-4623-8C8B-C91AE7B9D25D}"/>
    <cellStyle name="Normal 4 2 3 2 5 2 3 5 2" xfId="12865" xr:uid="{4ECF1D60-57E0-4A90-BBF6-81EECDAB9636}"/>
    <cellStyle name="Normal 4 2 3 2 5 2 3 6" xfId="12859" xr:uid="{65650C19-967A-4989-8DE1-40A826025043}"/>
    <cellStyle name="Normal 4 2 3 2 5 2 4" xfId="3758" xr:uid="{70D41B8D-95D6-4C2A-BD96-F838A78E4B94}"/>
    <cellStyle name="Normal 4 2 3 2 5 2 4 2" xfId="3759" xr:uid="{C6A9DE56-B15A-404B-BB3F-7E076BC3322D}"/>
    <cellStyle name="Normal 4 2 3 2 5 2 4 2 2" xfId="12867" xr:uid="{E320DF9D-D7DE-4971-824E-A616549F061A}"/>
    <cellStyle name="Normal 4 2 3 2 5 2 4 3" xfId="3760" xr:uid="{E756801B-5AF1-459C-91FD-D917CD3126D9}"/>
    <cellStyle name="Normal 4 2 3 2 5 2 4 3 2" xfId="12868" xr:uid="{934E6952-0521-4B85-8E84-115CC3708C62}"/>
    <cellStyle name="Normal 4 2 3 2 5 2 4 4" xfId="12866" xr:uid="{F284E43D-676B-4EEE-ABCF-F103BC41542F}"/>
    <cellStyle name="Normal 4 2 3 2 5 2 5" xfId="3761" xr:uid="{56EB19F5-59E9-4525-91C8-F8E50293F6DD}"/>
    <cellStyle name="Normal 4 2 3 2 5 2 5 2" xfId="12869" xr:uid="{627B475C-9677-4A0F-9307-724A2617A089}"/>
    <cellStyle name="Normal 4 2 3 2 5 2 6" xfId="3762" xr:uid="{2884401A-6D8C-4022-8187-EA21DFAEDC56}"/>
    <cellStyle name="Normal 4 2 3 2 5 2 6 2" xfId="12870" xr:uid="{CDE1DCC9-35B5-4A67-AF71-7A090C38C8AB}"/>
    <cellStyle name="Normal 4 2 3 2 5 2 7" xfId="3763" xr:uid="{7CE412CE-FD53-4ADF-8259-E4A70AB08EF7}"/>
    <cellStyle name="Normal 4 2 3 2 5 2 7 2" xfId="12871" xr:uid="{662A417D-01CC-40F6-AFEA-2C0BDD5FABD4}"/>
    <cellStyle name="Normal 4 2 3 2 5 2 8" xfId="12851" xr:uid="{718013C7-068A-4EC8-9839-B225F7D84D2D}"/>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2 2" xfId="12874" xr:uid="{C3172B0A-8BD9-4293-BF3B-632B7095CCF5}"/>
    <cellStyle name="Normal 4 2 3 2 5 3 2 3" xfId="3767" xr:uid="{FF9B0F60-5A86-40C9-9199-2B674078B418}"/>
    <cellStyle name="Normal 4 2 3 2 5 3 2 3 2" xfId="12875" xr:uid="{97B4A1F0-1E92-4D33-A72D-9AE68021F0DD}"/>
    <cellStyle name="Normal 4 2 3 2 5 3 2 4" xfId="12873" xr:uid="{55C64972-9910-4FCA-8D89-28424DEDCBDB}"/>
    <cellStyle name="Normal 4 2 3 2 5 3 3" xfId="3768" xr:uid="{0411CBA3-328D-42CD-B0CC-68C6A0FE4061}"/>
    <cellStyle name="Normal 4 2 3 2 5 3 3 2" xfId="12876" xr:uid="{26AA434F-8EBE-4FEA-A397-DBFA46B960A5}"/>
    <cellStyle name="Normal 4 2 3 2 5 3 4" xfId="3769" xr:uid="{92F1E346-7219-46B8-AF29-BF5A75B788AD}"/>
    <cellStyle name="Normal 4 2 3 2 5 3 4 2" xfId="12877" xr:uid="{ADF8922C-B134-4A3A-AB96-9106906594E2}"/>
    <cellStyle name="Normal 4 2 3 2 5 3 5" xfId="3770" xr:uid="{D3DA13B0-E6FB-4E3D-91BA-25C880BFBBCC}"/>
    <cellStyle name="Normal 4 2 3 2 5 3 5 2" xfId="12878" xr:uid="{8A607094-78FD-447B-9037-17B859F9EFC9}"/>
    <cellStyle name="Normal 4 2 3 2 5 3 6" xfId="12872" xr:uid="{88B9C46D-577C-41F5-8A81-F9DB38318859}"/>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2 2" xfId="12881" xr:uid="{EFF9CB32-0FE9-4150-82C6-9254810A7B8E}"/>
    <cellStyle name="Normal 4 2 3 2 5 4 2 3" xfId="3774" xr:uid="{4F948EF9-4DC7-46AE-A3A6-AD052F3FFE1F}"/>
    <cellStyle name="Normal 4 2 3 2 5 4 2 3 2" xfId="12882" xr:uid="{C6E7E423-2D0D-470F-A35F-936820A7D27C}"/>
    <cellStyle name="Normal 4 2 3 2 5 4 2 4" xfId="12880" xr:uid="{096A9715-CA94-44CF-8B14-A473CF6E0AF5}"/>
    <cellStyle name="Normal 4 2 3 2 5 4 3" xfId="3775" xr:uid="{1D6695EB-FC6F-4700-98AC-1761B72BD2C8}"/>
    <cellStyle name="Normal 4 2 3 2 5 4 3 2" xfId="12883" xr:uid="{C500BB31-FED8-429C-B26C-7B4C57AF5011}"/>
    <cellStyle name="Normal 4 2 3 2 5 4 4" xfId="3776" xr:uid="{362E3BC1-C2A7-45C4-B42B-04C1E9A66BA1}"/>
    <cellStyle name="Normal 4 2 3 2 5 4 4 2" xfId="12884" xr:uid="{4D5DC0E7-0871-4B7C-8C0F-A966901B9A20}"/>
    <cellStyle name="Normal 4 2 3 2 5 4 5" xfId="3777" xr:uid="{FD4AFE25-B615-47DC-A7A7-7B9300015C7F}"/>
    <cellStyle name="Normal 4 2 3 2 5 4 5 2" xfId="12885" xr:uid="{E0C3F587-C080-4ABB-A472-77A4D518EB07}"/>
    <cellStyle name="Normal 4 2 3 2 5 4 6" xfId="12879" xr:uid="{15AB9868-AB55-4982-8E9F-1E1B3889B820}"/>
    <cellStyle name="Normal 4 2 3 2 5 5" xfId="3778" xr:uid="{0FF24047-30F4-44A1-B408-F76CCDC2B304}"/>
    <cellStyle name="Normal 4 2 3 2 5 5 2" xfId="3779" xr:uid="{4BAAD427-000A-4AA2-A4CF-BB3277D3F117}"/>
    <cellStyle name="Normal 4 2 3 2 5 5 2 2" xfId="12887" xr:uid="{7C98A4DE-C900-4EA1-A2C1-83FE19C54E5B}"/>
    <cellStyle name="Normal 4 2 3 2 5 5 3" xfId="3780" xr:uid="{C51A4392-800C-4900-A8F5-466308E27146}"/>
    <cellStyle name="Normal 4 2 3 2 5 5 3 2" xfId="12888" xr:uid="{6C9C880D-E4B3-47EF-827A-CC382062F1DF}"/>
    <cellStyle name="Normal 4 2 3 2 5 5 4" xfId="12886" xr:uid="{92206870-F466-4DC2-93D9-01B59F2666E0}"/>
    <cellStyle name="Normal 4 2 3 2 5 6" xfId="3781" xr:uid="{C7351B6E-DCCC-429C-9B23-1C5A3C7DC23E}"/>
    <cellStyle name="Normal 4 2 3 2 5 6 2" xfId="12889" xr:uid="{443D447F-4A13-4B8A-9093-F7877FB46043}"/>
    <cellStyle name="Normal 4 2 3 2 5 7" xfId="3782" xr:uid="{94D8FFC6-9B78-4826-9AED-EE3055716B43}"/>
    <cellStyle name="Normal 4 2 3 2 5 7 2" xfId="12890" xr:uid="{21AEC7EC-970A-4F2E-834B-A8CA30D57970}"/>
    <cellStyle name="Normal 4 2 3 2 5 8" xfId="3783" xr:uid="{7BB666F3-AE1D-46F0-9725-4AD3FD513F70}"/>
    <cellStyle name="Normal 4 2 3 2 5 8 2" xfId="12891" xr:uid="{7D01706C-0B4E-43B9-8049-EE8A34FE62A9}"/>
    <cellStyle name="Normal 4 2 3 2 5 9" xfId="12850" xr:uid="{18C0A79F-F21D-4A96-8AA5-42CB148CB0DE}"/>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2 2" xfId="12895" xr:uid="{78908C77-1DF0-441D-BC1B-54135291B035}"/>
    <cellStyle name="Normal 4 2 3 2 6 2 2 3" xfId="3788" xr:uid="{464D2C52-12DD-4420-81C6-4A584F320CFD}"/>
    <cellStyle name="Normal 4 2 3 2 6 2 2 3 2" xfId="12896" xr:uid="{CE0F4B39-B53B-4405-BCD4-2E508DEE0650}"/>
    <cellStyle name="Normal 4 2 3 2 6 2 2 4" xfId="12894" xr:uid="{82506980-8133-48DF-AB76-8BBAD6583FC4}"/>
    <cellStyle name="Normal 4 2 3 2 6 2 3" xfId="3789" xr:uid="{6D350940-F78B-4E25-A020-F8B52AAA7E36}"/>
    <cellStyle name="Normal 4 2 3 2 6 2 3 2" xfId="12897" xr:uid="{D55407B0-7B75-48CC-A7B1-B181D72D3725}"/>
    <cellStyle name="Normal 4 2 3 2 6 2 4" xfId="3790" xr:uid="{0B37D219-5DAB-4F1F-A500-8977D94AF66D}"/>
    <cellStyle name="Normal 4 2 3 2 6 2 4 2" xfId="12898" xr:uid="{7B17AF7D-CBB1-4365-BCE6-10C99C1759CD}"/>
    <cellStyle name="Normal 4 2 3 2 6 2 5" xfId="3791" xr:uid="{1218B26C-9442-4F74-AEA5-150BBD310FB7}"/>
    <cellStyle name="Normal 4 2 3 2 6 2 5 2" xfId="12899" xr:uid="{E382BA54-94D4-49A5-9AC3-604133544030}"/>
    <cellStyle name="Normal 4 2 3 2 6 2 6" xfId="12893" xr:uid="{83EC1DA2-2966-49AD-844E-A6F7ECBE8B2A}"/>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2 2" xfId="12902" xr:uid="{299C6BD7-6EA7-4856-8A37-9FE59119BDBE}"/>
    <cellStyle name="Normal 4 2 3 2 6 3 2 3" xfId="3795" xr:uid="{59164D5B-28A5-438C-A31A-7DC5EED57DE0}"/>
    <cellStyle name="Normal 4 2 3 2 6 3 2 3 2" xfId="12903" xr:uid="{6FF71DEA-1599-44E3-9011-B1252DD5E86C}"/>
    <cellStyle name="Normal 4 2 3 2 6 3 2 4" xfId="12901" xr:uid="{A83EA33C-15A2-4FC8-924B-6D1D6F868F36}"/>
    <cellStyle name="Normal 4 2 3 2 6 3 3" xfId="3796" xr:uid="{BBC894B4-FC5E-43EA-95FE-6A2B33FB5B7C}"/>
    <cellStyle name="Normal 4 2 3 2 6 3 3 2" xfId="12904" xr:uid="{CB9CC459-A1EB-432B-9F3B-871F14FDDC47}"/>
    <cellStyle name="Normal 4 2 3 2 6 3 4" xfId="3797" xr:uid="{82716AE5-2458-4DFB-B30A-DD341BE30184}"/>
    <cellStyle name="Normal 4 2 3 2 6 3 4 2" xfId="12905" xr:uid="{55C12ECE-6186-4997-BD7B-A587A07C8731}"/>
    <cellStyle name="Normal 4 2 3 2 6 3 5" xfId="3798" xr:uid="{E4EF0E77-E5C7-46BB-B6F8-C4F2131E1733}"/>
    <cellStyle name="Normal 4 2 3 2 6 3 5 2" xfId="12906" xr:uid="{82B3A448-7181-4CA5-A15E-EFD5E3D8AC82}"/>
    <cellStyle name="Normal 4 2 3 2 6 3 6" xfId="12900" xr:uid="{80C397A3-CE03-4A18-A6C1-B34AB40A365D}"/>
    <cellStyle name="Normal 4 2 3 2 6 4" xfId="3799" xr:uid="{93259AA3-3A4B-49B3-9FBA-3E0C7F76C3CA}"/>
    <cellStyle name="Normal 4 2 3 2 6 4 2" xfId="3800" xr:uid="{4BDC85D3-A28E-43E6-8DDE-8A229FD7013D}"/>
    <cellStyle name="Normal 4 2 3 2 6 4 2 2" xfId="12908" xr:uid="{770E2732-55D2-488D-93B5-8AC12CF167B5}"/>
    <cellStyle name="Normal 4 2 3 2 6 4 3" xfId="3801" xr:uid="{F8CC69B4-A02F-48AA-B85A-9C22E941F0C9}"/>
    <cellStyle name="Normal 4 2 3 2 6 4 3 2" xfId="12909" xr:uid="{1DD5C8EA-36C8-48F6-B206-9215068DD121}"/>
    <cellStyle name="Normal 4 2 3 2 6 4 4" xfId="12907" xr:uid="{6581DDAC-999B-43D5-9BFB-CB07AF9563BD}"/>
    <cellStyle name="Normal 4 2 3 2 6 5" xfId="3802" xr:uid="{2DD84D59-0142-4BB9-91C9-E710B5F5FE1E}"/>
    <cellStyle name="Normal 4 2 3 2 6 5 2" xfId="12910" xr:uid="{1285C91B-B712-4F0A-BFC7-987A3F835431}"/>
    <cellStyle name="Normal 4 2 3 2 6 6" xfId="3803" xr:uid="{1915C031-9F56-4BC6-893D-E493504CAD1C}"/>
    <cellStyle name="Normal 4 2 3 2 6 6 2" xfId="12911" xr:uid="{7EDAB169-FC06-4DB4-8361-54AD666E2A96}"/>
    <cellStyle name="Normal 4 2 3 2 6 7" xfId="3804" xr:uid="{0C6B60A8-603F-4DF5-A531-3C9B8ABDAE66}"/>
    <cellStyle name="Normal 4 2 3 2 6 7 2" xfId="12912" xr:uid="{CB034650-F978-4432-8F5D-705B8860CB63}"/>
    <cellStyle name="Normal 4 2 3 2 6 8" xfId="12892" xr:uid="{79D2B617-13C3-44A3-9E9F-710263C1509C}"/>
    <cellStyle name="Normal 4 2 3 2 7" xfId="3805" xr:uid="{B0DFB06F-9CB9-47D8-BF81-B63822DC8241}"/>
    <cellStyle name="Normal 4 2 3 2 7 2" xfId="3806" xr:uid="{EB4EB0E8-AF13-4005-A5C3-FC51AAFFC823}"/>
    <cellStyle name="Normal 4 2 3 2 7 2 2" xfId="3807" xr:uid="{384E58C8-2D79-452C-9A4D-E2C69882736B}"/>
    <cellStyle name="Normal 4 2 3 2 7 2 2 2" xfId="12915" xr:uid="{868FBD05-EE14-4C06-ABD3-E20EC45B724E}"/>
    <cellStyle name="Normal 4 2 3 2 7 2 3" xfId="3808" xr:uid="{CB05774A-791A-4A77-91E5-EFD680BD75F0}"/>
    <cellStyle name="Normal 4 2 3 2 7 2 3 2" xfId="12916" xr:uid="{71E2ABAB-E074-4A2C-93E3-108EF2282EC2}"/>
    <cellStyle name="Normal 4 2 3 2 7 2 4" xfId="12914" xr:uid="{73CC5FC1-9083-4B75-AFA7-4F5535811078}"/>
    <cellStyle name="Normal 4 2 3 2 7 3" xfId="3809" xr:uid="{9DC06EE1-AD33-44FA-A1FD-7ED95E7DCBF9}"/>
    <cellStyle name="Normal 4 2 3 2 7 3 2" xfId="12917" xr:uid="{F052F2AB-E98F-49E5-87C4-D516D287FFF9}"/>
    <cellStyle name="Normal 4 2 3 2 7 4" xfId="3810" xr:uid="{B81F79FE-AB95-4D30-A8FA-E1D4BB67BA0B}"/>
    <cellStyle name="Normal 4 2 3 2 7 4 2" xfId="12918" xr:uid="{2B0B5AC5-F48B-46B3-9612-C59A34CAED2E}"/>
    <cellStyle name="Normal 4 2 3 2 7 5" xfId="3811" xr:uid="{1F50185E-3F87-40FF-A0B2-DB1241AA11B5}"/>
    <cellStyle name="Normal 4 2 3 2 7 5 2" xfId="12919" xr:uid="{834DF0A0-D5B0-42FD-812E-0AF7C66546B9}"/>
    <cellStyle name="Normal 4 2 3 2 7 6" xfId="12913" xr:uid="{DADA9F5B-D5C2-4FB4-921C-94B19D5D6974}"/>
    <cellStyle name="Normal 4 2 3 2 8" xfId="3812" xr:uid="{C16FAB11-7E53-4A1F-9850-49EBD0F7D9DE}"/>
    <cellStyle name="Normal 4 2 3 2 8 2" xfId="3813" xr:uid="{B6DA0F71-3890-4E72-9AB7-5DE0A8D75426}"/>
    <cellStyle name="Normal 4 2 3 2 8 2 2" xfId="3814" xr:uid="{CABDAAB2-3A77-49E1-B76E-1CC2E5818042}"/>
    <cellStyle name="Normal 4 2 3 2 8 2 2 2" xfId="12922" xr:uid="{E2282402-1C37-4C58-9ED1-CDE7E0221B74}"/>
    <cellStyle name="Normal 4 2 3 2 8 2 3" xfId="3815" xr:uid="{60E9D84D-5E0C-4F5F-B176-D8821F039766}"/>
    <cellStyle name="Normal 4 2 3 2 8 2 3 2" xfId="12923" xr:uid="{858A0BB9-9C90-4932-8693-51391474346B}"/>
    <cellStyle name="Normal 4 2 3 2 8 2 4" xfId="12921" xr:uid="{C4939209-1746-4950-BD2E-62DDDD5003AC}"/>
    <cellStyle name="Normal 4 2 3 2 8 3" xfId="3816" xr:uid="{1998F38F-CF21-4BE8-B189-75169EE55ED0}"/>
    <cellStyle name="Normal 4 2 3 2 8 3 2" xfId="12924" xr:uid="{0C7ED35D-39B6-4FEE-A015-1112CF499777}"/>
    <cellStyle name="Normal 4 2 3 2 8 4" xfId="3817" xr:uid="{075ECF7E-AAE1-450F-B82B-8B9EADCA5E2B}"/>
    <cellStyle name="Normal 4 2 3 2 8 4 2" xfId="12925" xr:uid="{312D0DF5-D2B9-455F-AFB3-E2D89C979F54}"/>
    <cellStyle name="Normal 4 2 3 2 8 5" xfId="3818" xr:uid="{883CA8B6-3986-41F4-8461-1B75B4921DD7}"/>
    <cellStyle name="Normal 4 2 3 2 8 5 2" xfId="12926" xr:uid="{47E6E07B-524C-4D52-BEAC-44DF9C3DA3E0}"/>
    <cellStyle name="Normal 4 2 3 2 8 6" xfId="12920" xr:uid="{7021F4F4-6A51-41A8-8A7F-7AC6BD2F6F2F}"/>
    <cellStyle name="Normal 4 2 3 2 9" xfId="3819" xr:uid="{941F1B8F-EF5D-4FBC-A82E-2707ED620860}"/>
    <cellStyle name="Normal 4 2 3 2 9 2" xfId="3820" xr:uid="{AAE8ABF6-DFA5-4066-A6F5-F52078C9A042}"/>
    <cellStyle name="Normal 4 2 3 2 9 2 2" xfId="12928" xr:uid="{391DDEE3-7B6D-4F53-987B-C1DAFC044DE1}"/>
    <cellStyle name="Normal 4 2 3 2 9 3" xfId="3821" xr:uid="{7A7AA43E-3DD3-44A5-BE53-C8425332B818}"/>
    <cellStyle name="Normal 4 2 3 2 9 3 2" xfId="12929" xr:uid="{10D666BE-1F46-4CE4-AFB2-E2A279D26370}"/>
    <cellStyle name="Normal 4 2 3 2 9 4" xfId="12927" xr:uid="{B0D87BE3-5077-4C6D-B32B-BC4FC8C63596}"/>
    <cellStyle name="Normal 4 2 3 3" xfId="3822" xr:uid="{036CFE24-85A8-43D7-92E2-06D6DA698F4A}"/>
    <cellStyle name="Normal 4 2 3 3 10" xfId="12930" xr:uid="{8EB6DAAA-59B1-4FAF-AFFA-B4D6BA8155FC}"/>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2 2" xfId="12935" xr:uid="{9A852405-514E-49D7-8830-997B97A6012F}"/>
    <cellStyle name="Normal 4 2 3 3 2 2 2 2 3" xfId="3828" xr:uid="{57C8804B-F91B-48DB-9735-7256D5E57B97}"/>
    <cellStyle name="Normal 4 2 3 3 2 2 2 2 3 2" xfId="12936" xr:uid="{C8FA6F67-1CD3-49D6-88F1-320D53817719}"/>
    <cellStyle name="Normal 4 2 3 3 2 2 2 2 4" xfId="12934" xr:uid="{7C3B8F79-7C69-40DC-8B4C-9985C2E4DC8D}"/>
    <cellStyle name="Normal 4 2 3 3 2 2 2 3" xfId="3829" xr:uid="{B91940DE-5DC8-4CBC-A254-D667EFA19B2E}"/>
    <cellStyle name="Normal 4 2 3 3 2 2 2 3 2" xfId="12937" xr:uid="{50BE8A16-9059-4AC7-8756-291FA4883159}"/>
    <cellStyle name="Normal 4 2 3 3 2 2 2 4" xfId="3830" xr:uid="{B0B755AD-55AE-4ACC-9D0A-E3D0F4AC750E}"/>
    <cellStyle name="Normal 4 2 3 3 2 2 2 4 2" xfId="12938" xr:uid="{9D7AB9ED-6242-42E6-8EC2-F1E19D4AC509}"/>
    <cellStyle name="Normal 4 2 3 3 2 2 2 5" xfId="3831" xr:uid="{43A9C363-B621-4F7E-AC5C-AD31FEDD40D4}"/>
    <cellStyle name="Normal 4 2 3 3 2 2 2 5 2" xfId="12939" xr:uid="{36DB8C09-CA3E-4043-92E4-AEECE7A9BADD}"/>
    <cellStyle name="Normal 4 2 3 3 2 2 2 6" xfId="12933" xr:uid="{5510B9E4-4FC2-45CF-97BF-7A0E32789260}"/>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2 2" xfId="12942" xr:uid="{8CE05640-D096-4237-9AD2-B7FF39F5CFCA}"/>
    <cellStyle name="Normal 4 2 3 3 2 2 3 2 3" xfId="3835" xr:uid="{6C08698C-22E2-45C5-BD28-69C79A31F23E}"/>
    <cellStyle name="Normal 4 2 3 3 2 2 3 2 3 2" xfId="12943" xr:uid="{C287212A-7C09-4C91-9461-9C0E3677C76A}"/>
    <cellStyle name="Normal 4 2 3 3 2 2 3 2 4" xfId="12941" xr:uid="{026B8C2A-919B-47DF-9465-591EE5B83A6B}"/>
    <cellStyle name="Normal 4 2 3 3 2 2 3 3" xfId="3836" xr:uid="{F4DFCBBE-B34A-4BEC-A71A-34650A3A4488}"/>
    <cellStyle name="Normal 4 2 3 3 2 2 3 3 2" xfId="12944" xr:uid="{01D9D557-68C4-48B8-868A-04BBCD43FE99}"/>
    <cellStyle name="Normal 4 2 3 3 2 2 3 4" xfId="3837" xr:uid="{79816684-4264-4C88-80FD-4E8130AABD91}"/>
    <cellStyle name="Normal 4 2 3 3 2 2 3 4 2" xfId="12945" xr:uid="{5C5B243B-B654-42CF-BB2C-3903D9F4061C}"/>
    <cellStyle name="Normal 4 2 3 3 2 2 3 5" xfId="3838" xr:uid="{F6545027-84FB-4779-ABA1-0DA0B915E0B6}"/>
    <cellStyle name="Normal 4 2 3 3 2 2 3 5 2" xfId="12946" xr:uid="{F14FF8F7-9158-4FA9-AD1D-45B45322452F}"/>
    <cellStyle name="Normal 4 2 3 3 2 2 3 6" xfId="12940" xr:uid="{C98A9EE2-1125-4F5E-82A9-E2810D9AFE14}"/>
    <cellStyle name="Normal 4 2 3 3 2 2 4" xfId="3839" xr:uid="{CCE3164E-8314-45A0-AD77-9B77A4A15B94}"/>
    <cellStyle name="Normal 4 2 3 3 2 2 4 2" xfId="3840" xr:uid="{E830AB0D-C179-47FC-BEC6-9894B6377D12}"/>
    <cellStyle name="Normal 4 2 3 3 2 2 4 2 2" xfId="12948" xr:uid="{70E6FDC9-B7FF-4CE7-BA8D-83697615B170}"/>
    <cellStyle name="Normal 4 2 3 3 2 2 4 3" xfId="3841" xr:uid="{3555CDA5-E088-4D98-A1C1-A4A5F2ED1FAD}"/>
    <cellStyle name="Normal 4 2 3 3 2 2 4 3 2" xfId="12949" xr:uid="{4D8E69E1-1B6F-43EF-8831-2E944061E894}"/>
    <cellStyle name="Normal 4 2 3 3 2 2 4 4" xfId="12947" xr:uid="{F71D124C-0AFE-4447-AE6C-D2C4C1226963}"/>
    <cellStyle name="Normal 4 2 3 3 2 2 5" xfId="3842" xr:uid="{7FEF7959-FB9A-4365-8820-6337A8B84205}"/>
    <cellStyle name="Normal 4 2 3 3 2 2 5 2" xfId="12950" xr:uid="{E8471A5D-96C7-4EB6-8455-C4CB5BB47E43}"/>
    <cellStyle name="Normal 4 2 3 3 2 2 6" xfId="3843" xr:uid="{B5D083A5-B359-436B-9F8B-49ECB2ABBF34}"/>
    <cellStyle name="Normal 4 2 3 3 2 2 6 2" xfId="12951" xr:uid="{B385C1CB-CAF7-4194-A5D0-378A9ACAB5A0}"/>
    <cellStyle name="Normal 4 2 3 3 2 2 7" xfId="3844" xr:uid="{7AF0AE46-5B0B-43C9-B792-644331223720}"/>
    <cellStyle name="Normal 4 2 3 3 2 2 7 2" xfId="12952" xr:uid="{1A637ABD-9F60-468C-8F2B-7BBBFA3AF012}"/>
    <cellStyle name="Normal 4 2 3 3 2 2 8" xfId="12932" xr:uid="{5939CA08-6DF7-4435-AEFE-1314D7D005BF}"/>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2 2" xfId="12955" xr:uid="{D5180FC1-9C30-4F65-AC78-BC1FF9E65988}"/>
    <cellStyle name="Normal 4 2 3 3 2 3 2 3" xfId="3848" xr:uid="{0EE0CC77-7224-4BFB-B883-1B2290CDB03E}"/>
    <cellStyle name="Normal 4 2 3 3 2 3 2 3 2" xfId="12956" xr:uid="{55500F8D-3447-423E-BE73-783A29D6557C}"/>
    <cellStyle name="Normal 4 2 3 3 2 3 2 4" xfId="12954" xr:uid="{C9FE6842-E4B0-4006-A2FD-4B0B3EC07A71}"/>
    <cellStyle name="Normal 4 2 3 3 2 3 3" xfId="3849" xr:uid="{16550F95-8266-4440-AC61-B86962AECAB3}"/>
    <cellStyle name="Normal 4 2 3 3 2 3 3 2" xfId="12957" xr:uid="{34BB0C5E-68B5-442F-BFFD-E14E7E07A568}"/>
    <cellStyle name="Normal 4 2 3 3 2 3 4" xfId="3850" xr:uid="{6EFA9D4F-14AA-4249-BAF6-4281E6B07930}"/>
    <cellStyle name="Normal 4 2 3 3 2 3 4 2" xfId="12958" xr:uid="{E9A167A3-630A-4EBE-9C72-F85335557FC2}"/>
    <cellStyle name="Normal 4 2 3 3 2 3 5" xfId="3851" xr:uid="{AC95AF83-E503-4374-B905-C85E52506770}"/>
    <cellStyle name="Normal 4 2 3 3 2 3 5 2" xfId="12959" xr:uid="{510C643B-D0D5-4AF0-A92E-FFB5B13CDC7D}"/>
    <cellStyle name="Normal 4 2 3 3 2 3 6" xfId="12953" xr:uid="{CEAF4489-6EC8-49BA-8CD5-9E28F2018AFD}"/>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2 2" xfId="12962" xr:uid="{E0855362-B4D1-4237-8FDB-11AC7B764A30}"/>
    <cellStyle name="Normal 4 2 3 3 2 4 2 3" xfId="3855" xr:uid="{DF3D6853-3E36-483B-A57F-6A89AE8CC633}"/>
    <cellStyle name="Normal 4 2 3 3 2 4 2 3 2" xfId="12963" xr:uid="{718F5B10-D3BB-468C-A2EC-CC68F688D8D9}"/>
    <cellStyle name="Normal 4 2 3 3 2 4 2 4" xfId="12961" xr:uid="{EC75BB68-6AD9-4366-875B-10238CF4C3B0}"/>
    <cellStyle name="Normal 4 2 3 3 2 4 3" xfId="3856" xr:uid="{CC7F3199-6C49-445B-8DDE-227F669C38BC}"/>
    <cellStyle name="Normal 4 2 3 3 2 4 3 2" xfId="12964" xr:uid="{1F9C015F-E04E-4ABD-A14E-F078F34BC85A}"/>
    <cellStyle name="Normal 4 2 3 3 2 4 4" xfId="3857" xr:uid="{D4346906-F36C-4860-8DF7-00185B036382}"/>
    <cellStyle name="Normal 4 2 3 3 2 4 4 2" xfId="12965" xr:uid="{4D69E922-7740-41C8-803C-A0EE7F567DE1}"/>
    <cellStyle name="Normal 4 2 3 3 2 4 5" xfId="3858" xr:uid="{E5D15499-EF1C-4164-B1E6-E4EC90E4F84C}"/>
    <cellStyle name="Normal 4 2 3 3 2 4 5 2" xfId="12966" xr:uid="{20F02649-9CDD-47FF-AEAD-9ADCAD9AE0F6}"/>
    <cellStyle name="Normal 4 2 3 3 2 4 6" xfId="12960" xr:uid="{39408C7D-891A-47CE-B9AD-B0F112A16771}"/>
    <cellStyle name="Normal 4 2 3 3 2 5" xfId="3859" xr:uid="{10DF8E42-C216-44CC-8E8C-60656DBE576E}"/>
    <cellStyle name="Normal 4 2 3 3 2 5 2" xfId="3860" xr:uid="{5D1098CA-B04A-4931-B1BA-9133155EA876}"/>
    <cellStyle name="Normal 4 2 3 3 2 5 2 2" xfId="12968" xr:uid="{2C177CB4-813F-4C3E-93D8-CF2631124651}"/>
    <cellStyle name="Normal 4 2 3 3 2 5 3" xfId="3861" xr:uid="{8DB81DE1-C951-4076-9117-0753CF4EA60D}"/>
    <cellStyle name="Normal 4 2 3 3 2 5 3 2" xfId="12969" xr:uid="{85B15145-ACE3-4BA8-946A-44FAC883866C}"/>
    <cellStyle name="Normal 4 2 3 3 2 5 4" xfId="12967" xr:uid="{1FFA8236-79C8-47E4-8CE6-4501F4450174}"/>
    <cellStyle name="Normal 4 2 3 3 2 6" xfId="3862" xr:uid="{836DC933-002C-4ED7-A862-87990FD03362}"/>
    <cellStyle name="Normal 4 2 3 3 2 6 2" xfId="12970" xr:uid="{E73D74A9-1B90-4657-A488-4C2422E10C6A}"/>
    <cellStyle name="Normal 4 2 3 3 2 7" xfId="3863" xr:uid="{783849F9-BFF5-481D-9B70-AB46706733BB}"/>
    <cellStyle name="Normal 4 2 3 3 2 7 2" xfId="12971" xr:uid="{C2A9686C-3A2A-4BCA-A45A-5419542983FF}"/>
    <cellStyle name="Normal 4 2 3 3 2 8" xfId="3864" xr:uid="{DDD0E4F5-0AC1-4547-A1D7-A2460C47971C}"/>
    <cellStyle name="Normal 4 2 3 3 2 8 2" xfId="12972" xr:uid="{B61E2DCE-A688-454A-A812-CA86605558E1}"/>
    <cellStyle name="Normal 4 2 3 3 2 9" xfId="12931" xr:uid="{0686CC83-1F2E-45D3-8377-0B7F539216BE}"/>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2 2" xfId="12976" xr:uid="{FDDA0966-802C-48D2-AFBF-8FF9F55A136A}"/>
    <cellStyle name="Normal 4 2 3 3 3 2 2 3" xfId="3869" xr:uid="{785FD7D7-EAE8-4CD5-9DF2-370C5FDA00F4}"/>
    <cellStyle name="Normal 4 2 3 3 3 2 2 3 2" xfId="12977" xr:uid="{EC16087E-2E6D-4AC1-B269-A555D165B905}"/>
    <cellStyle name="Normal 4 2 3 3 3 2 2 4" xfId="12975" xr:uid="{E229CAE1-3001-4893-AD57-D41616F94C26}"/>
    <cellStyle name="Normal 4 2 3 3 3 2 3" xfId="3870" xr:uid="{E3B7CAD0-84B3-438D-B822-1E522E14C3B6}"/>
    <cellStyle name="Normal 4 2 3 3 3 2 3 2" xfId="12978" xr:uid="{EFF303D2-1DEC-4347-A426-D8551C8E10BA}"/>
    <cellStyle name="Normal 4 2 3 3 3 2 4" xfId="3871" xr:uid="{7250BF83-820B-45B7-BDE9-E65DCA07A588}"/>
    <cellStyle name="Normal 4 2 3 3 3 2 4 2" xfId="12979" xr:uid="{F1358874-2E41-4A7B-AADC-16EB1E883575}"/>
    <cellStyle name="Normal 4 2 3 3 3 2 5" xfId="3872" xr:uid="{B97626F7-2D55-4826-8AA6-458185013769}"/>
    <cellStyle name="Normal 4 2 3 3 3 2 5 2" xfId="12980" xr:uid="{3307B683-C29D-43BF-BA95-A91CFD511EF4}"/>
    <cellStyle name="Normal 4 2 3 3 3 2 6" xfId="12974" xr:uid="{404F85B7-AAB0-45DE-B540-3890F0DFB6E2}"/>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2 2" xfId="12983" xr:uid="{7433ED66-FBD0-4F23-8246-230181786945}"/>
    <cellStyle name="Normal 4 2 3 3 3 3 2 3" xfId="3876" xr:uid="{F68F8B60-8924-418F-B145-C42BECE7CEB5}"/>
    <cellStyle name="Normal 4 2 3 3 3 3 2 3 2" xfId="12984" xr:uid="{6E54A019-E7EE-4EE9-85D2-FBF51BEF9890}"/>
    <cellStyle name="Normal 4 2 3 3 3 3 2 4" xfId="12982" xr:uid="{FB84E2A5-5B1E-4BFC-8458-B5DA2015D387}"/>
    <cellStyle name="Normal 4 2 3 3 3 3 3" xfId="3877" xr:uid="{112827FC-68D5-44EA-B6AA-A6C01B6212CB}"/>
    <cellStyle name="Normal 4 2 3 3 3 3 3 2" xfId="12985" xr:uid="{579E56F9-BB94-4C50-B547-555823A24BA5}"/>
    <cellStyle name="Normal 4 2 3 3 3 3 4" xfId="3878" xr:uid="{2E4F52F2-6209-46A0-BAC9-8B909B8B0213}"/>
    <cellStyle name="Normal 4 2 3 3 3 3 4 2" xfId="12986" xr:uid="{3D3C40D2-E27B-4A48-85AD-4FA28FFBBCD1}"/>
    <cellStyle name="Normal 4 2 3 3 3 3 5" xfId="3879" xr:uid="{08173622-5447-4C90-AB8F-B9D0BC1449F2}"/>
    <cellStyle name="Normal 4 2 3 3 3 3 5 2" xfId="12987" xr:uid="{635478D4-2D5C-422F-A7D5-7C4565754B0B}"/>
    <cellStyle name="Normal 4 2 3 3 3 3 6" xfId="12981" xr:uid="{6D98774F-535D-4270-9747-2B6F41F0B56F}"/>
    <cellStyle name="Normal 4 2 3 3 3 4" xfId="3880" xr:uid="{F09ABFAE-E679-4221-A019-A8623E39EBAF}"/>
    <cellStyle name="Normal 4 2 3 3 3 4 2" xfId="3881" xr:uid="{F43D9746-08B8-43A4-86EA-86ED0FF08F5F}"/>
    <cellStyle name="Normal 4 2 3 3 3 4 2 2" xfId="12989" xr:uid="{F22A19D3-F730-486D-B08A-B6CC37A0C909}"/>
    <cellStyle name="Normal 4 2 3 3 3 4 3" xfId="3882" xr:uid="{8DDC5E1D-4BD7-4A7C-97A4-917417883222}"/>
    <cellStyle name="Normal 4 2 3 3 3 4 3 2" xfId="12990" xr:uid="{B667EBBE-8674-418F-AAFC-6029303E6902}"/>
    <cellStyle name="Normal 4 2 3 3 3 4 4" xfId="12988" xr:uid="{4AC27AAA-4D03-455F-BDD5-DEA6E1E4B94E}"/>
    <cellStyle name="Normal 4 2 3 3 3 5" xfId="3883" xr:uid="{D8170C3E-F609-46EE-BD1E-586A3F8F6FC2}"/>
    <cellStyle name="Normal 4 2 3 3 3 5 2" xfId="12991" xr:uid="{643D8FED-DBA1-4769-B0F0-E260D7B59B07}"/>
    <cellStyle name="Normal 4 2 3 3 3 6" xfId="3884" xr:uid="{4CD185E1-8709-4ADA-8374-3581F71EA4DB}"/>
    <cellStyle name="Normal 4 2 3 3 3 6 2" xfId="12992" xr:uid="{E4250D7B-FC01-4CD4-8E8B-21EB4DD4ACE7}"/>
    <cellStyle name="Normal 4 2 3 3 3 7" xfId="3885" xr:uid="{EA4B6F81-1A5E-4681-8163-7C4E1DCCEE50}"/>
    <cellStyle name="Normal 4 2 3 3 3 7 2" xfId="12993" xr:uid="{848DBAE5-5955-4B3C-9951-C2700F2B26EE}"/>
    <cellStyle name="Normal 4 2 3 3 3 8" xfId="12973" xr:uid="{6A563929-956D-4A17-B138-A304D6DF311A}"/>
    <cellStyle name="Normal 4 2 3 3 4" xfId="3886" xr:uid="{AD560FB1-7B0D-415C-B3D3-4899FCBD48DF}"/>
    <cellStyle name="Normal 4 2 3 3 4 2" xfId="3887" xr:uid="{F7573AE8-9617-4233-B29E-D7E5C699E202}"/>
    <cellStyle name="Normal 4 2 3 3 4 2 2" xfId="3888" xr:uid="{E697635B-3452-41BB-BD4F-4C1F3D5F5C6E}"/>
    <cellStyle name="Normal 4 2 3 3 4 2 2 2" xfId="12996" xr:uid="{DC48B273-43E3-44F0-9375-6D0134EF428E}"/>
    <cellStyle name="Normal 4 2 3 3 4 2 3" xfId="3889" xr:uid="{D7815E4B-F34E-4F0A-8A9F-306A24402423}"/>
    <cellStyle name="Normal 4 2 3 3 4 2 3 2" xfId="12997" xr:uid="{0A122E3A-8D1F-4386-B2F9-EC6E09646E65}"/>
    <cellStyle name="Normal 4 2 3 3 4 2 4" xfId="12995" xr:uid="{3FDC74B2-BB2C-4290-84AD-74DA14E7565F}"/>
    <cellStyle name="Normal 4 2 3 3 4 3" xfId="3890" xr:uid="{1E4F2459-2145-4E01-9634-ACD8E2929FBC}"/>
    <cellStyle name="Normal 4 2 3 3 4 3 2" xfId="12998" xr:uid="{51F804F8-EA2D-483E-93A3-A2A4FF4B03DB}"/>
    <cellStyle name="Normal 4 2 3 3 4 4" xfId="3891" xr:uid="{1583FCB0-B294-4301-BC50-C6E7C018A1D6}"/>
    <cellStyle name="Normal 4 2 3 3 4 4 2" xfId="12999" xr:uid="{1163CBCE-2421-479C-A848-6712BACEE6B2}"/>
    <cellStyle name="Normal 4 2 3 3 4 5" xfId="3892" xr:uid="{43C94F67-16D5-411C-B89C-C8DE5E0332B8}"/>
    <cellStyle name="Normal 4 2 3 3 4 5 2" xfId="13000" xr:uid="{0EE4B3A3-485E-4EEB-B904-DBAEA9477AED}"/>
    <cellStyle name="Normal 4 2 3 3 4 6" xfId="12994" xr:uid="{BBF3DD79-897C-457F-BA22-274ACF388C9D}"/>
    <cellStyle name="Normal 4 2 3 3 5" xfId="3893" xr:uid="{9589EF0E-B370-4EDF-B7ED-F3C09004BBB6}"/>
    <cellStyle name="Normal 4 2 3 3 5 2" xfId="3894" xr:uid="{DA326AD8-8F54-4227-8E07-1DDF74F5E408}"/>
    <cellStyle name="Normal 4 2 3 3 5 2 2" xfId="3895" xr:uid="{CD71D707-D68A-4D40-9AE7-ED45A5FEBF75}"/>
    <cellStyle name="Normal 4 2 3 3 5 2 2 2" xfId="13003" xr:uid="{08AC8C6F-1964-4247-8B1F-9B941A0BDAB8}"/>
    <cellStyle name="Normal 4 2 3 3 5 2 3" xfId="3896" xr:uid="{0EF6C873-2000-4D7E-8809-F3FD28C1AEB8}"/>
    <cellStyle name="Normal 4 2 3 3 5 2 3 2" xfId="13004" xr:uid="{60AD3817-3E38-4007-A850-57D4BDA59003}"/>
    <cellStyle name="Normal 4 2 3 3 5 2 4" xfId="13002" xr:uid="{1D55EF42-F9B7-427B-A62D-376B6422E611}"/>
    <cellStyle name="Normal 4 2 3 3 5 3" xfId="3897" xr:uid="{F5B6D501-E629-4F72-8E63-74E8828C758B}"/>
    <cellStyle name="Normal 4 2 3 3 5 3 2" xfId="13005" xr:uid="{5CCF0BD1-E5BF-46F0-B470-C5343371F390}"/>
    <cellStyle name="Normal 4 2 3 3 5 4" xfId="3898" xr:uid="{4C9BF5E1-C235-4AB2-A1FA-FE972762623E}"/>
    <cellStyle name="Normal 4 2 3 3 5 4 2" xfId="13006" xr:uid="{F588163B-EDA5-4F71-A4BB-6C58AD6CD62A}"/>
    <cellStyle name="Normal 4 2 3 3 5 5" xfId="3899" xr:uid="{FF15697A-F236-49ED-B3F8-890C78B06CE5}"/>
    <cellStyle name="Normal 4 2 3 3 5 5 2" xfId="13007" xr:uid="{6D10C9E5-70D2-40F7-A64A-A825C4BC0811}"/>
    <cellStyle name="Normal 4 2 3 3 5 6" xfId="13001" xr:uid="{CECC7CC3-2D96-421B-91F4-6363472149D9}"/>
    <cellStyle name="Normal 4 2 3 3 6" xfId="3900" xr:uid="{1BABDF0B-CAC8-4EAB-99D7-6409736467FD}"/>
    <cellStyle name="Normal 4 2 3 3 6 2" xfId="3901" xr:uid="{C98D4CFE-0AE9-4380-9C23-40697BD9722D}"/>
    <cellStyle name="Normal 4 2 3 3 6 2 2" xfId="13009" xr:uid="{9EE23A5A-2872-43B6-9A7C-71E9AAEC87EE}"/>
    <cellStyle name="Normal 4 2 3 3 6 3" xfId="3902" xr:uid="{8D436A51-3669-4A5E-9A54-97A160FD6279}"/>
    <cellStyle name="Normal 4 2 3 3 6 3 2" xfId="13010" xr:uid="{1D10BD7D-A8F2-4105-8BF1-A4A0B217DD18}"/>
    <cellStyle name="Normal 4 2 3 3 6 4" xfId="13008" xr:uid="{72CD0AF1-958A-41AF-BD9E-6DE4F6345017}"/>
    <cellStyle name="Normal 4 2 3 3 7" xfId="3903" xr:uid="{79D4AA13-9A87-4A42-BBCE-6B73545667EA}"/>
    <cellStyle name="Normal 4 2 3 3 7 2" xfId="13011" xr:uid="{EE4A373C-36B4-4431-951C-C6A134FFAED6}"/>
    <cellStyle name="Normal 4 2 3 3 8" xfId="3904" xr:uid="{D6D2C61B-2F28-4640-9EFC-FC36C440928A}"/>
    <cellStyle name="Normal 4 2 3 3 8 2" xfId="13012" xr:uid="{995C36C9-6D41-4C03-BD58-E51C22E6B0AD}"/>
    <cellStyle name="Normal 4 2 3 3 9" xfId="3905" xr:uid="{1BDF8145-8A7B-4B01-8F53-0535A9E9EAA8}"/>
    <cellStyle name="Normal 4 2 3 3 9 2" xfId="13013" xr:uid="{F3C2645A-8814-42CA-952A-D69092DD9EF6}"/>
    <cellStyle name="Normal 4 2 3 4" xfId="3906" xr:uid="{DDD66F4C-0189-4962-9AE8-E12B454777F0}"/>
    <cellStyle name="Normal 4 2 3 4 10" xfId="13014" xr:uid="{100A1037-D5F7-4D68-904F-C1AECD9F8F2B}"/>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2 2" xfId="13019" xr:uid="{6F74C03D-B091-4205-8BDA-8F4B480C4F11}"/>
    <cellStyle name="Normal 4 2 3 4 2 2 2 2 3" xfId="3912" xr:uid="{ACC59287-2C7A-42F5-844B-C6F26E230908}"/>
    <cellStyle name="Normal 4 2 3 4 2 2 2 2 3 2" xfId="13020" xr:uid="{84FF2149-2D74-4186-A328-1DC9811598C3}"/>
    <cellStyle name="Normal 4 2 3 4 2 2 2 2 4" xfId="13018" xr:uid="{7C38A02B-EC97-4F95-B291-1288CA9A9900}"/>
    <cellStyle name="Normal 4 2 3 4 2 2 2 3" xfId="3913" xr:uid="{982345F4-2ECE-48FB-AB5B-DD3DB84F3DA0}"/>
    <cellStyle name="Normal 4 2 3 4 2 2 2 3 2" xfId="13021" xr:uid="{BD34E4F2-DC0A-4E11-B79B-56CD9AC43B02}"/>
    <cellStyle name="Normal 4 2 3 4 2 2 2 4" xfId="3914" xr:uid="{0CC86BDC-3D71-47D1-9555-94E0F20C5F1E}"/>
    <cellStyle name="Normal 4 2 3 4 2 2 2 4 2" xfId="13022" xr:uid="{DF904FA4-4D85-4DA6-A2A8-41423929B3DF}"/>
    <cellStyle name="Normal 4 2 3 4 2 2 2 5" xfId="3915" xr:uid="{90CEA4C2-3A73-4EB4-9C98-951DAEC80D57}"/>
    <cellStyle name="Normal 4 2 3 4 2 2 2 5 2" xfId="13023" xr:uid="{0258B82E-DB25-468C-B8F4-139A6A1194F0}"/>
    <cellStyle name="Normal 4 2 3 4 2 2 2 6" xfId="13017" xr:uid="{6BBC4A70-5BDC-42F3-90A8-5BAE7E28387A}"/>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2 2" xfId="13026" xr:uid="{7B2238FE-E4F0-4171-BCF2-84E8AA0A36E7}"/>
    <cellStyle name="Normal 4 2 3 4 2 2 3 2 3" xfId="3919" xr:uid="{7635AD37-DEA0-4657-A7BE-F78E7D8E8AB4}"/>
    <cellStyle name="Normal 4 2 3 4 2 2 3 2 3 2" xfId="13027" xr:uid="{33AA76CC-EC7F-4508-A396-BFD805A02A44}"/>
    <cellStyle name="Normal 4 2 3 4 2 2 3 2 4" xfId="13025" xr:uid="{C25ED120-05F3-4C40-B89F-170B477A205B}"/>
    <cellStyle name="Normal 4 2 3 4 2 2 3 3" xfId="3920" xr:uid="{ED21F747-6E71-4DFE-89AB-758C6579577E}"/>
    <cellStyle name="Normal 4 2 3 4 2 2 3 3 2" xfId="13028" xr:uid="{A8380E9C-10F8-4C89-A2B3-DFCFC07ED6A8}"/>
    <cellStyle name="Normal 4 2 3 4 2 2 3 4" xfId="3921" xr:uid="{CD6FF23E-A948-4029-B8EB-4D04F03EB9A3}"/>
    <cellStyle name="Normal 4 2 3 4 2 2 3 4 2" xfId="13029" xr:uid="{F5A2B60A-F28F-45A6-B868-4D8468489B7C}"/>
    <cellStyle name="Normal 4 2 3 4 2 2 3 5" xfId="3922" xr:uid="{8EE83ABE-DB13-4438-AFAF-70B80AD3E63B}"/>
    <cellStyle name="Normal 4 2 3 4 2 2 3 5 2" xfId="13030" xr:uid="{F4632AB6-0771-4C4A-8EF4-DF11D200933D}"/>
    <cellStyle name="Normal 4 2 3 4 2 2 3 6" xfId="13024" xr:uid="{D5409545-9507-4644-B957-5ED8F390EB97}"/>
    <cellStyle name="Normal 4 2 3 4 2 2 4" xfId="3923" xr:uid="{C9B88C6D-C81A-412D-B771-A981C460D711}"/>
    <cellStyle name="Normal 4 2 3 4 2 2 4 2" xfId="3924" xr:uid="{D76448DD-8132-4FB6-9CDC-9EC313B24E1A}"/>
    <cellStyle name="Normal 4 2 3 4 2 2 4 2 2" xfId="13032" xr:uid="{5DB7026F-89B3-4F78-84A7-E08E9FF2DE75}"/>
    <cellStyle name="Normal 4 2 3 4 2 2 4 3" xfId="3925" xr:uid="{8A3CB116-6A32-4629-A1E3-2BFB7FA7592A}"/>
    <cellStyle name="Normal 4 2 3 4 2 2 4 3 2" xfId="13033" xr:uid="{88B37470-8F8F-4FDC-96CD-DA150DE95168}"/>
    <cellStyle name="Normal 4 2 3 4 2 2 4 4" xfId="13031" xr:uid="{BEEC6A22-5B86-4ED2-AD7C-07A7096C02C6}"/>
    <cellStyle name="Normal 4 2 3 4 2 2 5" xfId="3926" xr:uid="{23552E86-0F22-453A-B510-2AB7B1461331}"/>
    <cellStyle name="Normal 4 2 3 4 2 2 5 2" xfId="13034" xr:uid="{F6C46580-8D09-47CA-A88B-6C4AD7653669}"/>
    <cellStyle name="Normal 4 2 3 4 2 2 6" xfId="3927" xr:uid="{2B53E748-F5C2-4378-86FD-973880FF23CD}"/>
    <cellStyle name="Normal 4 2 3 4 2 2 6 2" xfId="13035" xr:uid="{C1D41519-EC14-48A6-91BA-4CB560F133D4}"/>
    <cellStyle name="Normal 4 2 3 4 2 2 7" xfId="3928" xr:uid="{E70EA254-5F9F-4B93-A8D5-E1C5E558ED18}"/>
    <cellStyle name="Normal 4 2 3 4 2 2 7 2" xfId="13036" xr:uid="{50390F11-CFCB-4C23-A558-AA533B290277}"/>
    <cellStyle name="Normal 4 2 3 4 2 2 8" xfId="13016" xr:uid="{C5614456-121F-48D5-95D7-C523D4C9C013}"/>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2 2" xfId="13039" xr:uid="{C9DACDD9-C6CB-4D10-939A-37DF0AA5E20F}"/>
    <cellStyle name="Normal 4 2 3 4 2 3 2 3" xfId="3932" xr:uid="{BFB4B2E4-B607-46AA-BE8A-0BEBFDF75030}"/>
    <cellStyle name="Normal 4 2 3 4 2 3 2 3 2" xfId="13040" xr:uid="{C116B4DA-F579-48A1-A8DD-F36A57FF0B63}"/>
    <cellStyle name="Normal 4 2 3 4 2 3 2 4" xfId="13038" xr:uid="{083BFCF6-C070-4EC0-91E0-23D5BDBBFFFA}"/>
    <cellStyle name="Normal 4 2 3 4 2 3 3" xfId="3933" xr:uid="{8775B8A4-0388-4B9A-8052-22EC63F455C0}"/>
    <cellStyle name="Normal 4 2 3 4 2 3 3 2" xfId="13041" xr:uid="{89D011E0-69D9-4815-878F-C7F5C9C6F178}"/>
    <cellStyle name="Normal 4 2 3 4 2 3 4" xfId="3934" xr:uid="{4DCBE57D-650A-44C7-B379-DD209EF5CF4B}"/>
    <cellStyle name="Normal 4 2 3 4 2 3 4 2" xfId="13042" xr:uid="{5BB44338-5B18-47B9-9094-B936C2B88344}"/>
    <cellStyle name="Normal 4 2 3 4 2 3 5" xfId="3935" xr:uid="{23D24F73-82E4-4E48-AC4D-C9870580BCA8}"/>
    <cellStyle name="Normal 4 2 3 4 2 3 5 2" xfId="13043" xr:uid="{B84F7930-6B82-4931-92F9-D17C06F1F631}"/>
    <cellStyle name="Normal 4 2 3 4 2 3 6" xfId="13037" xr:uid="{D448D485-F605-41AB-A96D-7DB26D05B91C}"/>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2 2" xfId="13046" xr:uid="{28E2715B-3A54-457C-B22E-B3147447C8F3}"/>
    <cellStyle name="Normal 4 2 3 4 2 4 2 3" xfId="3939" xr:uid="{6360A603-3400-4488-8D10-8218D0611B47}"/>
    <cellStyle name="Normal 4 2 3 4 2 4 2 3 2" xfId="13047" xr:uid="{796B4EC3-565C-4C34-B9F3-AC4A852D254C}"/>
    <cellStyle name="Normal 4 2 3 4 2 4 2 4" xfId="13045" xr:uid="{E28E64D0-8330-4BA9-B430-57B51B811302}"/>
    <cellStyle name="Normal 4 2 3 4 2 4 3" xfId="3940" xr:uid="{A4AB0705-3FE5-476D-9971-564E799140E0}"/>
    <cellStyle name="Normal 4 2 3 4 2 4 3 2" xfId="13048" xr:uid="{E898CB7B-961A-48AA-895C-14A95E56178F}"/>
    <cellStyle name="Normal 4 2 3 4 2 4 4" xfId="3941" xr:uid="{35EEF5BD-EEF6-4A71-AE36-C7BFDC8EEA22}"/>
    <cellStyle name="Normal 4 2 3 4 2 4 4 2" xfId="13049" xr:uid="{264D4FC4-F68A-4C20-8A8F-0C078A71314F}"/>
    <cellStyle name="Normal 4 2 3 4 2 4 5" xfId="3942" xr:uid="{4F57A4DF-C8B2-4314-8CB2-1F11220CDBAF}"/>
    <cellStyle name="Normal 4 2 3 4 2 4 5 2" xfId="13050" xr:uid="{B2C3EA60-CEE0-48D6-BCCC-105C415D1165}"/>
    <cellStyle name="Normal 4 2 3 4 2 4 6" xfId="13044" xr:uid="{C0FD467F-6413-45D4-A6A7-D65ABC69482D}"/>
    <cellStyle name="Normal 4 2 3 4 2 5" xfId="3943" xr:uid="{5BE14777-703B-4CDA-9873-27E913A8590B}"/>
    <cellStyle name="Normal 4 2 3 4 2 5 2" xfId="3944" xr:uid="{4A72FA62-AF4A-4DF2-8582-A6E19997BF1F}"/>
    <cellStyle name="Normal 4 2 3 4 2 5 2 2" xfId="13052" xr:uid="{9C5CA39E-F186-4CFB-96A8-53E2722D91B4}"/>
    <cellStyle name="Normal 4 2 3 4 2 5 3" xfId="3945" xr:uid="{EF8AB8A1-4D2A-4A49-9287-95CDB6730814}"/>
    <cellStyle name="Normal 4 2 3 4 2 5 3 2" xfId="13053" xr:uid="{E5D62994-D161-4FE6-81D9-925D6360379A}"/>
    <cellStyle name="Normal 4 2 3 4 2 5 4" xfId="13051" xr:uid="{A36C07DF-9E2A-4B78-8294-0AB2D4CAAE05}"/>
    <cellStyle name="Normal 4 2 3 4 2 6" xfId="3946" xr:uid="{9E54FD6F-3885-4E33-8B56-BB3DBAF577E5}"/>
    <cellStyle name="Normal 4 2 3 4 2 6 2" xfId="13054" xr:uid="{595973C4-6ADE-43D2-8808-28C19051DEFC}"/>
    <cellStyle name="Normal 4 2 3 4 2 7" xfId="3947" xr:uid="{221E24DE-5F1A-46C7-A8CF-A33C62237249}"/>
    <cellStyle name="Normal 4 2 3 4 2 7 2" xfId="13055" xr:uid="{20BD5A90-331D-441B-99A8-EED6F5C0644C}"/>
    <cellStyle name="Normal 4 2 3 4 2 8" xfId="3948" xr:uid="{5192A3E5-21F4-4344-9082-B334DE676B80}"/>
    <cellStyle name="Normal 4 2 3 4 2 8 2" xfId="13056" xr:uid="{78DC1F47-94C5-4568-B82F-31CBE02DF293}"/>
    <cellStyle name="Normal 4 2 3 4 2 9" xfId="13015" xr:uid="{D10632C8-A3AF-45B7-8932-F523BF9DA8E3}"/>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2 2" xfId="13060" xr:uid="{24B200F9-9E09-413B-81A5-2756735A6AEF}"/>
    <cellStyle name="Normal 4 2 3 4 3 2 2 3" xfId="3953" xr:uid="{7D8D94DE-E874-4377-9DBD-FCCEE19AD825}"/>
    <cellStyle name="Normal 4 2 3 4 3 2 2 3 2" xfId="13061" xr:uid="{9E58F7CB-40AA-4825-B121-4AD0CA76DA7C}"/>
    <cellStyle name="Normal 4 2 3 4 3 2 2 4" xfId="13059" xr:uid="{3B600CDA-4AE2-4A3B-B757-608175C88AFD}"/>
    <cellStyle name="Normal 4 2 3 4 3 2 3" xfId="3954" xr:uid="{B80DA603-6140-45B9-92D4-55E5E46E4961}"/>
    <cellStyle name="Normal 4 2 3 4 3 2 3 2" xfId="13062" xr:uid="{A7380C32-CF57-4116-801A-DBE45F8D355E}"/>
    <cellStyle name="Normal 4 2 3 4 3 2 4" xfId="3955" xr:uid="{9C782D75-83B5-4F8C-B022-77DCFB98404C}"/>
    <cellStyle name="Normal 4 2 3 4 3 2 4 2" xfId="13063" xr:uid="{9F5D3856-9B04-47FE-9603-48ABD6EC69D8}"/>
    <cellStyle name="Normal 4 2 3 4 3 2 5" xfId="3956" xr:uid="{5FE3A4BC-680A-477F-BD1D-6290BC6D0ED2}"/>
    <cellStyle name="Normal 4 2 3 4 3 2 5 2" xfId="13064" xr:uid="{A8C5C1E3-02F8-4A4F-A53A-6ABE7C33B0E4}"/>
    <cellStyle name="Normal 4 2 3 4 3 2 6" xfId="13058" xr:uid="{89306EF5-CB6A-4C52-A03D-DE6E65AA9B18}"/>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2 2" xfId="13067" xr:uid="{038BE5CB-4E31-44FA-8B3C-A09D27A2D99D}"/>
    <cellStyle name="Normal 4 2 3 4 3 3 2 3" xfId="3960" xr:uid="{C2CEB7BF-5529-48EC-AD10-E01D832BC8B1}"/>
    <cellStyle name="Normal 4 2 3 4 3 3 2 3 2" xfId="13068" xr:uid="{C7EAFAC2-8E91-46D2-95FE-F980644EBEC9}"/>
    <cellStyle name="Normal 4 2 3 4 3 3 2 4" xfId="13066" xr:uid="{24664823-03EF-422E-9FBC-5AB72B9D80B5}"/>
    <cellStyle name="Normal 4 2 3 4 3 3 3" xfId="3961" xr:uid="{E902E856-0565-44FF-9A5B-9B4EE8508AC8}"/>
    <cellStyle name="Normal 4 2 3 4 3 3 3 2" xfId="13069" xr:uid="{A0846F46-A059-4BC9-9ED8-DF2611E17C9C}"/>
    <cellStyle name="Normal 4 2 3 4 3 3 4" xfId="3962" xr:uid="{3173642B-62F0-4B15-9E3D-9E9E34748AF1}"/>
    <cellStyle name="Normal 4 2 3 4 3 3 4 2" xfId="13070" xr:uid="{F05859A4-214F-47CD-864C-8CC973507B4E}"/>
    <cellStyle name="Normal 4 2 3 4 3 3 5" xfId="3963" xr:uid="{92270956-63F1-481C-9C78-9DD31AFE3BAD}"/>
    <cellStyle name="Normal 4 2 3 4 3 3 5 2" xfId="13071" xr:uid="{36832F1D-DA7C-4FBC-A082-35C694481BC6}"/>
    <cellStyle name="Normal 4 2 3 4 3 3 6" xfId="13065" xr:uid="{0C350D2A-6AFA-4FB6-BFE1-09809E7627FD}"/>
    <cellStyle name="Normal 4 2 3 4 3 4" xfId="3964" xr:uid="{5EA45D1A-70D4-4FD0-BDA5-CF27046B3201}"/>
    <cellStyle name="Normal 4 2 3 4 3 4 2" xfId="3965" xr:uid="{90A52B29-DCD5-45E1-A45C-66A8A99DFCF1}"/>
    <cellStyle name="Normal 4 2 3 4 3 4 2 2" xfId="13073" xr:uid="{14CAECEF-D795-4F67-8F58-B14798455DA1}"/>
    <cellStyle name="Normal 4 2 3 4 3 4 3" xfId="3966" xr:uid="{69563803-10F9-4E9F-9526-4C33F211980D}"/>
    <cellStyle name="Normal 4 2 3 4 3 4 3 2" xfId="13074" xr:uid="{E2BAF70E-8609-4F57-9C2C-C1CFEA52B531}"/>
    <cellStyle name="Normal 4 2 3 4 3 4 4" xfId="13072" xr:uid="{80B653FA-CD06-4241-ACC7-B64CD098B4E8}"/>
    <cellStyle name="Normal 4 2 3 4 3 5" xfId="3967" xr:uid="{21D98B2C-259E-41B7-9B74-CE274891E13A}"/>
    <cellStyle name="Normal 4 2 3 4 3 5 2" xfId="13075" xr:uid="{D2EAAD16-9E1A-4F0A-BFFC-E4FAB3FABF1A}"/>
    <cellStyle name="Normal 4 2 3 4 3 6" xfId="3968" xr:uid="{34EB632A-CD3C-4FC5-A2F4-E3AC7C0BD158}"/>
    <cellStyle name="Normal 4 2 3 4 3 6 2" xfId="13076" xr:uid="{5E1186CB-E606-4C1E-9C1A-F9C5B8E88FD6}"/>
    <cellStyle name="Normal 4 2 3 4 3 7" xfId="3969" xr:uid="{55982786-D461-48ED-BF6D-6348375DAD0F}"/>
    <cellStyle name="Normal 4 2 3 4 3 7 2" xfId="13077" xr:uid="{4C9F8FEB-2157-47DE-B6FD-6725BF7309DC}"/>
    <cellStyle name="Normal 4 2 3 4 3 8" xfId="13057" xr:uid="{1E8C6C67-9137-44C7-ABD0-FED705053ABD}"/>
    <cellStyle name="Normal 4 2 3 4 4" xfId="3970" xr:uid="{34D11CD9-6BF2-4991-8CBC-5545EF0BD626}"/>
    <cellStyle name="Normal 4 2 3 4 4 2" xfId="3971" xr:uid="{1A4B7342-4F59-4B01-9C7E-1F0A71054A79}"/>
    <cellStyle name="Normal 4 2 3 4 4 2 2" xfId="3972" xr:uid="{01CD8D03-2047-4B0F-99DC-78866E7A6A20}"/>
    <cellStyle name="Normal 4 2 3 4 4 2 2 2" xfId="13080" xr:uid="{3081102B-8766-4D35-A739-0313CECAF5F4}"/>
    <cellStyle name="Normal 4 2 3 4 4 2 3" xfId="3973" xr:uid="{C53FBD87-E28C-4A6C-9FDA-98040400C7EF}"/>
    <cellStyle name="Normal 4 2 3 4 4 2 3 2" xfId="13081" xr:uid="{39EB6305-263B-4820-8EB6-8CE79F00CA04}"/>
    <cellStyle name="Normal 4 2 3 4 4 2 4" xfId="13079" xr:uid="{BCF4380F-753A-41E2-9CCD-31EDF66E40D4}"/>
    <cellStyle name="Normal 4 2 3 4 4 3" xfId="3974" xr:uid="{6BE17A31-63F0-49BE-99D4-C62B5A38D370}"/>
    <cellStyle name="Normal 4 2 3 4 4 3 2" xfId="13082" xr:uid="{0560016A-F653-4846-B758-C79EBFDB57AC}"/>
    <cellStyle name="Normal 4 2 3 4 4 4" xfId="3975" xr:uid="{7DA3CBE1-9913-43B6-B3E8-A53C4EE8C098}"/>
    <cellStyle name="Normal 4 2 3 4 4 4 2" xfId="13083" xr:uid="{88DF45AC-54A8-4099-89C4-13C6D15EBDCB}"/>
    <cellStyle name="Normal 4 2 3 4 4 5" xfId="3976" xr:uid="{66686592-8D1D-4B84-B882-1C4EACA5EC26}"/>
    <cellStyle name="Normal 4 2 3 4 4 5 2" xfId="13084" xr:uid="{156DBCC8-C661-4808-87CD-6CED6F781A34}"/>
    <cellStyle name="Normal 4 2 3 4 4 6" xfId="13078" xr:uid="{0CB78109-2CB8-49C7-9B10-B8EB51F6F74B}"/>
    <cellStyle name="Normal 4 2 3 4 5" xfId="3977" xr:uid="{05EAE4A5-C06A-4679-B20A-DC002161FA2E}"/>
    <cellStyle name="Normal 4 2 3 4 5 2" xfId="3978" xr:uid="{73D49AA0-9155-466A-807F-1690F8448DEE}"/>
    <cellStyle name="Normal 4 2 3 4 5 2 2" xfId="3979" xr:uid="{FB1003E3-1750-493B-A5A8-1D4EC8A2C877}"/>
    <cellStyle name="Normal 4 2 3 4 5 2 2 2" xfId="13087" xr:uid="{E02AB6CA-86E0-4976-A6AF-258982B82F48}"/>
    <cellStyle name="Normal 4 2 3 4 5 2 3" xfId="3980" xr:uid="{1773EC01-F29F-4B86-8096-11E6BB182574}"/>
    <cellStyle name="Normal 4 2 3 4 5 2 3 2" xfId="13088" xr:uid="{EA1C166B-95A4-41BA-B283-FE6699518C30}"/>
    <cellStyle name="Normal 4 2 3 4 5 2 4" xfId="13086" xr:uid="{15D0EDEE-3688-449E-AD36-07DD70D6D814}"/>
    <cellStyle name="Normal 4 2 3 4 5 3" xfId="3981" xr:uid="{39060E82-80DF-4E81-B9CE-03F656C3C369}"/>
    <cellStyle name="Normal 4 2 3 4 5 3 2" xfId="13089" xr:uid="{E668F0C4-4ED9-40E8-8030-64F3C4798CA8}"/>
    <cellStyle name="Normal 4 2 3 4 5 4" xfId="3982" xr:uid="{75F061B3-1B5C-49DE-A3CB-86EDE4FF2AA7}"/>
    <cellStyle name="Normal 4 2 3 4 5 4 2" xfId="13090" xr:uid="{29C749B6-C12C-425D-97A1-F8A7464A1D6A}"/>
    <cellStyle name="Normal 4 2 3 4 5 5" xfId="3983" xr:uid="{E691E4DE-2DC5-44B8-98BF-67A1C8E7C77D}"/>
    <cellStyle name="Normal 4 2 3 4 5 5 2" xfId="13091" xr:uid="{1AC0ACC7-EAEB-4B88-90C1-657BE83E4D6A}"/>
    <cellStyle name="Normal 4 2 3 4 5 6" xfId="13085" xr:uid="{7A72B207-B9B8-4A83-BF61-777E85BB1A64}"/>
    <cellStyle name="Normal 4 2 3 4 6" xfId="3984" xr:uid="{7C6E6F89-6B46-4257-A565-80717476B6F6}"/>
    <cellStyle name="Normal 4 2 3 4 6 2" xfId="3985" xr:uid="{547CBAD6-0DC0-4B42-8215-A65E558EC197}"/>
    <cellStyle name="Normal 4 2 3 4 6 2 2" xfId="13093" xr:uid="{8BC06194-4824-445F-816C-F9359D74478E}"/>
    <cellStyle name="Normal 4 2 3 4 6 3" xfId="3986" xr:uid="{8641DA3F-DFC1-496E-AD5E-439D19E7746C}"/>
    <cellStyle name="Normal 4 2 3 4 6 3 2" xfId="13094" xr:uid="{193CFC40-2AB2-4D6E-AEA0-43141E885F04}"/>
    <cellStyle name="Normal 4 2 3 4 6 4" xfId="13092" xr:uid="{597A00DF-DD96-4C74-A515-4BCF9D733C9B}"/>
    <cellStyle name="Normal 4 2 3 4 7" xfId="3987" xr:uid="{5E6E6A9D-04C7-4C46-9A8B-142B21255BBD}"/>
    <cellStyle name="Normal 4 2 3 4 7 2" xfId="13095" xr:uid="{766087B2-C046-4BE7-AD58-0BB1FF675EBB}"/>
    <cellStyle name="Normal 4 2 3 4 8" xfId="3988" xr:uid="{DC20DB7C-C5AD-4F37-9199-9D426A80FAA3}"/>
    <cellStyle name="Normal 4 2 3 4 8 2" xfId="13096" xr:uid="{7104230D-838F-4E33-95F1-4FF6DD2F668B}"/>
    <cellStyle name="Normal 4 2 3 4 9" xfId="3989" xr:uid="{5D0005AA-15A8-4DB0-9E7F-15ECD9699DE0}"/>
    <cellStyle name="Normal 4 2 3 4 9 2" xfId="13097" xr:uid="{D2472E12-73FE-475C-8CBD-80483F5CE59D}"/>
    <cellStyle name="Normal 4 2 3 5" xfId="3990" xr:uid="{9C4D48F4-6AB9-4763-B8B8-50E69796E836}"/>
    <cellStyle name="Normal 4 2 3 5 10" xfId="13098" xr:uid="{43B99235-2FDB-4FCD-8758-92F6E7D7C75B}"/>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2 2" xfId="13103" xr:uid="{FC126EFE-7452-4359-AFB5-FB48ECF0AFB9}"/>
    <cellStyle name="Normal 4 2 3 5 2 2 2 2 3" xfId="3996" xr:uid="{985CA136-B54F-457E-A200-8B63872B9132}"/>
    <cellStyle name="Normal 4 2 3 5 2 2 2 2 3 2" xfId="13104" xr:uid="{8212FFA5-E892-465C-AA95-55461E7835EE}"/>
    <cellStyle name="Normal 4 2 3 5 2 2 2 2 4" xfId="13102" xr:uid="{E7C6EE0A-9CA8-481A-8A93-858FAA3F0702}"/>
    <cellStyle name="Normal 4 2 3 5 2 2 2 3" xfId="3997" xr:uid="{CA713A34-690F-433A-9746-8EE461FE77FD}"/>
    <cellStyle name="Normal 4 2 3 5 2 2 2 3 2" xfId="13105" xr:uid="{CEF12C4D-9D50-4DC1-A841-330B52BD8530}"/>
    <cellStyle name="Normal 4 2 3 5 2 2 2 4" xfId="3998" xr:uid="{86F4A2DD-3357-4ED0-8C47-8FF6965FA9F3}"/>
    <cellStyle name="Normal 4 2 3 5 2 2 2 4 2" xfId="13106" xr:uid="{BD79446F-449D-464A-ABD3-BC1831D28079}"/>
    <cellStyle name="Normal 4 2 3 5 2 2 2 5" xfId="3999" xr:uid="{8F0950EF-7D2E-409F-BE65-C851A85CE689}"/>
    <cellStyle name="Normal 4 2 3 5 2 2 2 5 2" xfId="13107" xr:uid="{402F9FE4-E3F3-444B-800F-084F5B2BC756}"/>
    <cellStyle name="Normal 4 2 3 5 2 2 2 6" xfId="13101" xr:uid="{D87887F5-0F9E-4459-8393-68B969B08D55}"/>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2 2" xfId="13110" xr:uid="{848443CB-07DF-4A61-B654-1BD519E593FC}"/>
    <cellStyle name="Normal 4 2 3 5 2 2 3 2 3" xfId="4003" xr:uid="{A55848A1-25E4-455F-9FE1-0FE08D7EBEFC}"/>
    <cellStyle name="Normal 4 2 3 5 2 2 3 2 3 2" xfId="13111" xr:uid="{05044BC2-7063-4590-8350-C4EA53EDF3EC}"/>
    <cellStyle name="Normal 4 2 3 5 2 2 3 2 4" xfId="13109" xr:uid="{2F3D98CD-4AB7-4EA2-A5C3-E32AB4D9B54A}"/>
    <cellStyle name="Normal 4 2 3 5 2 2 3 3" xfId="4004" xr:uid="{0B190847-B454-40B1-9BF9-CAE7ADB57EE3}"/>
    <cellStyle name="Normal 4 2 3 5 2 2 3 3 2" xfId="13112" xr:uid="{3C3A140E-DEA4-4A11-9998-E21ADE55C1C0}"/>
    <cellStyle name="Normal 4 2 3 5 2 2 3 4" xfId="4005" xr:uid="{FEB72DCC-A163-45DF-AEDE-46E32F6E0802}"/>
    <cellStyle name="Normal 4 2 3 5 2 2 3 4 2" xfId="13113" xr:uid="{545C7E18-02F9-4F26-9BA5-BAD1178E763E}"/>
    <cellStyle name="Normal 4 2 3 5 2 2 3 5" xfId="4006" xr:uid="{DDDD35A5-8177-4149-A813-4B4B5642A2FA}"/>
    <cellStyle name="Normal 4 2 3 5 2 2 3 5 2" xfId="13114" xr:uid="{FFCA8FA3-95BD-4611-81FF-708FF896AAC0}"/>
    <cellStyle name="Normal 4 2 3 5 2 2 3 6" xfId="13108" xr:uid="{92950276-274A-4439-A6E3-4CD45831D59A}"/>
    <cellStyle name="Normal 4 2 3 5 2 2 4" xfId="4007" xr:uid="{11DE7381-9108-46BF-9FA6-5AD1A6AC0BCC}"/>
    <cellStyle name="Normal 4 2 3 5 2 2 4 2" xfId="4008" xr:uid="{D4C46CBA-518A-42D2-BD4B-1F360671CA97}"/>
    <cellStyle name="Normal 4 2 3 5 2 2 4 2 2" xfId="13116" xr:uid="{27586AD3-34A2-45B2-90E7-7BFF4F48DE22}"/>
    <cellStyle name="Normal 4 2 3 5 2 2 4 3" xfId="4009" xr:uid="{CE245C69-D192-4CD5-AA36-B11D0BBA5CC0}"/>
    <cellStyle name="Normal 4 2 3 5 2 2 4 3 2" xfId="13117" xr:uid="{C5AA2345-1853-4C3F-BEFC-A6DD8A8D23A0}"/>
    <cellStyle name="Normal 4 2 3 5 2 2 4 4" xfId="13115" xr:uid="{5AD17159-32F2-4579-8607-B84735F7E8C0}"/>
    <cellStyle name="Normal 4 2 3 5 2 2 5" xfId="4010" xr:uid="{7F22F30A-6758-40EE-8D0F-494D97A2139B}"/>
    <cellStyle name="Normal 4 2 3 5 2 2 5 2" xfId="13118" xr:uid="{859B7951-0093-46B3-8D95-4427EBAD3324}"/>
    <cellStyle name="Normal 4 2 3 5 2 2 6" xfId="4011" xr:uid="{90759AFE-DA40-46EA-84B6-969B2C14ED05}"/>
    <cellStyle name="Normal 4 2 3 5 2 2 6 2" xfId="13119" xr:uid="{F835F7F6-0898-47EA-83DB-30C3C04A28AA}"/>
    <cellStyle name="Normal 4 2 3 5 2 2 7" xfId="4012" xr:uid="{D2E46AA2-15E4-4C03-B687-0D672411808E}"/>
    <cellStyle name="Normal 4 2 3 5 2 2 7 2" xfId="13120" xr:uid="{8109CAD8-CA42-474D-A176-C78FA81DF45E}"/>
    <cellStyle name="Normal 4 2 3 5 2 2 8" xfId="13100" xr:uid="{8D99B7E3-EAA6-42A2-A1D7-41FFC576C791}"/>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2 2" xfId="13123" xr:uid="{63532591-8DA6-44ED-B537-75F0FA179F88}"/>
    <cellStyle name="Normal 4 2 3 5 2 3 2 3" xfId="4016" xr:uid="{770909DA-3E51-41FB-962E-A0D66C8703AC}"/>
    <cellStyle name="Normal 4 2 3 5 2 3 2 3 2" xfId="13124" xr:uid="{E506246B-AD04-454F-8D1F-52DF2183F7A6}"/>
    <cellStyle name="Normal 4 2 3 5 2 3 2 4" xfId="13122" xr:uid="{2E35AB9A-3E8C-4747-92E3-9067DE508432}"/>
    <cellStyle name="Normal 4 2 3 5 2 3 3" xfId="4017" xr:uid="{09790FD9-C4D1-43C8-B997-2778DD19B654}"/>
    <cellStyle name="Normal 4 2 3 5 2 3 3 2" xfId="13125" xr:uid="{4FD5D39E-6871-40D2-8796-38E08B8BAE37}"/>
    <cellStyle name="Normal 4 2 3 5 2 3 4" xfId="4018" xr:uid="{97F8A79D-4C51-4845-8D36-7BA28D3FDA96}"/>
    <cellStyle name="Normal 4 2 3 5 2 3 4 2" xfId="13126" xr:uid="{CB0D1DB7-AC50-4175-90A6-A30A8F3AA32C}"/>
    <cellStyle name="Normal 4 2 3 5 2 3 5" xfId="4019" xr:uid="{1AF586D0-F68C-46E3-A02A-A300866D378D}"/>
    <cellStyle name="Normal 4 2 3 5 2 3 5 2" xfId="13127" xr:uid="{70F00CB4-E6C2-46EE-8224-D9807F382420}"/>
    <cellStyle name="Normal 4 2 3 5 2 3 6" xfId="13121" xr:uid="{0F539D4C-FADD-4645-80D2-F39690682682}"/>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2 2" xfId="13130" xr:uid="{9E86711C-F138-4A44-968D-5B601532BB02}"/>
    <cellStyle name="Normal 4 2 3 5 2 4 2 3" xfId="4023" xr:uid="{76E1ADC7-DF0B-4C35-8D76-44E2EF91D77C}"/>
    <cellStyle name="Normal 4 2 3 5 2 4 2 3 2" xfId="13131" xr:uid="{C651CDD0-F1C7-4376-A2C8-11B5E52098D7}"/>
    <cellStyle name="Normal 4 2 3 5 2 4 2 4" xfId="13129" xr:uid="{06558029-252B-42BF-B23E-A46F43B0A118}"/>
    <cellStyle name="Normal 4 2 3 5 2 4 3" xfId="4024" xr:uid="{CDFEB436-FFAD-4A94-BF68-4D8CEEE22E0D}"/>
    <cellStyle name="Normal 4 2 3 5 2 4 3 2" xfId="13132" xr:uid="{BAD7D443-8D1B-49CA-BACB-D0C985F3F439}"/>
    <cellStyle name="Normal 4 2 3 5 2 4 4" xfId="4025" xr:uid="{87E4EE92-415F-47A6-A055-152EC54F7B26}"/>
    <cellStyle name="Normal 4 2 3 5 2 4 4 2" xfId="13133" xr:uid="{72122033-51A5-4543-B6FB-F79CFED2F2D4}"/>
    <cellStyle name="Normal 4 2 3 5 2 4 5" xfId="4026" xr:uid="{B852862F-BB2A-4FFE-9616-31FB60CE4599}"/>
    <cellStyle name="Normal 4 2 3 5 2 4 5 2" xfId="13134" xr:uid="{AF8C0DC7-443F-46A0-974A-790F357986C7}"/>
    <cellStyle name="Normal 4 2 3 5 2 4 6" xfId="13128" xr:uid="{21E99A1C-6696-4533-A06F-5A0E5AA3EEDF}"/>
    <cellStyle name="Normal 4 2 3 5 2 5" xfId="4027" xr:uid="{34E18626-13DC-4193-98E2-2DF479EEC872}"/>
    <cellStyle name="Normal 4 2 3 5 2 5 2" xfId="4028" xr:uid="{2F93EDC0-A30D-4E97-96BE-20A47810A469}"/>
    <cellStyle name="Normal 4 2 3 5 2 5 2 2" xfId="13136" xr:uid="{886E44AB-694C-4B67-903D-99BB08D5260C}"/>
    <cellStyle name="Normal 4 2 3 5 2 5 3" xfId="4029" xr:uid="{F2AD73FD-0990-4F75-98AC-A039AD07FBB5}"/>
    <cellStyle name="Normal 4 2 3 5 2 5 3 2" xfId="13137" xr:uid="{F455FC35-6219-4E20-9D71-08F27DFE9029}"/>
    <cellStyle name="Normal 4 2 3 5 2 5 4" xfId="13135" xr:uid="{E9EBF896-B4A7-48F0-A864-DDE303549743}"/>
    <cellStyle name="Normal 4 2 3 5 2 6" xfId="4030" xr:uid="{3F83747E-E043-49FD-B307-F36588453309}"/>
    <cellStyle name="Normal 4 2 3 5 2 6 2" xfId="13138" xr:uid="{D87459F5-733B-4F7D-A481-913C32FD6071}"/>
    <cellStyle name="Normal 4 2 3 5 2 7" xfId="4031" xr:uid="{15147E9E-D323-41E3-8104-337F22C57EA0}"/>
    <cellStyle name="Normal 4 2 3 5 2 7 2" xfId="13139" xr:uid="{E028A9C8-E3D9-4F6A-A93F-94339ED10DBB}"/>
    <cellStyle name="Normal 4 2 3 5 2 8" xfId="4032" xr:uid="{73FCE454-2508-4B40-871F-EEA4D1D46071}"/>
    <cellStyle name="Normal 4 2 3 5 2 8 2" xfId="13140" xr:uid="{3B97C4BE-CD2E-4A7D-BBDA-B81032581BD4}"/>
    <cellStyle name="Normal 4 2 3 5 2 9" xfId="13099" xr:uid="{568CF8DA-CE01-441F-BDAB-7DDC94AD8870}"/>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2 2" xfId="13144" xr:uid="{C06103B5-08A9-4148-B8DC-79F44EE53875}"/>
    <cellStyle name="Normal 4 2 3 5 3 2 2 3" xfId="4037" xr:uid="{A72D15AA-FB7D-4DA6-920D-59CDE22F48A2}"/>
    <cellStyle name="Normal 4 2 3 5 3 2 2 3 2" xfId="13145" xr:uid="{D582D100-16F1-4AB1-8167-D561E04DDDA0}"/>
    <cellStyle name="Normal 4 2 3 5 3 2 2 4" xfId="13143" xr:uid="{6BD43850-8F12-4239-9C01-C3ED92076171}"/>
    <cellStyle name="Normal 4 2 3 5 3 2 3" xfId="4038" xr:uid="{A94D3585-5F0F-47F5-B0AF-17A70FB5C1BC}"/>
    <cellStyle name="Normal 4 2 3 5 3 2 3 2" xfId="13146" xr:uid="{7253F56F-AEF6-4489-98EF-F24993032442}"/>
    <cellStyle name="Normal 4 2 3 5 3 2 4" xfId="4039" xr:uid="{5D8E8F92-DCA1-43FE-AEA9-BE2F10CF22DD}"/>
    <cellStyle name="Normal 4 2 3 5 3 2 4 2" xfId="13147" xr:uid="{AD6229B7-9395-4D6F-89DE-8A3D348AF6AC}"/>
    <cellStyle name="Normal 4 2 3 5 3 2 5" xfId="4040" xr:uid="{94F13BFA-A978-41A1-8506-48515E967787}"/>
    <cellStyle name="Normal 4 2 3 5 3 2 5 2" xfId="13148" xr:uid="{403F3708-95E8-4F53-A822-08B02F45B688}"/>
    <cellStyle name="Normal 4 2 3 5 3 2 6" xfId="13142" xr:uid="{7644911C-DB9D-4EFA-9819-EC33998C1BE5}"/>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2 2" xfId="13151" xr:uid="{9DD1055A-6EC6-4778-BE44-6CEB05251652}"/>
    <cellStyle name="Normal 4 2 3 5 3 3 2 3" xfId="4044" xr:uid="{2A0798F7-0B5E-4BD7-993E-C338E0B3F912}"/>
    <cellStyle name="Normal 4 2 3 5 3 3 2 3 2" xfId="13152" xr:uid="{F7006683-376A-4352-97AC-7AC190112C2B}"/>
    <cellStyle name="Normal 4 2 3 5 3 3 2 4" xfId="13150" xr:uid="{4E70AD95-21CF-4CDF-AC2E-2DCCAF4379C8}"/>
    <cellStyle name="Normal 4 2 3 5 3 3 3" xfId="4045" xr:uid="{78EF0163-C61E-426E-8167-3C17C510309E}"/>
    <cellStyle name="Normal 4 2 3 5 3 3 3 2" xfId="13153" xr:uid="{CD6BD901-4B78-4D3C-992F-B26DB19A78C0}"/>
    <cellStyle name="Normal 4 2 3 5 3 3 4" xfId="4046" xr:uid="{635C948D-6968-41BC-8939-BEDE5CBB6180}"/>
    <cellStyle name="Normal 4 2 3 5 3 3 4 2" xfId="13154" xr:uid="{026AE730-407D-44BE-8C89-46FDA724F88A}"/>
    <cellStyle name="Normal 4 2 3 5 3 3 5" xfId="4047" xr:uid="{BACFD0A0-6156-4DEE-9F3C-B27B2CAD3B13}"/>
    <cellStyle name="Normal 4 2 3 5 3 3 5 2" xfId="13155" xr:uid="{649F7D18-691B-4F9C-8B81-59DF2BF8A425}"/>
    <cellStyle name="Normal 4 2 3 5 3 3 6" xfId="13149" xr:uid="{A5C49DA7-57BA-4027-AC1D-E9096BC33D7A}"/>
    <cellStyle name="Normal 4 2 3 5 3 4" xfId="4048" xr:uid="{0D2DD43D-4935-4CD6-A8FF-7B0E07E7088C}"/>
    <cellStyle name="Normal 4 2 3 5 3 4 2" xfId="4049" xr:uid="{B57B71D7-D2E5-4A18-A0BB-B5476030BA26}"/>
    <cellStyle name="Normal 4 2 3 5 3 4 2 2" xfId="13157" xr:uid="{0B47C41D-B330-40C8-BB2F-1792720E5262}"/>
    <cellStyle name="Normal 4 2 3 5 3 4 3" xfId="4050" xr:uid="{88EF6E6A-8F8D-4795-ACB6-1AF2B5D8D0EC}"/>
    <cellStyle name="Normal 4 2 3 5 3 4 3 2" xfId="13158" xr:uid="{1586000A-5CEB-4DF7-8BD7-AE25F43A5275}"/>
    <cellStyle name="Normal 4 2 3 5 3 4 4" xfId="13156" xr:uid="{0DA476F8-0409-41FA-81C1-CAE2306A03AB}"/>
    <cellStyle name="Normal 4 2 3 5 3 5" xfId="4051" xr:uid="{BE8848E5-F3F1-484E-A805-C24A9A723D57}"/>
    <cellStyle name="Normal 4 2 3 5 3 5 2" xfId="13159" xr:uid="{8353A3A7-B0F6-4AE1-86B6-F86E60FF7ADF}"/>
    <cellStyle name="Normal 4 2 3 5 3 6" xfId="4052" xr:uid="{228EF2CC-59B6-4B54-99A2-D70283869F9F}"/>
    <cellStyle name="Normal 4 2 3 5 3 6 2" xfId="13160" xr:uid="{1542C22A-D4CA-4679-AD97-D03CF31E2F76}"/>
    <cellStyle name="Normal 4 2 3 5 3 7" xfId="4053" xr:uid="{7C0E8E4B-A566-4858-B552-0512B3729878}"/>
    <cellStyle name="Normal 4 2 3 5 3 7 2" xfId="13161" xr:uid="{FE155591-BD61-49E3-B05B-1386C00B069D}"/>
    <cellStyle name="Normal 4 2 3 5 3 8" xfId="13141" xr:uid="{A1754318-694F-42AE-86E3-CDB8E50031F7}"/>
    <cellStyle name="Normal 4 2 3 5 4" xfId="4054" xr:uid="{78055130-CC43-455E-8D24-198D23DB1C15}"/>
    <cellStyle name="Normal 4 2 3 5 4 2" xfId="4055" xr:uid="{15EEB37D-7C1A-487C-8B5C-B3376AB64E8D}"/>
    <cellStyle name="Normal 4 2 3 5 4 2 2" xfId="4056" xr:uid="{CC8E81D8-83A2-43D7-99FB-417AF7CEC23C}"/>
    <cellStyle name="Normal 4 2 3 5 4 2 2 2" xfId="13164" xr:uid="{F9A82F09-ED46-4C80-B681-4835157F654D}"/>
    <cellStyle name="Normal 4 2 3 5 4 2 3" xfId="4057" xr:uid="{77E9C28E-374C-4F67-9EA0-A7866761334E}"/>
    <cellStyle name="Normal 4 2 3 5 4 2 3 2" xfId="13165" xr:uid="{741FAEB5-F1D4-4C1B-8476-B67A0283AD7D}"/>
    <cellStyle name="Normal 4 2 3 5 4 2 4" xfId="13163" xr:uid="{A1AC309C-0BAB-4A68-B294-DC997D59F142}"/>
    <cellStyle name="Normal 4 2 3 5 4 3" xfId="4058" xr:uid="{3153301F-485D-4023-8F9D-83000AEF6E2A}"/>
    <cellStyle name="Normal 4 2 3 5 4 3 2" xfId="13166" xr:uid="{1A7ED632-5D71-4FD0-A4AD-C230FBB4D74A}"/>
    <cellStyle name="Normal 4 2 3 5 4 4" xfId="4059" xr:uid="{4051A2C0-96D5-4B71-9568-751A67C634E6}"/>
    <cellStyle name="Normal 4 2 3 5 4 4 2" xfId="13167" xr:uid="{DA1E1475-B091-415D-912B-EFC094AE08DE}"/>
    <cellStyle name="Normal 4 2 3 5 4 5" xfId="4060" xr:uid="{33999B7D-11EC-4E32-835B-7FBD4BD1BDE5}"/>
    <cellStyle name="Normal 4 2 3 5 4 5 2" xfId="13168" xr:uid="{9E26A536-79B4-4A56-9295-258CF4D99FCB}"/>
    <cellStyle name="Normal 4 2 3 5 4 6" xfId="13162" xr:uid="{BA678CCD-CF0E-4962-9C84-3C998C2E4A01}"/>
    <cellStyle name="Normal 4 2 3 5 5" xfId="4061" xr:uid="{228368BA-AA29-4031-A1F2-06E2BF135E1C}"/>
    <cellStyle name="Normal 4 2 3 5 5 2" xfId="4062" xr:uid="{2B5C02E7-6477-4AE9-881A-6A7437610A97}"/>
    <cellStyle name="Normal 4 2 3 5 5 2 2" xfId="4063" xr:uid="{87145EB7-271D-45F7-90F2-345893130177}"/>
    <cellStyle name="Normal 4 2 3 5 5 2 2 2" xfId="13171" xr:uid="{74944882-D72E-4D26-953E-984CB4B3A4F3}"/>
    <cellStyle name="Normal 4 2 3 5 5 2 3" xfId="4064" xr:uid="{D09ECB4A-4B79-4497-9CF2-169DDB0FC35C}"/>
    <cellStyle name="Normal 4 2 3 5 5 2 3 2" xfId="13172" xr:uid="{D78F9293-7D9A-4026-B038-6DCC837E348F}"/>
    <cellStyle name="Normal 4 2 3 5 5 2 4" xfId="13170" xr:uid="{23C601D9-B297-44CC-9504-5B16AEB04095}"/>
    <cellStyle name="Normal 4 2 3 5 5 3" xfId="4065" xr:uid="{A9728506-1862-4E1F-B82C-77A518B46236}"/>
    <cellStyle name="Normal 4 2 3 5 5 3 2" xfId="13173" xr:uid="{5765F072-10FB-4F18-9F08-BF0F77C02C1A}"/>
    <cellStyle name="Normal 4 2 3 5 5 4" xfId="4066" xr:uid="{B5DEA21E-F705-47D4-86A1-4FC8FAEFFD90}"/>
    <cellStyle name="Normal 4 2 3 5 5 4 2" xfId="13174" xr:uid="{E3DCF63E-1F65-4A4D-BC6A-4B7D518A5438}"/>
    <cellStyle name="Normal 4 2 3 5 5 5" xfId="4067" xr:uid="{DE77BCAA-6A46-4230-AA71-0347AD797F54}"/>
    <cellStyle name="Normal 4 2 3 5 5 5 2" xfId="13175" xr:uid="{56496DEB-38A2-430A-87F9-D2D65D731AC4}"/>
    <cellStyle name="Normal 4 2 3 5 5 6" xfId="13169" xr:uid="{08330023-E28C-453D-B979-DF546521DACC}"/>
    <cellStyle name="Normal 4 2 3 5 6" xfId="4068" xr:uid="{0C0E7A7D-8FF0-464C-9A5F-66599050972B}"/>
    <cellStyle name="Normal 4 2 3 5 6 2" xfId="4069" xr:uid="{1833855A-B525-469B-9CCA-E7304DC59B2C}"/>
    <cellStyle name="Normal 4 2 3 5 6 2 2" xfId="13177" xr:uid="{557AC060-0013-4BAD-AE6D-05F8A11DCA83}"/>
    <cellStyle name="Normal 4 2 3 5 6 3" xfId="4070" xr:uid="{D7093C1F-8326-4A96-8930-11C589067F88}"/>
    <cellStyle name="Normal 4 2 3 5 6 3 2" xfId="13178" xr:uid="{A44562F9-567C-4F37-A859-92878D5F5456}"/>
    <cellStyle name="Normal 4 2 3 5 6 4" xfId="13176" xr:uid="{2A07CBCC-65F6-44E5-9D25-027A4E1A196C}"/>
    <cellStyle name="Normal 4 2 3 5 7" xfId="4071" xr:uid="{B42E8832-5384-4AC1-8942-8446F2C4330E}"/>
    <cellStyle name="Normal 4 2 3 5 7 2" xfId="13179" xr:uid="{A826C3B5-F512-476C-A416-FA2E2B3322C9}"/>
    <cellStyle name="Normal 4 2 3 5 8" xfId="4072" xr:uid="{20951A18-F3CD-4522-BD07-17FAF5325880}"/>
    <cellStyle name="Normal 4 2 3 5 8 2" xfId="13180" xr:uid="{CC0C90CF-ADD9-420E-863B-04D90924C57A}"/>
    <cellStyle name="Normal 4 2 3 5 9" xfId="4073" xr:uid="{E393C1FD-DB47-4E2A-8A25-947B6FC82A87}"/>
    <cellStyle name="Normal 4 2 3 5 9 2" xfId="13181" xr:uid="{AA4B78C3-4923-4238-981F-3A113110F934}"/>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2 2" xfId="13186" xr:uid="{24B12F65-03FA-407E-BC33-3C42A9A9222B}"/>
    <cellStyle name="Normal 4 2 3 6 2 2 2 3" xfId="4079" xr:uid="{4579C66F-5A68-441E-9B43-8F13893EC0DF}"/>
    <cellStyle name="Normal 4 2 3 6 2 2 2 3 2" xfId="13187" xr:uid="{857C53F3-6B71-474B-8673-F1AC0EED7C5C}"/>
    <cellStyle name="Normal 4 2 3 6 2 2 2 4" xfId="13185" xr:uid="{A9C45675-5468-47D9-A18C-1C2D58B3869B}"/>
    <cellStyle name="Normal 4 2 3 6 2 2 3" xfId="4080" xr:uid="{87AD14B4-B2C7-4C13-8723-47F7F3EBFD4A}"/>
    <cellStyle name="Normal 4 2 3 6 2 2 3 2" xfId="13188" xr:uid="{BDF02A39-D1E8-471E-904E-60FE1A490BD7}"/>
    <cellStyle name="Normal 4 2 3 6 2 2 4" xfId="4081" xr:uid="{48FDB5DB-3290-429C-88EE-D10E7061485B}"/>
    <cellStyle name="Normal 4 2 3 6 2 2 4 2" xfId="13189" xr:uid="{33A048EE-0AC6-4931-9B66-DAB5291E56BB}"/>
    <cellStyle name="Normal 4 2 3 6 2 2 5" xfId="4082" xr:uid="{F9035F29-A39E-4120-8F33-B5B8618A61BC}"/>
    <cellStyle name="Normal 4 2 3 6 2 2 5 2" xfId="13190" xr:uid="{60835E8A-415B-4281-882D-91C52D873E78}"/>
    <cellStyle name="Normal 4 2 3 6 2 2 6" xfId="13184" xr:uid="{B76EFCF0-B7B5-413C-AFCC-9C1D56D32A9E}"/>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2 2" xfId="13193" xr:uid="{6138E438-4BFE-4218-8830-DEC2CDA9B1D2}"/>
    <cellStyle name="Normal 4 2 3 6 2 3 2 3" xfId="4086" xr:uid="{ABC9C001-80B9-4A73-9DC3-3E402EDBEEDE}"/>
    <cellStyle name="Normal 4 2 3 6 2 3 2 3 2" xfId="13194" xr:uid="{E9D18A23-7247-401F-8415-CD8EB2FB34E7}"/>
    <cellStyle name="Normal 4 2 3 6 2 3 2 4" xfId="13192" xr:uid="{C8B22B14-7CAF-4CF0-B2F4-F8DE4A5C3FB4}"/>
    <cellStyle name="Normal 4 2 3 6 2 3 3" xfId="4087" xr:uid="{A0FAAE95-CA3A-4482-BD47-58E16F8D9F21}"/>
    <cellStyle name="Normal 4 2 3 6 2 3 3 2" xfId="13195" xr:uid="{76158279-592B-4763-8B06-59F1EA7FDB24}"/>
    <cellStyle name="Normal 4 2 3 6 2 3 4" xfId="4088" xr:uid="{51A6CA44-9D7F-4DCD-A481-D1829FBE0C0A}"/>
    <cellStyle name="Normal 4 2 3 6 2 3 4 2" xfId="13196" xr:uid="{6F888685-6FD7-4FFA-85CE-74F099224B46}"/>
    <cellStyle name="Normal 4 2 3 6 2 3 5" xfId="4089" xr:uid="{D30BF39A-33D2-48F0-9398-51F5D1C10011}"/>
    <cellStyle name="Normal 4 2 3 6 2 3 5 2" xfId="13197" xr:uid="{F93475FC-AD6A-4BE6-A214-9A97C9439B57}"/>
    <cellStyle name="Normal 4 2 3 6 2 3 6" xfId="13191" xr:uid="{05A85A40-67A8-4042-A12C-F5275377BA03}"/>
    <cellStyle name="Normal 4 2 3 6 2 4" xfId="4090" xr:uid="{17CE507E-06DB-41BA-B166-91CEDAFD9FAA}"/>
    <cellStyle name="Normal 4 2 3 6 2 4 2" xfId="4091" xr:uid="{9C30C58B-B8A9-4C48-9D06-347122014C5A}"/>
    <cellStyle name="Normal 4 2 3 6 2 4 2 2" xfId="13199" xr:uid="{2F605310-95B9-47FD-8897-A88B49804820}"/>
    <cellStyle name="Normal 4 2 3 6 2 4 3" xfId="4092" xr:uid="{F2C01109-C66A-4AB5-BD06-80720D29D5D3}"/>
    <cellStyle name="Normal 4 2 3 6 2 4 3 2" xfId="13200" xr:uid="{51E7CC1B-A19E-4548-9E6F-166B0787AB92}"/>
    <cellStyle name="Normal 4 2 3 6 2 4 4" xfId="13198" xr:uid="{250AE662-C2B5-4C57-94B5-59D47493A0E9}"/>
    <cellStyle name="Normal 4 2 3 6 2 5" xfId="4093" xr:uid="{6937A339-68AB-48BC-9391-7D7D61B5ECE9}"/>
    <cellStyle name="Normal 4 2 3 6 2 5 2" xfId="13201" xr:uid="{69645B93-168C-42DD-A62B-18D495BFFA6B}"/>
    <cellStyle name="Normal 4 2 3 6 2 6" xfId="4094" xr:uid="{22035854-886F-429E-B78E-EF054B0FAC90}"/>
    <cellStyle name="Normal 4 2 3 6 2 6 2" xfId="13202" xr:uid="{5EC760A8-468B-4F99-8014-F4FC8E9F8338}"/>
    <cellStyle name="Normal 4 2 3 6 2 7" xfId="4095" xr:uid="{7C941BE4-F810-45D1-8D33-E2354A6F9425}"/>
    <cellStyle name="Normal 4 2 3 6 2 7 2" xfId="13203" xr:uid="{E05F91E0-33B7-4AD2-B4DF-780FEF40723A}"/>
    <cellStyle name="Normal 4 2 3 6 2 8" xfId="13183" xr:uid="{6FCD8B63-824D-4DAF-9139-A485FAFF70CD}"/>
    <cellStyle name="Normal 4 2 3 6 3" xfId="4096" xr:uid="{A4BE4AAF-B577-4DA6-BBBC-FE04C735A26E}"/>
    <cellStyle name="Normal 4 2 3 6 3 2" xfId="4097" xr:uid="{B6C63112-3A2A-4604-AAF4-BC7E493897C7}"/>
    <cellStyle name="Normal 4 2 3 6 3 2 2" xfId="4098" xr:uid="{13ABCAF4-B333-4C7A-B410-B40561F04ED1}"/>
    <cellStyle name="Normal 4 2 3 6 3 2 2 2" xfId="13206" xr:uid="{7F4F18B9-4B40-4B1E-A693-0D14DA437122}"/>
    <cellStyle name="Normal 4 2 3 6 3 2 3" xfId="4099" xr:uid="{A82F073B-95B8-464C-B934-D0BBFF006A57}"/>
    <cellStyle name="Normal 4 2 3 6 3 2 3 2" xfId="13207" xr:uid="{8FD63BCA-56F6-4B6A-B012-54BC26AF4DC0}"/>
    <cellStyle name="Normal 4 2 3 6 3 2 4" xfId="13205" xr:uid="{12200EA5-FD6C-4E18-8334-0CFABE796098}"/>
    <cellStyle name="Normal 4 2 3 6 3 3" xfId="4100" xr:uid="{27B7513B-75F2-4349-951B-2D14B7570229}"/>
    <cellStyle name="Normal 4 2 3 6 3 3 2" xfId="13208" xr:uid="{98F79A63-01E2-47B0-954D-CA6269E85C76}"/>
    <cellStyle name="Normal 4 2 3 6 3 4" xfId="4101" xr:uid="{60345579-F9B0-4A11-BF21-0F249A524D3B}"/>
    <cellStyle name="Normal 4 2 3 6 3 4 2" xfId="13209" xr:uid="{6B13A83C-E84B-403C-B6F9-0503738FE7DB}"/>
    <cellStyle name="Normal 4 2 3 6 3 5" xfId="4102" xr:uid="{9FB99508-4336-4171-8203-2BD487F0E985}"/>
    <cellStyle name="Normal 4 2 3 6 3 5 2" xfId="13210" xr:uid="{3BF38DEA-CECA-4706-AAC6-B2376EE4D3BB}"/>
    <cellStyle name="Normal 4 2 3 6 3 6" xfId="13204" xr:uid="{970F9306-596A-45E6-A39B-3009849A8C12}"/>
    <cellStyle name="Normal 4 2 3 6 4" xfId="4103" xr:uid="{B230830E-D8B3-41BD-8209-51471C40EB66}"/>
    <cellStyle name="Normal 4 2 3 6 4 2" xfId="4104" xr:uid="{8276682D-FA28-479B-8953-0D5D4A7BE5A8}"/>
    <cellStyle name="Normal 4 2 3 6 4 2 2" xfId="4105" xr:uid="{C08DB83F-1DAA-41C6-9216-F9D29FBE68DF}"/>
    <cellStyle name="Normal 4 2 3 6 4 2 2 2" xfId="13213" xr:uid="{07974D1B-4B1C-44C5-8970-4E23C676A3F8}"/>
    <cellStyle name="Normal 4 2 3 6 4 2 3" xfId="4106" xr:uid="{4692CFA8-08F6-4AE5-AE70-447782E91867}"/>
    <cellStyle name="Normal 4 2 3 6 4 2 3 2" xfId="13214" xr:uid="{9E2FDA7A-6F48-4A53-82AD-E7BF50231E2A}"/>
    <cellStyle name="Normal 4 2 3 6 4 2 4" xfId="13212" xr:uid="{145300F2-5373-4C55-A757-332510860601}"/>
    <cellStyle name="Normal 4 2 3 6 4 3" xfId="4107" xr:uid="{709C44EE-AA64-4AF8-9222-EDAFA0619CF5}"/>
    <cellStyle name="Normal 4 2 3 6 4 3 2" xfId="13215" xr:uid="{87FF7ED9-99CD-4606-8587-010C1E278979}"/>
    <cellStyle name="Normal 4 2 3 6 4 4" xfId="4108" xr:uid="{7DC8B670-A897-4500-B431-0691192E98D1}"/>
    <cellStyle name="Normal 4 2 3 6 4 4 2" xfId="13216" xr:uid="{D74E7794-857E-45C6-81BE-EAD30287FF7E}"/>
    <cellStyle name="Normal 4 2 3 6 4 5" xfId="4109" xr:uid="{F57BC952-8991-4D40-A5AF-BB64C491EA02}"/>
    <cellStyle name="Normal 4 2 3 6 4 5 2" xfId="13217" xr:uid="{47E9A999-0DAD-491E-B910-721EE13F6078}"/>
    <cellStyle name="Normal 4 2 3 6 4 6" xfId="13211" xr:uid="{47379164-D724-4FD3-A202-E547BA467350}"/>
    <cellStyle name="Normal 4 2 3 6 5" xfId="4110" xr:uid="{F153F8FB-243E-43F5-8F78-2D90AA392344}"/>
    <cellStyle name="Normal 4 2 3 6 5 2" xfId="4111" xr:uid="{E2149847-44F9-4D32-90FE-18EE8F0EC12D}"/>
    <cellStyle name="Normal 4 2 3 6 5 2 2" xfId="13219" xr:uid="{75165AD8-B8C8-46B3-AA40-A7609195548E}"/>
    <cellStyle name="Normal 4 2 3 6 5 3" xfId="4112" xr:uid="{03797B3A-0480-46D2-A41D-6215A2D3B7FC}"/>
    <cellStyle name="Normal 4 2 3 6 5 3 2" xfId="13220" xr:uid="{B6C2C991-A6D9-4696-AE15-61572EB23A26}"/>
    <cellStyle name="Normal 4 2 3 6 5 4" xfId="13218" xr:uid="{71786E0F-1CCF-452F-8884-9000D5241644}"/>
    <cellStyle name="Normal 4 2 3 6 6" xfId="4113" xr:uid="{86DFF939-6AF5-4E11-89B6-EDC008EC61B6}"/>
    <cellStyle name="Normal 4 2 3 6 6 2" xfId="13221" xr:uid="{7359FD04-29A6-4213-A8BC-595A333B155C}"/>
    <cellStyle name="Normal 4 2 3 6 7" xfId="4114" xr:uid="{66388CAF-EC24-4B62-B4B2-75873CE6058C}"/>
    <cellStyle name="Normal 4 2 3 6 7 2" xfId="13222" xr:uid="{6DA86ABF-06EE-4B97-BED2-0219B0B668E5}"/>
    <cellStyle name="Normal 4 2 3 6 8" xfId="4115" xr:uid="{714CCBFD-E252-49D3-8F07-96741317BE51}"/>
    <cellStyle name="Normal 4 2 3 6 8 2" xfId="13223" xr:uid="{70B85A19-2A7B-4A1B-843E-A855E3A265DD}"/>
    <cellStyle name="Normal 4 2 3 6 9" xfId="13182" xr:uid="{36A75656-4E2F-4714-BB27-F878D2827C67}"/>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2 2" xfId="13227" xr:uid="{10EA3E81-DE8F-48D5-9418-30BB2AC35FA9}"/>
    <cellStyle name="Normal 4 2 3 7 2 2 3" xfId="4120" xr:uid="{93908577-A449-4BF7-9EE9-E899DED672AE}"/>
    <cellStyle name="Normal 4 2 3 7 2 2 3 2" xfId="13228" xr:uid="{99A07D3E-8FE0-4502-B788-F86831AD1BA1}"/>
    <cellStyle name="Normal 4 2 3 7 2 2 4" xfId="13226" xr:uid="{995DC544-CE31-49AE-A46E-E2D7DD8B0AF7}"/>
    <cellStyle name="Normal 4 2 3 7 2 3" xfId="4121" xr:uid="{37069639-F576-4943-8A78-E1BBB4158964}"/>
    <cellStyle name="Normal 4 2 3 7 2 3 2" xfId="13229" xr:uid="{B0C91585-8A56-41A0-9B57-6C78078B4F6C}"/>
    <cellStyle name="Normal 4 2 3 7 2 4" xfId="4122" xr:uid="{663DFA71-B78F-4277-A253-6E762D8AD1ED}"/>
    <cellStyle name="Normal 4 2 3 7 2 4 2" xfId="13230" xr:uid="{DAB75284-AE4A-4415-908A-4865EC658526}"/>
    <cellStyle name="Normal 4 2 3 7 2 5" xfId="4123" xr:uid="{3D572920-181C-4507-9023-8BE4B7BB568D}"/>
    <cellStyle name="Normal 4 2 3 7 2 5 2" xfId="13231" xr:uid="{C0CF84B7-A298-4CA9-8435-A8B23733C139}"/>
    <cellStyle name="Normal 4 2 3 7 2 6" xfId="13225" xr:uid="{071501AC-B2E9-4E3B-B8A1-248DE088CFD6}"/>
    <cellStyle name="Normal 4 2 3 7 3" xfId="4124" xr:uid="{43DAF9B8-60DD-4032-B596-7A4AC01C0B40}"/>
    <cellStyle name="Normal 4 2 3 7 3 2" xfId="4125" xr:uid="{EA764141-0329-4982-B919-F129C97055C8}"/>
    <cellStyle name="Normal 4 2 3 7 3 2 2" xfId="4126" xr:uid="{71583715-AA52-45C8-B503-081943569633}"/>
    <cellStyle name="Normal 4 2 3 7 3 2 2 2" xfId="13234" xr:uid="{F3ADA021-1BDE-424A-9B1F-7556E835C68E}"/>
    <cellStyle name="Normal 4 2 3 7 3 2 3" xfId="4127" xr:uid="{8FBCE2EE-4B3C-471A-B81B-25D51B5DB8C5}"/>
    <cellStyle name="Normal 4 2 3 7 3 2 3 2" xfId="13235" xr:uid="{987E064C-5AD5-4543-B1D4-135AD0841C25}"/>
    <cellStyle name="Normal 4 2 3 7 3 2 4" xfId="13233" xr:uid="{F1E2BB9B-566E-432B-9A8C-A8FB0BB2E8B2}"/>
    <cellStyle name="Normal 4 2 3 7 3 3" xfId="4128" xr:uid="{7BE64713-5258-4B30-BB92-F7B7BF569456}"/>
    <cellStyle name="Normal 4 2 3 7 3 3 2" xfId="13236" xr:uid="{AC80BD2C-F817-4664-9010-24C98C57D8D7}"/>
    <cellStyle name="Normal 4 2 3 7 3 4" xfId="4129" xr:uid="{B0E19E4D-137F-4B25-9D96-90832C9A475B}"/>
    <cellStyle name="Normal 4 2 3 7 3 4 2" xfId="13237" xr:uid="{E26EA43F-A335-451D-95A6-769B70D8E84D}"/>
    <cellStyle name="Normal 4 2 3 7 3 5" xfId="4130" xr:uid="{6F1DA105-89E0-473F-8FF4-5940EF38D58D}"/>
    <cellStyle name="Normal 4 2 3 7 3 5 2" xfId="13238" xr:uid="{C60B834B-A451-48C1-BC6C-6347CD9E82A4}"/>
    <cellStyle name="Normal 4 2 3 7 3 6" xfId="13232" xr:uid="{250A6E55-9A79-47FA-A8F6-95656B55BF6F}"/>
    <cellStyle name="Normal 4 2 3 7 4" xfId="4131" xr:uid="{E4600F82-A990-4186-9D8D-7840BC98AD14}"/>
    <cellStyle name="Normal 4 2 3 7 4 2" xfId="4132" xr:uid="{B050E401-47E2-4CF0-9633-D1E0AB8C0DC4}"/>
    <cellStyle name="Normal 4 2 3 7 4 2 2" xfId="13240" xr:uid="{E748A20D-FC32-4CF2-A960-92C798123CF9}"/>
    <cellStyle name="Normal 4 2 3 7 4 3" xfId="4133" xr:uid="{D3135738-596E-4817-B01B-DF1C071ECC94}"/>
    <cellStyle name="Normal 4 2 3 7 4 3 2" xfId="13241" xr:uid="{6F1BDAA8-F6FC-4A5D-BA0D-259C88868D9E}"/>
    <cellStyle name="Normal 4 2 3 7 4 4" xfId="13239" xr:uid="{42282F16-25CC-4D55-B78E-B1A8C4902E5A}"/>
    <cellStyle name="Normal 4 2 3 7 5" xfId="4134" xr:uid="{B807C7F9-E9FD-4EA6-B3F0-C84C142F1B56}"/>
    <cellStyle name="Normal 4 2 3 7 5 2" xfId="13242" xr:uid="{C9347A44-28CC-4C36-8CB9-19719AF75DC9}"/>
    <cellStyle name="Normal 4 2 3 7 6" xfId="4135" xr:uid="{9F99D41E-8584-4719-BFB6-35A1F99B6CDC}"/>
    <cellStyle name="Normal 4 2 3 7 6 2" xfId="13243" xr:uid="{A9F3A9FE-33DE-4DAF-BF0C-791FE6776824}"/>
    <cellStyle name="Normal 4 2 3 7 7" xfId="4136" xr:uid="{B29631D9-A165-44BD-86B9-07095CF58006}"/>
    <cellStyle name="Normal 4 2 3 7 7 2" xfId="13244" xr:uid="{B0E3A07C-A0D3-4AB0-8154-312E9EF36748}"/>
    <cellStyle name="Normal 4 2 3 7 8" xfId="13224" xr:uid="{09AC8B36-5D88-40F8-8B72-8EDC7C53B3CB}"/>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2 2" xfId="13248" xr:uid="{352DDB54-3222-4F1D-BD05-FC0BE0912CA3}"/>
    <cellStyle name="Normal 4 2 3 8 2 2 3" xfId="4141" xr:uid="{9EF4DAD6-9852-4B35-876D-2EEC17BCEFC0}"/>
    <cellStyle name="Normal 4 2 3 8 2 2 3 2" xfId="13249" xr:uid="{227679F8-12DC-4912-8A68-25D146707AD2}"/>
    <cellStyle name="Normal 4 2 3 8 2 2 4" xfId="13247" xr:uid="{7B5AB932-2E42-4C9D-B829-ED4C82D6A252}"/>
    <cellStyle name="Normal 4 2 3 8 2 3" xfId="4142" xr:uid="{8861133D-822C-42A8-B940-DB614ABF3549}"/>
    <cellStyle name="Normal 4 2 3 8 2 3 2" xfId="13250" xr:uid="{29425F2C-33CA-49E9-AA1D-ACE2BFEE2FC2}"/>
    <cellStyle name="Normal 4 2 3 8 2 4" xfId="4143" xr:uid="{22FCB849-EFE2-43D0-BA4F-BB0096580321}"/>
    <cellStyle name="Normal 4 2 3 8 2 4 2" xfId="13251" xr:uid="{AC615FC1-66C5-40EB-9654-8EB4B2C579D2}"/>
    <cellStyle name="Normal 4 2 3 8 2 5" xfId="4144" xr:uid="{BB8DFAF2-0F06-4059-BD57-741FB764A041}"/>
    <cellStyle name="Normal 4 2 3 8 2 5 2" xfId="13252" xr:uid="{6C3A6D1B-E5C3-4E85-AF46-CDE19978ABA7}"/>
    <cellStyle name="Normal 4 2 3 8 2 6" xfId="13246" xr:uid="{DB85F27D-5E5E-4FBA-B4A4-5187843D441E}"/>
    <cellStyle name="Normal 4 2 3 8 3" xfId="4145" xr:uid="{FC7C287C-0868-4CEC-B989-DE5A008E143F}"/>
    <cellStyle name="Normal 4 2 3 8 3 2" xfId="4146" xr:uid="{DBBC295A-F4F8-4CFF-9534-FC52E91FE265}"/>
    <cellStyle name="Normal 4 2 3 8 3 2 2" xfId="4147" xr:uid="{734E0C58-057C-43BE-8D8D-06A6058EA79A}"/>
    <cellStyle name="Normal 4 2 3 8 3 2 2 2" xfId="13255" xr:uid="{C4E382B2-536D-437B-B913-B95140951BBD}"/>
    <cellStyle name="Normal 4 2 3 8 3 2 3" xfId="4148" xr:uid="{D6B4C67F-3A2D-4578-84DD-CE4E970CF47B}"/>
    <cellStyle name="Normal 4 2 3 8 3 2 3 2" xfId="13256" xr:uid="{04106286-A292-4C15-8353-451D4504375D}"/>
    <cellStyle name="Normal 4 2 3 8 3 2 4" xfId="13254" xr:uid="{FE5311D5-4483-41B3-9286-4452EE582630}"/>
    <cellStyle name="Normal 4 2 3 8 3 3" xfId="4149" xr:uid="{91DE9C29-B2C3-415A-8358-7D69DF4885DD}"/>
    <cellStyle name="Normal 4 2 3 8 3 3 2" xfId="13257" xr:uid="{05100E59-A748-4949-A003-1C78EA813053}"/>
    <cellStyle name="Normal 4 2 3 8 3 4" xfId="4150" xr:uid="{F2E4B44A-0523-4C43-AA75-FB865498407B}"/>
    <cellStyle name="Normal 4 2 3 8 3 4 2" xfId="13258" xr:uid="{0FD29435-FA44-4561-B4AD-53BD601FEECF}"/>
    <cellStyle name="Normal 4 2 3 8 3 5" xfId="4151" xr:uid="{FF6DA166-FF36-4556-8D7A-F42248CDF076}"/>
    <cellStyle name="Normal 4 2 3 8 3 5 2" xfId="13259" xr:uid="{7BE324DA-C9E9-4D37-B906-5503ACEA68BC}"/>
    <cellStyle name="Normal 4 2 3 8 3 6" xfId="13253" xr:uid="{5AB06F7C-0F2C-4675-AFF2-3345EBC1FCAE}"/>
    <cellStyle name="Normal 4 2 3 8 4" xfId="4152" xr:uid="{4BB58F0B-E136-4A16-8558-8D4823D175D5}"/>
    <cellStyle name="Normal 4 2 3 8 4 2" xfId="4153" xr:uid="{C9F1024F-1D8B-414B-8873-0B7E5931D833}"/>
    <cellStyle name="Normal 4 2 3 8 4 2 2" xfId="13261" xr:uid="{07674BBA-EC27-4E1B-840D-FFFA36349493}"/>
    <cellStyle name="Normal 4 2 3 8 4 3" xfId="4154" xr:uid="{3E504F2D-D127-4741-A337-740FC0B2AEA0}"/>
    <cellStyle name="Normal 4 2 3 8 4 3 2" xfId="13262" xr:uid="{C3A87598-D49D-421F-AD67-8AB507C4E6C3}"/>
    <cellStyle name="Normal 4 2 3 8 4 4" xfId="13260" xr:uid="{B1D7AF80-A2FE-4D37-86A6-F14CDCD38AB2}"/>
    <cellStyle name="Normal 4 2 3 8 5" xfId="4155" xr:uid="{BD818F4A-FB36-451F-8898-6BFB04B0F994}"/>
    <cellStyle name="Normal 4 2 3 8 5 2" xfId="13263" xr:uid="{69FA37EB-50A7-4DC4-AF4A-64DDA09F0848}"/>
    <cellStyle name="Normal 4 2 3 8 6" xfId="4156" xr:uid="{3C4CE8E5-54B0-4179-A27A-B4871BF911E6}"/>
    <cellStyle name="Normal 4 2 3 8 6 2" xfId="13264" xr:uid="{6B9F7FEE-8AF9-4D23-AC64-74443BF59035}"/>
    <cellStyle name="Normal 4 2 3 8 7" xfId="4157" xr:uid="{A4C3BC89-AF5F-48CA-9325-B095680E7600}"/>
    <cellStyle name="Normal 4 2 3 8 7 2" xfId="13265" xr:uid="{44549838-4CD2-473F-A1C3-31CE9B00C72C}"/>
    <cellStyle name="Normal 4 2 3 8 8" xfId="13245" xr:uid="{7E540A9A-DBCC-4914-8EF9-3672D32C30E3}"/>
    <cellStyle name="Normal 4 2 3 9" xfId="4158" xr:uid="{0995B4E5-3AA3-4714-B898-715DE78D39E8}"/>
    <cellStyle name="Normal 4 2 3 9 2" xfId="4159" xr:uid="{ECD869D6-7E4A-4046-8C61-23AF9B9BF4BB}"/>
    <cellStyle name="Normal 4 2 3 9 2 2" xfId="4160" xr:uid="{23798914-708E-4F85-934E-13C69BDB391A}"/>
    <cellStyle name="Normal 4 2 3 9 2 2 2" xfId="13268" xr:uid="{5585557A-56D9-43FF-9398-9AEFAD3CFCDE}"/>
    <cellStyle name="Normal 4 2 3 9 2 3" xfId="4161" xr:uid="{956F43D2-B8E1-4070-B449-06B4EC752F5C}"/>
    <cellStyle name="Normal 4 2 3 9 2 3 2" xfId="13269" xr:uid="{9E5B219D-C67F-4056-A2F4-50E28036B75D}"/>
    <cellStyle name="Normal 4 2 3 9 2 4" xfId="13267" xr:uid="{CD81E22F-61D3-4189-BD8F-721D2A70B704}"/>
    <cellStyle name="Normal 4 2 3 9 3" xfId="4162" xr:uid="{D14A0819-72F6-4427-A6F1-49A1133C46C3}"/>
    <cellStyle name="Normal 4 2 3 9 3 2" xfId="13270" xr:uid="{2FB696B0-04E4-436E-A49A-2AB4BAAD80C2}"/>
    <cellStyle name="Normal 4 2 3 9 4" xfId="4163" xr:uid="{D8416E8D-231A-4837-816E-C82DB0A13755}"/>
    <cellStyle name="Normal 4 2 3 9 4 2" xfId="13271" xr:uid="{6F03EB92-AD68-42CF-9D7B-A2D3C5B0A3DE}"/>
    <cellStyle name="Normal 4 2 3 9 5" xfId="4164" xr:uid="{DE85EA7A-2C74-4B20-8AF8-5A1AC997F0A9}"/>
    <cellStyle name="Normal 4 2 3 9 5 2" xfId="13272" xr:uid="{A09BDACC-A7C5-4AEC-AA35-1CC1CDE79DD9}"/>
    <cellStyle name="Normal 4 2 3 9 6" xfId="13266" xr:uid="{1158C0DE-C181-481F-BA0F-D317042F011F}"/>
    <cellStyle name="Normal 4 2 4" xfId="4165" xr:uid="{61E16168-98F2-474B-B730-D4C650E24507}"/>
    <cellStyle name="Normal 4 2 4 10" xfId="4166" xr:uid="{3D52CE19-D7DE-489E-82B4-F87AF8FDAD37}"/>
    <cellStyle name="Normal 4 2 4 10 2" xfId="13274" xr:uid="{56685B7D-97AE-4071-80C6-2698080A5351}"/>
    <cellStyle name="Normal 4 2 4 11" xfId="4167" xr:uid="{1F1BBA62-2E05-46DF-88CF-44EA6D5B712F}"/>
    <cellStyle name="Normal 4 2 4 11 2" xfId="13275" xr:uid="{67873AFD-DE08-44EF-8D7D-09762EDC094C}"/>
    <cellStyle name="Normal 4 2 4 12" xfId="4168" xr:uid="{6A994900-7A52-46ED-90A1-A67300069277}"/>
    <cellStyle name="Normal 4 2 4 12 2" xfId="13276" xr:uid="{52454A57-5356-4D65-91BC-B2504BAD68A9}"/>
    <cellStyle name="Normal 4 2 4 13" xfId="13273" xr:uid="{BDA6088B-0B8F-4F4C-B8D1-C0A982E21B37}"/>
    <cellStyle name="Normal 4 2 4 2" xfId="4169" xr:uid="{3FEC28B5-C3E1-4969-B0E7-BD0B8F712BE1}"/>
    <cellStyle name="Normal 4 2 4 2 10" xfId="13277" xr:uid="{2CA36C9E-2768-45E5-93B0-B7E8DB516B08}"/>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2 2" xfId="13282" xr:uid="{752C2351-D9F1-40B1-B167-207932432BAE}"/>
    <cellStyle name="Normal 4 2 4 2 2 2 2 2 3" xfId="4175" xr:uid="{E3AA2915-8628-4B65-9856-152DB64045D7}"/>
    <cellStyle name="Normal 4 2 4 2 2 2 2 2 3 2" xfId="13283" xr:uid="{CB44C7C2-817C-4BD6-B11D-64ED9200FE05}"/>
    <cellStyle name="Normal 4 2 4 2 2 2 2 2 4" xfId="13281" xr:uid="{8E756944-A96B-47C6-836B-E86168BB1BA5}"/>
    <cellStyle name="Normal 4 2 4 2 2 2 2 3" xfId="4176" xr:uid="{252D5F79-EA1F-4FFF-B4C0-354598A8746C}"/>
    <cellStyle name="Normal 4 2 4 2 2 2 2 3 2" xfId="13284" xr:uid="{20FAFF00-D2CE-4D20-A8FC-BF8ED851A15F}"/>
    <cellStyle name="Normal 4 2 4 2 2 2 2 4" xfId="4177" xr:uid="{35C37FAA-EC65-4953-9382-CBB4B2FB0DED}"/>
    <cellStyle name="Normal 4 2 4 2 2 2 2 4 2" xfId="13285" xr:uid="{3AFCEC92-7435-46D1-A0D0-A246E3F610F9}"/>
    <cellStyle name="Normal 4 2 4 2 2 2 2 5" xfId="4178" xr:uid="{507D7546-B500-4CB2-9BBF-8924A62E122C}"/>
    <cellStyle name="Normal 4 2 4 2 2 2 2 5 2" xfId="13286" xr:uid="{DDF65978-9206-46B1-9B4E-B10E7D148862}"/>
    <cellStyle name="Normal 4 2 4 2 2 2 2 6" xfId="13280" xr:uid="{FF508C74-3104-4B39-B822-CE87A3C82C0B}"/>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2 2" xfId="13289" xr:uid="{D1037C91-D825-407A-BB6B-2D12817D5844}"/>
    <cellStyle name="Normal 4 2 4 2 2 2 3 2 3" xfId="4182" xr:uid="{1C06926C-A868-4276-91C2-570C384E469D}"/>
    <cellStyle name="Normal 4 2 4 2 2 2 3 2 3 2" xfId="13290" xr:uid="{473E3EBC-DDFF-4E59-B9BA-BDCBF1892C92}"/>
    <cellStyle name="Normal 4 2 4 2 2 2 3 2 4" xfId="13288" xr:uid="{5A041C77-1FC4-425D-A39D-5ECFA9851E2B}"/>
    <cellStyle name="Normal 4 2 4 2 2 2 3 3" xfId="4183" xr:uid="{C03A9806-CB6E-44F3-AD93-1BBC9C9B5CC7}"/>
    <cellStyle name="Normal 4 2 4 2 2 2 3 3 2" xfId="13291" xr:uid="{72A87070-4537-4912-8543-7B682ABD0D83}"/>
    <cellStyle name="Normal 4 2 4 2 2 2 3 4" xfId="4184" xr:uid="{F29AC13C-7ABD-41EE-A459-D236E53336AC}"/>
    <cellStyle name="Normal 4 2 4 2 2 2 3 4 2" xfId="13292" xr:uid="{2B609185-DB33-4FCC-8D29-6C71E4790C30}"/>
    <cellStyle name="Normal 4 2 4 2 2 2 3 5" xfId="4185" xr:uid="{B909EC26-0B10-4F46-AC4E-57014A0B99D7}"/>
    <cellStyle name="Normal 4 2 4 2 2 2 3 5 2" xfId="13293" xr:uid="{E48B397F-C326-480E-824D-16694542160E}"/>
    <cellStyle name="Normal 4 2 4 2 2 2 3 6" xfId="13287" xr:uid="{4A87061B-3ABF-457D-88D8-37C542491105}"/>
    <cellStyle name="Normal 4 2 4 2 2 2 4" xfId="4186" xr:uid="{E90D328A-BA1A-40F6-8A62-FCC77B1F71E2}"/>
    <cellStyle name="Normal 4 2 4 2 2 2 4 2" xfId="4187" xr:uid="{388FE7F2-380F-4A82-8082-C32F20F42364}"/>
    <cellStyle name="Normal 4 2 4 2 2 2 4 2 2" xfId="13295" xr:uid="{10C9240A-D877-44E5-B600-24AC15C584B0}"/>
    <cellStyle name="Normal 4 2 4 2 2 2 4 3" xfId="4188" xr:uid="{48554A65-4E25-4CD8-A663-1409802E4779}"/>
    <cellStyle name="Normal 4 2 4 2 2 2 4 3 2" xfId="13296" xr:uid="{F4382746-FDC6-4E9B-AAD1-F375C5C79FB5}"/>
    <cellStyle name="Normal 4 2 4 2 2 2 4 4" xfId="13294" xr:uid="{53BF9DDE-4FE8-4B09-9911-F32FC7C407B3}"/>
    <cellStyle name="Normal 4 2 4 2 2 2 5" xfId="4189" xr:uid="{517728BE-A933-4E12-B6FB-F99CC6292854}"/>
    <cellStyle name="Normal 4 2 4 2 2 2 5 2" xfId="13297" xr:uid="{FDF26967-3F67-4172-9F6D-957A714AEC46}"/>
    <cellStyle name="Normal 4 2 4 2 2 2 6" xfId="4190" xr:uid="{ACB604DA-BB71-482D-A07C-F95AF6DF90C1}"/>
    <cellStyle name="Normal 4 2 4 2 2 2 6 2" xfId="13298" xr:uid="{7ABC7165-969C-4C40-932F-0B9B68519296}"/>
    <cellStyle name="Normal 4 2 4 2 2 2 7" xfId="4191" xr:uid="{C3117678-1DA8-44EF-B3AE-8D82D86FC565}"/>
    <cellStyle name="Normal 4 2 4 2 2 2 7 2" xfId="13299" xr:uid="{0BCD7F03-36C0-496A-B089-99DD590CC8CB}"/>
    <cellStyle name="Normal 4 2 4 2 2 2 8" xfId="13279" xr:uid="{ADC15275-3AB3-4045-9814-0AA5025E41AB}"/>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2 2" xfId="13302" xr:uid="{26E3B4E3-4C9D-4B1A-881C-EED6238BAFCC}"/>
    <cellStyle name="Normal 4 2 4 2 2 3 2 3" xfId="4195" xr:uid="{466AEF43-76B4-4A7C-9148-56890BDCD738}"/>
    <cellStyle name="Normal 4 2 4 2 2 3 2 3 2" xfId="13303" xr:uid="{45CF6DC9-0DE0-4979-8F64-05B9577A62FE}"/>
    <cellStyle name="Normal 4 2 4 2 2 3 2 4" xfId="13301" xr:uid="{69A434B0-C685-4E5E-B3B0-99777402E938}"/>
    <cellStyle name="Normal 4 2 4 2 2 3 3" xfId="4196" xr:uid="{84E0133C-6D80-49D8-AD85-25628B88E595}"/>
    <cellStyle name="Normal 4 2 4 2 2 3 3 2" xfId="13304" xr:uid="{FCB38A93-E540-42FF-AF7D-00A4EA20E390}"/>
    <cellStyle name="Normal 4 2 4 2 2 3 4" xfId="4197" xr:uid="{9DBABEF3-2DC3-4B8F-8E5A-E4819C4AA731}"/>
    <cellStyle name="Normal 4 2 4 2 2 3 4 2" xfId="13305" xr:uid="{5A88DA17-DAF1-47E4-86FA-295FBE84D1CF}"/>
    <cellStyle name="Normal 4 2 4 2 2 3 5" xfId="4198" xr:uid="{7ECBDBFF-6928-4CFE-8ABD-E9F0C2BE6A75}"/>
    <cellStyle name="Normal 4 2 4 2 2 3 5 2" xfId="13306" xr:uid="{E6C46775-7C9E-45B9-9501-266A8B4CAB73}"/>
    <cellStyle name="Normal 4 2 4 2 2 3 6" xfId="13300" xr:uid="{6173F9BF-302D-4565-974A-F76ECC4EF86C}"/>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2 2" xfId="13309" xr:uid="{B14E935A-F241-4BE5-A152-D7050AD1F030}"/>
    <cellStyle name="Normal 4 2 4 2 2 4 2 3" xfId="4202" xr:uid="{767FADF9-ED05-49E0-9BE0-3E2FAB8F08BF}"/>
    <cellStyle name="Normal 4 2 4 2 2 4 2 3 2" xfId="13310" xr:uid="{B6B5D08E-60CE-4BBF-A327-D7C3296AEA40}"/>
    <cellStyle name="Normal 4 2 4 2 2 4 2 4" xfId="13308" xr:uid="{03254227-D4EF-4422-945A-36F3927F8009}"/>
    <cellStyle name="Normal 4 2 4 2 2 4 3" xfId="4203" xr:uid="{A4AF9840-CDE9-4628-B43A-F44C6F950540}"/>
    <cellStyle name="Normal 4 2 4 2 2 4 3 2" xfId="13311" xr:uid="{F3942A9F-A5B4-4AB5-8ED0-3E07FEE25D4F}"/>
    <cellStyle name="Normal 4 2 4 2 2 4 4" xfId="4204" xr:uid="{8BCF299B-CA30-48A8-A5E9-C57B3243856D}"/>
    <cellStyle name="Normal 4 2 4 2 2 4 4 2" xfId="13312" xr:uid="{7F35C9E7-0D59-4ABD-9C12-060F54DB346A}"/>
    <cellStyle name="Normal 4 2 4 2 2 4 5" xfId="4205" xr:uid="{92D79C36-98D8-44EA-9D74-CDBC216BA9C2}"/>
    <cellStyle name="Normal 4 2 4 2 2 4 5 2" xfId="13313" xr:uid="{46EABBE1-D7F9-4AA5-B50B-044F6226092A}"/>
    <cellStyle name="Normal 4 2 4 2 2 4 6" xfId="13307" xr:uid="{1899AD8C-9A20-4208-B56F-603ABE5021AF}"/>
    <cellStyle name="Normal 4 2 4 2 2 5" xfId="4206" xr:uid="{B99786AB-FC81-4B85-A59C-1D04335CA9B2}"/>
    <cellStyle name="Normal 4 2 4 2 2 5 2" xfId="4207" xr:uid="{81DE3BEC-3E11-461C-8F07-CC8A185302B4}"/>
    <cellStyle name="Normal 4 2 4 2 2 5 2 2" xfId="13315" xr:uid="{A40CBC0B-05C7-4DE5-B0F9-892AC282A5D8}"/>
    <cellStyle name="Normal 4 2 4 2 2 5 3" xfId="4208" xr:uid="{47BD9CA5-1B1A-401F-9DAE-655CDE293E5D}"/>
    <cellStyle name="Normal 4 2 4 2 2 5 3 2" xfId="13316" xr:uid="{4B52C555-0035-4502-A1AB-A200D5513635}"/>
    <cellStyle name="Normal 4 2 4 2 2 5 4" xfId="13314" xr:uid="{17E9F101-B225-4B7C-9E85-E93AE0DD2DFB}"/>
    <cellStyle name="Normal 4 2 4 2 2 6" xfId="4209" xr:uid="{C7B39A17-CEF6-419C-8CAD-2A9954920104}"/>
    <cellStyle name="Normal 4 2 4 2 2 6 2" xfId="13317" xr:uid="{2096EF18-A21E-48A7-A49F-5D077326F180}"/>
    <cellStyle name="Normal 4 2 4 2 2 7" xfId="4210" xr:uid="{F110A5B4-6AF2-4B15-B65D-BCB0D4F0FCA4}"/>
    <cellStyle name="Normal 4 2 4 2 2 7 2" xfId="13318" xr:uid="{83409121-E79F-4289-ACF3-8A27E5083A7A}"/>
    <cellStyle name="Normal 4 2 4 2 2 8" xfId="4211" xr:uid="{AD669166-4C22-42C4-B20D-EFCEA646A4A4}"/>
    <cellStyle name="Normal 4 2 4 2 2 8 2" xfId="13319" xr:uid="{4CF52C55-02B2-4F99-8053-62316432072C}"/>
    <cellStyle name="Normal 4 2 4 2 2 9" xfId="13278" xr:uid="{05DAE9A7-089B-4CBC-80DD-7C220B087D12}"/>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2 2" xfId="13323" xr:uid="{1544328B-EEA0-4078-A0DC-16C4D45E599E}"/>
    <cellStyle name="Normal 4 2 4 2 3 2 2 3" xfId="4216" xr:uid="{F7F99315-329F-4E09-9DEF-C7F5AB7A92BE}"/>
    <cellStyle name="Normal 4 2 4 2 3 2 2 3 2" xfId="13324" xr:uid="{21BFF22F-6631-4FE5-8634-9FDF1959B262}"/>
    <cellStyle name="Normal 4 2 4 2 3 2 2 4" xfId="13322" xr:uid="{D72456D6-35B3-4278-969D-8547E666CE4B}"/>
    <cellStyle name="Normal 4 2 4 2 3 2 3" xfId="4217" xr:uid="{1F567E40-5AA7-444B-A4AC-408D8EF4EB53}"/>
    <cellStyle name="Normal 4 2 4 2 3 2 3 2" xfId="13325" xr:uid="{7026D7F3-C56B-4798-B35C-16EBA451DCCA}"/>
    <cellStyle name="Normal 4 2 4 2 3 2 4" xfId="4218" xr:uid="{1054DA08-DDD4-4BC6-97EB-E035F28E9271}"/>
    <cellStyle name="Normal 4 2 4 2 3 2 4 2" xfId="13326" xr:uid="{71D6CC87-5515-47EB-A276-227EB55AA7F1}"/>
    <cellStyle name="Normal 4 2 4 2 3 2 5" xfId="4219" xr:uid="{33086476-F326-4478-9174-CA476CF985F8}"/>
    <cellStyle name="Normal 4 2 4 2 3 2 5 2" xfId="13327" xr:uid="{51C3988C-61A7-4726-A253-6505666B4606}"/>
    <cellStyle name="Normal 4 2 4 2 3 2 6" xfId="13321" xr:uid="{1C63284B-F246-446C-B3B7-F7C423EA1237}"/>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2 2" xfId="13330" xr:uid="{F4C7F876-4E5C-4E2A-8FDF-C022DC8BCC80}"/>
    <cellStyle name="Normal 4 2 4 2 3 3 2 3" xfId="4223" xr:uid="{EAEA9E86-9A07-4DDB-92AF-232492378F6E}"/>
    <cellStyle name="Normal 4 2 4 2 3 3 2 3 2" xfId="13331" xr:uid="{0BE134E8-5915-4ADD-AFDC-56B86B3E0261}"/>
    <cellStyle name="Normal 4 2 4 2 3 3 2 4" xfId="13329" xr:uid="{C7E80729-0A1C-4CE0-8F1B-91E2E34AA3DE}"/>
    <cellStyle name="Normal 4 2 4 2 3 3 3" xfId="4224" xr:uid="{52D95F50-C05F-4D02-BEDA-172BF6FB564F}"/>
    <cellStyle name="Normal 4 2 4 2 3 3 3 2" xfId="13332" xr:uid="{B83C6E7F-945B-4F2B-9E6F-79C2B638FCDD}"/>
    <cellStyle name="Normal 4 2 4 2 3 3 4" xfId="4225" xr:uid="{1F4288F6-DA9A-42BC-8398-33B356933911}"/>
    <cellStyle name="Normal 4 2 4 2 3 3 4 2" xfId="13333" xr:uid="{6AA145B9-4D00-41D9-9CB3-A66B40B210AF}"/>
    <cellStyle name="Normal 4 2 4 2 3 3 5" xfId="4226" xr:uid="{A59B33A4-7C14-47BA-9AF3-D70516732786}"/>
    <cellStyle name="Normal 4 2 4 2 3 3 5 2" xfId="13334" xr:uid="{6F2D52CE-F33C-4994-A070-C091337FFFFB}"/>
    <cellStyle name="Normal 4 2 4 2 3 3 6" xfId="13328" xr:uid="{7D41670F-ADC0-439D-81AD-CC015BF2B459}"/>
    <cellStyle name="Normal 4 2 4 2 3 4" xfId="4227" xr:uid="{5CA105A7-23B3-4394-ADCC-E4CABC8DF7B9}"/>
    <cellStyle name="Normal 4 2 4 2 3 4 2" xfId="4228" xr:uid="{04C7BDE5-A21C-4EE9-8B56-9811802D90F3}"/>
    <cellStyle name="Normal 4 2 4 2 3 4 2 2" xfId="13336" xr:uid="{9A9A9367-8588-425A-95AF-2A4046BF56EA}"/>
    <cellStyle name="Normal 4 2 4 2 3 4 3" xfId="4229" xr:uid="{04212AEC-426C-496D-BBD8-2E37E16EA348}"/>
    <cellStyle name="Normal 4 2 4 2 3 4 3 2" xfId="13337" xr:uid="{4959C836-ACB4-4F2E-BBB5-7BC274D3E4E5}"/>
    <cellStyle name="Normal 4 2 4 2 3 4 4" xfId="13335" xr:uid="{FFC54FFE-424D-4F8C-A856-75422BE9E7A5}"/>
    <cellStyle name="Normal 4 2 4 2 3 5" xfId="4230" xr:uid="{C4875ED7-5114-450B-9EEA-BB3CABA1349E}"/>
    <cellStyle name="Normal 4 2 4 2 3 5 2" xfId="13338" xr:uid="{8B34BE69-E76E-49C4-9D93-DB9B6DE11E2A}"/>
    <cellStyle name="Normal 4 2 4 2 3 6" xfId="4231" xr:uid="{6FB725BB-8B5A-402D-B8EF-E9AF8A4A750B}"/>
    <cellStyle name="Normal 4 2 4 2 3 6 2" xfId="13339" xr:uid="{0E96257D-E5BE-4DF1-A9B9-40348D5A1A22}"/>
    <cellStyle name="Normal 4 2 4 2 3 7" xfId="4232" xr:uid="{6EFD8F90-7058-4F08-8D12-7E4E6E709386}"/>
    <cellStyle name="Normal 4 2 4 2 3 7 2" xfId="13340" xr:uid="{68281374-1AA7-454C-9A99-C114BAD4E0C0}"/>
    <cellStyle name="Normal 4 2 4 2 3 8" xfId="13320" xr:uid="{A1702A55-4E6B-4A8C-98D7-64FF4E169676}"/>
    <cellStyle name="Normal 4 2 4 2 4" xfId="4233" xr:uid="{65BC4258-574B-4CA2-8190-E14FB1574C7D}"/>
    <cellStyle name="Normal 4 2 4 2 4 2" xfId="4234" xr:uid="{A2D10900-8C9A-4044-A95C-82023C23F138}"/>
    <cellStyle name="Normal 4 2 4 2 4 2 2" xfId="4235" xr:uid="{3C566D08-D161-485A-BD4A-469D918E8647}"/>
    <cellStyle name="Normal 4 2 4 2 4 2 2 2" xfId="13343" xr:uid="{24F66E28-94D3-47B4-9B09-C290C5713FD9}"/>
    <cellStyle name="Normal 4 2 4 2 4 2 3" xfId="4236" xr:uid="{46006C37-1F75-49C7-8AD1-22BAB6EEAF52}"/>
    <cellStyle name="Normal 4 2 4 2 4 2 3 2" xfId="13344" xr:uid="{828C0C73-51D6-4424-A3CF-0446DA51B45D}"/>
    <cellStyle name="Normal 4 2 4 2 4 2 4" xfId="13342" xr:uid="{8F9B05D5-06A6-4271-8B67-551A3E06B5A5}"/>
    <cellStyle name="Normal 4 2 4 2 4 3" xfId="4237" xr:uid="{6E08F43A-530E-4049-99E0-94826247F98C}"/>
    <cellStyle name="Normal 4 2 4 2 4 3 2" xfId="13345" xr:uid="{CB0E3E25-8085-42E2-A7F5-92E27D052F0A}"/>
    <cellStyle name="Normal 4 2 4 2 4 4" xfId="4238" xr:uid="{93C1366A-8CF4-4AAB-99AF-114755A314A9}"/>
    <cellStyle name="Normal 4 2 4 2 4 4 2" xfId="13346" xr:uid="{FA22B39A-42C0-4417-834C-5AB7D65DAF02}"/>
    <cellStyle name="Normal 4 2 4 2 4 5" xfId="4239" xr:uid="{A4E401F1-EEFD-4F52-AA38-5F28AB4996FA}"/>
    <cellStyle name="Normal 4 2 4 2 4 5 2" xfId="13347" xr:uid="{434CA400-5285-4FC9-ABFC-E19DBDDEA506}"/>
    <cellStyle name="Normal 4 2 4 2 4 6" xfId="13341" xr:uid="{1AB23A7A-8E9D-4F69-AD2B-A6C3C3E41DD5}"/>
    <cellStyle name="Normal 4 2 4 2 5" xfId="4240" xr:uid="{7B2CCE0B-FAF6-4945-9065-AB1AECFDE620}"/>
    <cellStyle name="Normal 4 2 4 2 5 2" xfId="4241" xr:uid="{1EDD4894-EF7B-43F9-9717-2858D615814F}"/>
    <cellStyle name="Normal 4 2 4 2 5 2 2" xfId="4242" xr:uid="{18AB609D-B4F6-4774-820C-D6AB6D754FB9}"/>
    <cellStyle name="Normal 4 2 4 2 5 2 2 2" xfId="13350" xr:uid="{3576BCF0-BC3C-45C6-BF07-EC06552A33CC}"/>
    <cellStyle name="Normal 4 2 4 2 5 2 3" xfId="4243" xr:uid="{0B7DD39F-61C3-4809-976C-AD8D14B0D4EF}"/>
    <cellStyle name="Normal 4 2 4 2 5 2 3 2" xfId="13351" xr:uid="{D2DF327A-30CE-482D-828A-514ACEB24BA1}"/>
    <cellStyle name="Normal 4 2 4 2 5 2 4" xfId="13349" xr:uid="{0B036B13-5621-4738-9C8C-5536DFB4AB9B}"/>
    <cellStyle name="Normal 4 2 4 2 5 3" xfId="4244" xr:uid="{FF3CD769-C908-4885-B11F-937EAE02FA00}"/>
    <cellStyle name="Normal 4 2 4 2 5 3 2" xfId="13352" xr:uid="{CC4F36A7-0F63-4748-A594-5CE840743378}"/>
    <cellStyle name="Normal 4 2 4 2 5 4" xfId="4245" xr:uid="{D90B8476-A823-4125-8504-32C1036706E6}"/>
    <cellStyle name="Normal 4 2 4 2 5 4 2" xfId="13353" xr:uid="{9D3997C6-A812-474C-BABB-1A0AD9048ACE}"/>
    <cellStyle name="Normal 4 2 4 2 5 5" xfId="4246" xr:uid="{FCA5957F-C050-464C-AFB4-DDA52F6356DA}"/>
    <cellStyle name="Normal 4 2 4 2 5 5 2" xfId="13354" xr:uid="{12B601D2-D5DA-4A99-918D-57641E9F2A92}"/>
    <cellStyle name="Normal 4 2 4 2 5 6" xfId="13348" xr:uid="{619CF9FD-CB4E-4DC3-82D7-9F09E9A327A3}"/>
    <cellStyle name="Normal 4 2 4 2 6" xfId="4247" xr:uid="{A8AF3E58-63D3-4A3A-B6F3-6903E1A3BDD4}"/>
    <cellStyle name="Normal 4 2 4 2 6 2" xfId="4248" xr:uid="{BEF7BAD1-662F-462A-A677-9F80648ED29D}"/>
    <cellStyle name="Normal 4 2 4 2 6 2 2" xfId="13356" xr:uid="{040DFF04-53D4-4E1F-B8A0-9C77A52E759D}"/>
    <cellStyle name="Normal 4 2 4 2 6 3" xfId="4249" xr:uid="{4146D316-A494-44E7-A1B8-0AC86CF42E04}"/>
    <cellStyle name="Normal 4 2 4 2 6 3 2" xfId="13357" xr:uid="{9BFC672A-5600-4BA1-9446-91DF77951832}"/>
    <cellStyle name="Normal 4 2 4 2 6 4" xfId="13355" xr:uid="{DF938BC9-9A76-435F-BB9F-64C11F58D90A}"/>
    <cellStyle name="Normal 4 2 4 2 7" xfId="4250" xr:uid="{C773B412-0130-44F4-A7E0-EA4852A03E92}"/>
    <cellStyle name="Normal 4 2 4 2 7 2" xfId="13358" xr:uid="{3FCFB623-4001-4752-9A3C-F880BDA2C140}"/>
    <cellStyle name="Normal 4 2 4 2 8" xfId="4251" xr:uid="{D5A598F7-26DB-4D47-A244-5C42B90E3755}"/>
    <cellStyle name="Normal 4 2 4 2 8 2" xfId="13359" xr:uid="{420032A1-EC93-44C7-8DBB-54D50DB5FD7B}"/>
    <cellStyle name="Normal 4 2 4 2 9" xfId="4252" xr:uid="{9D647A05-3116-46E2-A943-18A6AAE04A06}"/>
    <cellStyle name="Normal 4 2 4 2 9 2" xfId="13360" xr:uid="{D17166F1-51F0-4215-8E8A-389C76E842AD}"/>
    <cellStyle name="Normal 4 2 4 3" xfId="4253" xr:uid="{BFA4FDDA-415D-4C50-BDC7-F55F2E6BFDDF}"/>
    <cellStyle name="Normal 4 2 4 3 10" xfId="13361" xr:uid="{EE001621-DC70-4DE7-B5EC-EAD59BC31210}"/>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2 2" xfId="13366" xr:uid="{8D57E9C0-284F-4D5B-B55F-E8776CB271EC}"/>
    <cellStyle name="Normal 4 2 4 3 2 2 2 2 3" xfId="4259" xr:uid="{428505C0-46AC-4D80-98A8-C2ADF938B9E6}"/>
    <cellStyle name="Normal 4 2 4 3 2 2 2 2 3 2" xfId="13367" xr:uid="{0647BF06-F0EE-476C-94CF-4B8C9812C902}"/>
    <cellStyle name="Normal 4 2 4 3 2 2 2 2 4" xfId="13365" xr:uid="{8D61122A-0E79-4E3E-BDBA-CBCA0729CA61}"/>
    <cellStyle name="Normal 4 2 4 3 2 2 2 3" xfId="4260" xr:uid="{C3440CA8-7334-4940-9149-744EEC5164E6}"/>
    <cellStyle name="Normal 4 2 4 3 2 2 2 3 2" xfId="13368" xr:uid="{9B67B8F2-6AE8-4B26-889F-01F0A3EE8BBD}"/>
    <cellStyle name="Normal 4 2 4 3 2 2 2 4" xfId="4261" xr:uid="{4A5E3774-6FD5-4D18-A3F2-0F6772311876}"/>
    <cellStyle name="Normal 4 2 4 3 2 2 2 4 2" xfId="13369" xr:uid="{75B14B98-3591-4247-A866-83A3958B4F67}"/>
    <cellStyle name="Normal 4 2 4 3 2 2 2 5" xfId="4262" xr:uid="{29D2B3DA-4590-46A1-833B-5DD811016914}"/>
    <cellStyle name="Normal 4 2 4 3 2 2 2 5 2" xfId="13370" xr:uid="{BBF87AD4-DA8D-4804-9119-E1F4A99BD719}"/>
    <cellStyle name="Normal 4 2 4 3 2 2 2 6" xfId="13364" xr:uid="{8E7936E7-C595-4F7E-A281-926B3AAA274E}"/>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2 2" xfId="13373" xr:uid="{FAC13720-CB02-40CF-AAFA-982C0961887D}"/>
    <cellStyle name="Normal 4 2 4 3 2 2 3 2 3" xfId="4266" xr:uid="{13BEBB8C-B0E8-4CF3-AC5E-D9D5BAABD380}"/>
    <cellStyle name="Normal 4 2 4 3 2 2 3 2 3 2" xfId="13374" xr:uid="{ACB05163-67DD-454C-946A-DD01E0D8AB79}"/>
    <cellStyle name="Normal 4 2 4 3 2 2 3 2 4" xfId="13372" xr:uid="{12563160-F570-447B-96E5-E61DEF52D65F}"/>
    <cellStyle name="Normal 4 2 4 3 2 2 3 3" xfId="4267" xr:uid="{B718821B-36CA-4FA7-B939-D48616AE97C6}"/>
    <cellStyle name="Normal 4 2 4 3 2 2 3 3 2" xfId="13375" xr:uid="{A7813785-FFB0-4091-A546-911606A0D4D4}"/>
    <cellStyle name="Normal 4 2 4 3 2 2 3 4" xfId="4268" xr:uid="{F5BAEB42-A268-491F-9AC1-E96F1DED8A1D}"/>
    <cellStyle name="Normal 4 2 4 3 2 2 3 4 2" xfId="13376" xr:uid="{C343D4F0-D3BC-4D1D-8BC2-7FD1A7CFA3CA}"/>
    <cellStyle name="Normal 4 2 4 3 2 2 3 5" xfId="4269" xr:uid="{654D78F8-934F-4F02-9B5B-6CCCC19C085A}"/>
    <cellStyle name="Normal 4 2 4 3 2 2 3 5 2" xfId="13377" xr:uid="{8122E26E-69AA-4BB6-B6E3-9DBC930FC432}"/>
    <cellStyle name="Normal 4 2 4 3 2 2 3 6" xfId="13371" xr:uid="{94496C80-8403-424F-B662-BD2F09556642}"/>
    <cellStyle name="Normal 4 2 4 3 2 2 4" xfId="4270" xr:uid="{2EAD4EAA-5B90-49E5-B44A-89ABBC6598CA}"/>
    <cellStyle name="Normal 4 2 4 3 2 2 4 2" xfId="4271" xr:uid="{DC10F1DA-DFFD-4FCE-9E67-8CCAD35B6C99}"/>
    <cellStyle name="Normal 4 2 4 3 2 2 4 2 2" xfId="13379" xr:uid="{CF242948-0E4E-4665-863F-333673A270A8}"/>
    <cellStyle name="Normal 4 2 4 3 2 2 4 3" xfId="4272" xr:uid="{CB4CEB4C-5F56-46AD-82D2-653AEC392169}"/>
    <cellStyle name="Normal 4 2 4 3 2 2 4 3 2" xfId="13380" xr:uid="{C5B304B7-017F-43CF-B9B1-D37872ED0A29}"/>
    <cellStyle name="Normal 4 2 4 3 2 2 4 4" xfId="13378" xr:uid="{71DE6F1D-340D-4714-9225-C73C0B970A6E}"/>
    <cellStyle name="Normal 4 2 4 3 2 2 5" xfId="4273" xr:uid="{43129267-A9BC-43C1-A85F-F71376CBE544}"/>
    <cellStyle name="Normal 4 2 4 3 2 2 5 2" xfId="13381" xr:uid="{26D06893-7266-4B3E-A4DE-573B7F762DD3}"/>
    <cellStyle name="Normal 4 2 4 3 2 2 6" xfId="4274" xr:uid="{5106DA49-CD52-4BD9-BA22-952521521E93}"/>
    <cellStyle name="Normal 4 2 4 3 2 2 6 2" xfId="13382" xr:uid="{7DD9A229-649B-4BFC-AF0B-D2B6BD18E6A2}"/>
    <cellStyle name="Normal 4 2 4 3 2 2 7" xfId="4275" xr:uid="{9CD6821F-78AC-49D5-B899-A7BB078AFFA3}"/>
    <cellStyle name="Normal 4 2 4 3 2 2 7 2" xfId="13383" xr:uid="{DD142756-7205-43CE-A8E0-B910891A51FB}"/>
    <cellStyle name="Normal 4 2 4 3 2 2 8" xfId="13363" xr:uid="{6532E99A-7F04-4B20-B65F-334E76F3EFE0}"/>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2 2" xfId="13386" xr:uid="{2BC3A648-1C10-4858-9F18-1D62445C2680}"/>
    <cellStyle name="Normal 4 2 4 3 2 3 2 3" xfId="4279" xr:uid="{41F9BA42-82BC-47B7-A612-CDDB31F4C32B}"/>
    <cellStyle name="Normal 4 2 4 3 2 3 2 3 2" xfId="13387" xr:uid="{FC0D5C8E-52FB-48C9-882A-14BC72F7B5EF}"/>
    <cellStyle name="Normal 4 2 4 3 2 3 2 4" xfId="13385" xr:uid="{3B23BE68-9C6B-4190-9ADF-591406AC2F29}"/>
    <cellStyle name="Normal 4 2 4 3 2 3 3" xfId="4280" xr:uid="{3408B8C3-6CD6-462D-A58E-2C51601DE6D8}"/>
    <cellStyle name="Normal 4 2 4 3 2 3 3 2" xfId="13388" xr:uid="{17A31734-B21D-48E0-A148-71592EC2DE31}"/>
    <cellStyle name="Normal 4 2 4 3 2 3 4" xfId="4281" xr:uid="{3C2F82FC-2508-4F5A-AE24-886AFCE9989F}"/>
    <cellStyle name="Normal 4 2 4 3 2 3 4 2" xfId="13389" xr:uid="{84720565-8C50-40F1-A011-69C055414AFC}"/>
    <cellStyle name="Normal 4 2 4 3 2 3 5" xfId="4282" xr:uid="{5303318C-1C0F-4980-9357-C63F1B4F008B}"/>
    <cellStyle name="Normal 4 2 4 3 2 3 5 2" xfId="13390" xr:uid="{0250B922-93FA-4273-8D52-264FD7078729}"/>
    <cellStyle name="Normal 4 2 4 3 2 3 6" xfId="13384" xr:uid="{840A7444-72D7-411C-B0B1-FC85C6C5CFC4}"/>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2 2" xfId="13393" xr:uid="{55F3CEDA-50CC-4B4A-8BA3-AC5214E23038}"/>
    <cellStyle name="Normal 4 2 4 3 2 4 2 3" xfId="4286" xr:uid="{15FEAFDD-0288-4F5C-A0B9-39414C5D5C97}"/>
    <cellStyle name="Normal 4 2 4 3 2 4 2 3 2" xfId="13394" xr:uid="{5CA93339-4362-4361-87AA-A18A5E2CD32E}"/>
    <cellStyle name="Normal 4 2 4 3 2 4 2 4" xfId="13392" xr:uid="{2478437D-79DB-42EE-8795-25F83868B222}"/>
    <cellStyle name="Normal 4 2 4 3 2 4 3" xfId="4287" xr:uid="{372CDE67-7F6C-465B-A1E3-516339561732}"/>
    <cellStyle name="Normal 4 2 4 3 2 4 3 2" xfId="13395" xr:uid="{739D5441-5346-4D24-A97F-48E9A6DA160E}"/>
    <cellStyle name="Normal 4 2 4 3 2 4 4" xfId="4288" xr:uid="{52B674A0-7BB4-495D-B5FC-45BE52A9E315}"/>
    <cellStyle name="Normal 4 2 4 3 2 4 4 2" xfId="13396" xr:uid="{9F20FCAD-00D1-4AC8-8BFE-5A411C6891CE}"/>
    <cellStyle name="Normal 4 2 4 3 2 4 5" xfId="4289" xr:uid="{F0375DA8-5393-4CE4-B2BD-EEAC0946E8B1}"/>
    <cellStyle name="Normal 4 2 4 3 2 4 5 2" xfId="13397" xr:uid="{139DD3AA-8364-494F-B7F0-C24EE6CCCD04}"/>
    <cellStyle name="Normal 4 2 4 3 2 4 6" xfId="13391" xr:uid="{723DCAC1-4A1E-406C-9162-BF88C0B27BA1}"/>
    <cellStyle name="Normal 4 2 4 3 2 5" xfId="4290" xr:uid="{8A5A15CF-B37F-4B8D-A08A-A1176BB68E8A}"/>
    <cellStyle name="Normal 4 2 4 3 2 5 2" xfId="4291" xr:uid="{8B931DFE-9206-408D-BCB7-8C1C4C479623}"/>
    <cellStyle name="Normal 4 2 4 3 2 5 2 2" xfId="13399" xr:uid="{47387E9C-3FC5-4B8B-993A-EA501800CC5F}"/>
    <cellStyle name="Normal 4 2 4 3 2 5 3" xfId="4292" xr:uid="{ECAD20FA-5059-4105-B58F-A7943EEC2A73}"/>
    <cellStyle name="Normal 4 2 4 3 2 5 3 2" xfId="13400" xr:uid="{DF6904D8-0F68-4A89-AE39-44410D705DBB}"/>
    <cellStyle name="Normal 4 2 4 3 2 5 4" xfId="13398" xr:uid="{9FDCA443-6CDD-4BE6-A1F4-79652E715965}"/>
    <cellStyle name="Normal 4 2 4 3 2 6" xfId="4293" xr:uid="{92600D55-57BB-46AA-9F90-ABF5F7573688}"/>
    <cellStyle name="Normal 4 2 4 3 2 6 2" xfId="13401" xr:uid="{BDBCC50C-2ED3-4200-AA2D-0E7469109885}"/>
    <cellStyle name="Normal 4 2 4 3 2 7" xfId="4294" xr:uid="{E181F27A-1DB6-488F-A302-84A9064510E4}"/>
    <cellStyle name="Normal 4 2 4 3 2 7 2" xfId="13402" xr:uid="{7EA4A5E7-1A6E-4D53-8831-8A6412755789}"/>
    <cellStyle name="Normal 4 2 4 3 2 8" xfId="4295" xr:uid="{55BF87AF-EC94-4371-881A-F7FA02F90601}"/>
    <cellStyle name="Normal 4 2 4 3 2 8 2" xfId="13403" xr:uid="{D9A176DA-AA07-442F-8F6A-B0C962306A82}"/>
    <cellStyle name="Normal 4 2 4 3 2 9" xfId="13362" xr:uid="{C7726A17-6237-4629-999F-1A55A8594918}"/>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2 2" xfId="13407" xr:uid="{E37C9BCB-DFAB-410A-8CA2-DAAC9B4DD67F}"/>
    <cellStyle name="Normal 4 2 4 3 3 2 2 3" xfId="4300" xr:uid="{FEFB7A31-EEC8-49D6-880A-88EA0FE93BBD}"/>
    <cellStyle name="Normal 4 2 4 3 3 2 2 3 2" xfId="13408" xr:uid="{A763DF5B-939B-422C-83D4-13443DE9756A}"/>
    <cellStyle name="Normal 4 2 4 3 3 2 2 4" xfId="13406" xr:uid="{9FCE539D-F7DF-401D-B942-0A9A81EA8D8D}"/>
    <cellStyle name="Normal 4 2 4 3 3 2 3" xfId="4301" xr:uid="{D4202642-0402-4676-B67B-71B2E952E752}"/>
    <cellStyle name="Normal 4 2 4 3 3 2 3 2" xfId="13409" xr:uid="{BB16C22D-FEC6-43CD-8BAB-F76CD63A7C77}"/>
    <cellStyle name="Normal 4 2 4 3 3 2 4" xfId="4302" xr:uid="{DF9F6D59-2023-4866-BB38-8ED25795C054}"/>
    <cellStyle name="Normal 4 2 4 3 3 2 4 2" xfId="13410" xr:uid="{FB763AD6-DBD1-4B0A-BFA9-4F4B829ABA74}"/>
    <cellStyle name="Normal 4 2 4 3 3 2 5" xfId="4303" xr:uid="{5EA100FB-18E8-4AA5-B1CD-1182E1E33D98}"/>
    <cellStyle name="Normal 4 2 4 3 3 2 5 2" xfId="13411" xr:uid="{8E3AB704-A9A5-4F6F-8D11-C3A493D980B7}"/>
    <cellStyle name="Normal 4 2 4 3 3 2 6" xfId="13405" xr:uid="{60FFBBCB-59BC-46F2-AF51-FB1435CE73F0}"/>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2 2" xfId="13414" xr:uid="{0736615D-66A8-4A3D-A1DB-FC5018CA054C}"/>
    <cellStyle name="Normal 4 2 4 3 3 3 2 3" xfId="4307" xr:uid="{452ACC9B-7AB2-47EE-9458-9559801D1EF0}"/>
    <cellStyle name="Normal 4 2 4 3 3 3 2 3 2" xfId="13415" xr:uid="{C9DFF118-3FD2-44A7-A6C9-0AE8858880A5}"/>
    <cellStyle name="Normal 4 2 4 3 3 3 2 4" xfId="13413" xr:uid="{B741DD83-8889-4E42-8BAE-C3D1B4B79B02}"/>
    <cellStyle name="Normal 4 2 4 3 3 3 3" xfId="4308" xr:uid="{13DBC9E9-F19D-41DF-ABDB-CC3B1B6CB585}"/>
    <cellStyle name="Normal 4 2 4 3 3 3 3 2" xfId="13416" xr:uid="{6EEC114F-3F22-4759-873D-D0DBF0C6B660}"/>
    <cellStyle name="Normal 4 2 4 3 3 3 4" xfId="4309" xr:uid="{1262315E-422B-4ED1-9AC0-E35F32B5312C}"/>
    <cellStyle name="Normal 4 2 4 3 3 3 4 2" xfId="13417" xr:uid="{04316CA8-1F99-4794-9A62-28B65789E536}"/>
    <cellStyle name="Normal 4 2 4 3 3 3 5" xfId="4310" xr:uid="{E7D2453C-D493-426A-B173-C8F7DB5E721F}"/>
    <cellStyle name="Normal 4 2 4 3 3 3 5 2" xfId="13418" xr:uid="{653EE605-5335-49C5-80C5-FA5E309ECD78}"/>
    <cellStyle name="Normal 4 2 4 3 3 3 6" xfId="13412" xr:uid="{AABFE1F5-C32C-4372-8A42-623DECEBECEF}"/>
    <cellStyle name="Normal 4 2 4 3 3 4" xfId="4311" xr:uid="{C30CAD9B-5C8F-4016-B290-1FC9758D50CA}"/>
    <cellStyle name="Normal 4 2 4 3 3 4 2" xfId="4312" xr:uid="{ADF5B2A7-F6AD-4C70-9285-4159E9906019}"/>
    <cellStyle name="Normal 4 2 4 3 3 4 2 2" xfId="13420" xr:uid="{6D553377-A101-4ED3-A6EB-A072610402DC}"/>
    <cellStyle name="Normal 4 2 4 3 3 4 3" xfId="4313" xr:uid="{8EFA1AAF-F087-4CED-86A8-58609CAA1E2C}"/>
    <cellStyle name="Normal 4 2 4 3 3 4 3 2" xfId="13421" xr:uid="{E4D6E079-77D0-4308-9FA4-4D33B096FF2E}"/>
    <cellStyle name="Normal 4 2 4 3 3 4 4" xfId="13419" xr:uid="{F81F8187-E7E0-4E8B-9B88-6376AE699583}"/>
    <cellStyle name="Normal 4 2 4 3 3 5" xfId="4314" xr:uid="{B0555C6B-678B-4B30-95B6-7E815436D335}"/>
    <cellStyle name="Normal 4 2 4 3 3 5 2" xfId="13422" xr:uid="{E4F4B81B-CE1F-467A-BFD1-9A44AD2AFE26}"/>
    <cellStyle name="Normal 4 2 4 3 3 6" xfId="4315" xr:uid="{69523DA8-78BF-49D7-AC7A-52AF84FB5D90}"/>
    <cellStyle name="Normal 4 2 4 3 3 6 2" xfId="13423" xr:uid="{75CB8D39-9D74-4FEF-B696-63424E30D0B1}"/>
    <cellStyle name="Normal 4 2 4 3 3 7" xfId="4316" xr:uid="{C7C2AECB-A6DA-444B-85BF-209D62A3DCA8}"/>
    <cellStyle name="Normal 4 2 4 3 3 7 2" xfId="13424" xr:uid="{5F060BC8-2E04-468C-99F1-41180E89E74F}"/>
    <cellStyle name="Normal 4 2 4 3 3 8" xfId="13404" xr:uid="{D98A40E1-641A-4587-AD7B-01DFAFCC93BD}"/>
    <cellStyle name="Normal 4 2 4 3 4" xfId="4317" xr:uid="{280916CA-1F13-4592-9DEF-C49CF307EF89}"/>
    <cellStyle name="Normal 4 2 4 3 4 2" xfId="4318" xr:uid="{09DDE445-AC4B-46AC-A959-49D3AE528DB8}"/>
    <cellStyle name="Normal 4 2 4 3 4 2 2" xfId="4319" xr:uid="{282CD5A1-9AE1-4C40-8946-891179623473}"/>
    <cellStyle name="Normal 4 2 4 3 4 2 2 2" xfId="13427" xr:uid="{8EC4097E-415F-4C3C-85B0-6EA4F52CBA11}"/>
    <cellStyle name="Normal 4 2 4 3 4 2 3" xfId="4320" xr:uid="{EB8C924B-31EA-4F24-8BD2-3FD54C0333EC}"/>
    <cellStyle name="Normal 4 2 4 3 4 2 3 2" xfId="13428" xr:uid="{21001504-5885-4778-8AED-557487BFCBF3}"/>
    <cellStyle name="Normal 4 2 4 3 4 2 4" xfId="13426" xr:uid="{48E701B3-4BEB-4964-9CB0-E0530B2271A9}"/>
    <cellStyle name="Normal 4 2 4 3 4 3" xfId="4321" xr:uid="{49E5C727-E078-4178-BB05-3A803E5A867D}"/>
    <cellStyle name="Normal 4 2 4 3 4 3 2" xfId="13429" xr:uid="{B54B4284-03FF-448C-BC99-0F7D73DBA508}"/>
    <cellStyle name="Normal 4 2 4 3 4 4" xfId="4322" xr:uid="{1AE53704-7614-4508-B260-D1EC048BDFDF}"/>
    <cellStyle name="Normal 4 2 4 3 4 4 2" xfId="13430" xr:uid="{4A85909A-942F-4E4B-9DFF-9107AA6E3A32}"/>
    <cellStyle name="Normal 4 2 4 3 4 5" xfId="4323" xr:uid="{52178F30-1A28-4AA4-811D-EDF7A97C9E26}"/>
    <cellStyle name="Normal 4 2 4 3 4 5 2" xfId="13431" xr:uid="{39DE3E4C-0230-4C77-B459-625879A3C5AC}"/>
    <cellStyle name="Normal 4 2 4 3 4 6" xfId="13425" xr:uid="{CD960F00-CF20-42CC-A077-25C1CF1E8874}"/>
    <cellStyle name="Normal 4 2 4 3 5" xfId="4324" xr:uid="{53F20AF1-AD77-4EF8-8C37-7585EEDCE6F9}"/>
    <cellStyle name="Normal 4 2 4 3 5 2" xfId="4325" xr:uid="{9693335B-666B-4853-A28A-2E472C69FC90}"/>
    <cellStyle name="Normal 4 2 4 3 5 2 2" xfId="4326" xr:uid="{2169D09F-72CF-44CD-9CB5-C4F5EAE010A4}"/>
    <cellStyle name="Normal 4 2 4 3 5 2 2 2" xfId="13434" xr:uid="{4DE8D650-4CD1-49FE-8C32-B42BACADD2F1}"/>
    <cellStyle name="Normal 4 2 4 3 5 2 3" xfId="4327" xr:uid="{0F9D833F-D724-44B8-A365-EDC2B5BAD15E}"/>
    <cellStyle name="Normal 4 2 4 3 5 2 3 2" xfId="13435" xr:uid="{7449230A-FF5C-4F09-8398-C86C9A611A20}"/>
    <cellStyle name="Normal 4 2 4 3 5 2 4" xfId="13433" xr:uid="{7B13AC52-814D-4282-B5CA-EAE31EFAFD79}"/>
    <cellStyle name="Normal 4 2 4 3 5 3" xfId="4328" xr:uid="{AF3B43B9-49EB-4307-84DC-4B655C805750}"/>
    <cellStyle name="Normal 4 2 4 3 5 3 2" xfId="13436" xr:uid="{8CC92B6D-355D-4664-91BC-8DC1CB708F74}"/>
    <cellStyle name="Normal 4 2 4 3 5 4" xfId="4329" xr:uid="{A02B7405-2856-47AD-9CE0-B26C4FC78F00}"/>
    <cellStyle name="Normal 4 2 4 3 5 4 2" xfId="13437" xr:uid="{11532988-C343-4D2E-B225-E63207CE98ED}"/>
    <cellStyle name="Normal 4 2 4 3 5 5" xfId="4330" xr:uid="{1D04EE9F-3027-44E8-A29F-0C7055F50733}"/>
    <cellStyle name="Normal 4 2 4 3 5 5 2" xfId="13438" xr:uid="{838FA7EE-4D04-48F4-BD63-595350329A43}"/>
    <cellStyle name="Normal 4 2 4 3 5 6" xfId="13432" xr:uid="{B7C0DBF2-5D14-4BAD-AD47-FF052588B4ED}"/>
    <cellStyle name="Normal 4 2 4 3 6" xfId="4331" xr:uid="{DA32B817-B992-44A5-92AC-1EFD0DF1EDA1}"/>
    <cellStyle name="Normal 4 2 4 3 6 2" xfId="4332" xr:uid="{E9405EF2-29CD-457B-9CA4-34665402F480}"/>
    <cellStyle name="Normal 4 2 4 3 6 2 2" xfId="13440" xr:uid="{F69BBD00-0408-46DC-BE10-09839325BA95}"/>
    <cellStyle name="Normal 4 2 4 3 6 3" xfId="4333" xr:uid="{52E17214-9263-436C-9724-F7D74E702ABF}"/>
    <cellStyle name="Normal 4 2 4 3 6 3 2" xfId="13441" xr:uid="{0143824F-3B78-47A1-AD80-8D0195D3B7C0}"/>
    <cellStyle name="Normal 4 2 4 3 6 4" xfId="13439" xr:uid="{E7356730-1E50-4464-AFA1-4A33866517D2}"/>
    <cellStyle name="Normal 4 2 4 3 7" xfId="4334" xr:uid="{C5D1CB30-DA57-4889-BD1E-F6315984F2DA}"/>
    <cellStyle name="Normal 4 2 4 3 7 2" xfId="13442" xr:uid="{D91FE73E-CBFD-43D1-A5E9-9F3DF8D7A5A5}"/>
    <cellStyle name="Normal 4 2 4 3 8" xfId="4335" xr:uid="{3979FCB0-37F0-4AE3-8F9F-F3533C15E48C}"/>
    <cellStyle name="Normal 4 2 4 3 8 2" xfId="13443" xr:uid="{53B114E6-978F-4093-ABC3-7E67686FE909}"/>
    <cellStyle name="Normal 4 2 4 3 9" xfId="4336" xr:uid="{04DC516C-DF0C-4F7C-8956-D4FBD4648606}"/>
    <cellStyle name="Normal 4 2 4 3 9 2" xfId="13444" xr:uid="{199A9FEB-6BAA-4591-BD8F-5926066A044F}"/>
    <cellStyle name="Normal 4 2 4 4" xfId="4337" xr:uid="{032A16A0-05EB-47E9-8DE7-BEAE0B1D6D9B}"/>
    <cellStyle name="Normal 4 2 4 4 10" xfId="13445" xr:uid="{9094A240-737F-43A3-8833-DDBFEF4A61AD}"/>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2 2" xfId="13450" xr:uid="{BA8C15CB-3954-47EB-9C11-4876DB427A3F}"/>
    <cellStyle name="Normal 4 2 4 4 2 2 2 2 3" xfId="4343" xr:uid="{F20BB5A6-7974-475F-BBFF-5B9B43F0E95B}"/>
    <cellStyle name="Normal 4 2 4 4 2 2 2 2 3 2" xfId="13451" xr:uid="{B10A58BE-05F8-47B6-A85B-1EE0F2171D98}"/>
    <cellStyle name="Normal 4 2 4 4 2 2 2 2 4" xfId="13449" xr:uid="{C648371A-2357-4049-8CA8-580281D7F7F7}"/>
    <cellStyle name="Normal 4 2 4 4 2 2 2 3" xfId="4344" xr:uid="{C8570A4E-7E73-4E38-8973-FFDC3BF40382}"/>
    <cellStyle name="Normal 4 2 4 4 2 2 2 3 2" xfId="13452" xr:uid="{573D9F08-A557-43F8-80D3-97D2DFF9A37A}"/>
    <cellStyle name="Normal 4 2 4 4 2 2 2 4" xfId="4345" xr:uid="{49248029-24D9-4613-8A69-E92909D758B9}"/>
    <cellStyle name="Normal 4 2 4 4 2 2 2 4 2" xfId="13453" xr:uid="{EB3E5AAF-53C4-423A-AC44-5DD489799295}"/>
    <cellStyle name="Normal 4 2 4 4 2 2 2 5" xfId="4346" xr:uid="{6AAC1312-8656-4372-8153-25ED55B6B89F}"/>
    <cellStyle name="Normal 4 2 4 4 2 2 2 5 2" xfId="13454" xr:uid="{5A209B2A-9490-419B-8E70-5CDA278FCAF0}"/>
    <cellStyle name="Normal 4 2 4 4 2 2 2 6" xfId="13448" xr:uid="{B5717558-77FD-4CC8-8CE1-D54EA3D792B8}"/>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2 2" xfId="13457" xr:uid="{5FA77903-1EF9-436E-B9E9-52C927538F2B}"/>
    <cellStyle name="Normal 4 2 4 4 2 2 3 2 3" xfId="4350" xr:uid="{88C0A50F-5746-4AF2-B696-6B071BEB9448}"/>
    <cellStyle name="Normal 4 2 4 4 2 2 3 2 3 2" xfId="13458" xr:uid="{D1CE4DAE-6FD5-45C2-BE36-8429006C609E}"/>
    <cellStyle name="Normal 4 2 4 4 2 2 3 2 4" xfId="13456" xr:uid="{354DA18D-D786-452A-B94E-E13A4EA5B3D8}"/>
    <cellStyle name="Normal 4 2 4 4 2 2 3 3" xfId="4351" xr:uid="{9A14AEA5-B45A-4120-8E54-C17BD0755B54}"/>
    <cellStyle name="Normal 4 2 4 4 2 2 3 3 2" xfId="13459" xr:uid="{572E2F54-B4D2-47B3-99B2-7EB4303429DB}"/>
    <cellStyle name="Normal 4 2 4 4 2 2 3 4" xfId="4352" xr:uid="{93E32265-C552-470F-9CC7-DC3755300C77}"/>
    <cellStyle name="Normal 4 2 4 4 2 2 3 4 2" xfId="13460" xr:uid="{068E9D14-989F-4BC2-83DE-7BB06DB7A099}"/>
    <cellStyle name="Normal 4 2 4 4 2 2 3 5" xfId="4353" xr:uid="{41E8C348-16F9-476C-9D00-280DB592925A}"/>
    <cellStyle name="Normal 4 2 4 4 2 2 3 5 2" xfId="13461" xr:uid="{EE3C7661-9D17-4A62-85B7-EF2F1D5BCB36}"/>
    <cellStyle name="Normal 4 2 4 4 2 2 3 6" xfId="13455" xr:uid="{0A7C10CB-7F2F-4861-B4F1-5085E7A3FE4A}"/>
    <cellStyle name="Normal 4 2 4 4 2 2 4" xfId="4354" xr:uid="{9AFC1FC2-F9B6-47DE-968D-89CDBCED8C24}"/>
    <cellStyle name="Normal 4 2 4 4 2 2 4 2" xfId="4355" xr:uid="{B8E46EA3-DAA9-423B-ADCE-553CF48EB853}"/>
    <cellStyle name="Normal 4 2 4 4 2 2 4 2 2" xfId="13463" xr:uid="{5C9E334F-7766-45A3-9DA0-A9BB74B21C71}"/>
    <cellStyle name="Normal 4 2 4 4 2 2 4 3" xfId="4356" xr:uid="{CE3359F1-DB18-4087-8761-A34C8612CE37}"/>
    <cellStyle name="Normal 4 2 4 4 2 2 4 3 2" xfId="13464" xr:uid="{9046E8F6-1CF7-4328-AD58-AC5B8C04F08A}"/>
    <cellStyle name="Normal 4 2 4 4 2 2 4 4" xfId="13462" xr:uid="{652A55FA-1E84-4698-9CC4-75D843FDC355}"/>
    <cellStyle name="Normal 4 2 4 4 2 2 5" xfId="4357" xr:uid="{7D8178F8-586F-4597-86F7-36EDE6C897D5}"/>
    <cellStyle name="Normal 4 2 4 4 2 2 5 2" xfId="13465" xr:uid="{025B902B-7D16-4B2D-9000-D69C98279487}"/>
    <cellStyle name="Normal 4 2 4 4 2 2 6" xfId="4358" xr:uid="{5DFB4254-9EDA-4DE2-A22F-6D81B3C65C26}"/>
    <cellStyle name="Normal 4 2 4 4 2 2 6 2" xfId="13466" xr:uid="{27A01AC0-0705-4EEE-95E3-E2F536C0C69F}"/>
    <cellStyle name="Normal 4 2 4 4 2 2 7" xfId="4359" xr:uid="{7442D756-69A1-4340-8376-55653310A3A7}"/>
    <cellStyle name="Normal 4 2 4 4 2 2 7 2" xfId="13467" xr:uid="{95A4A07D-4D84-4FB6-A301-F9922F114F8E}"/>
    <cellStyle name="Normal 4 2 4 4 2 2 8" xfId="13447" xr:uid="{BF43FAB8-8D78-42A0-94DD-CB807104A6C8}"/>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2 2" xfId="13470" xr:uid="{B63C5213-7BD9-427F-A0D9-45D31249520E}"/>
    <cellStyle name="Normal 4 2 4 4 2 3 2 3" xfId="4363" xr:uid="{9CA4AAFE-9115-4BC6-B486-F154A60CE5C3}"/>
    <cellStyle name="Normal 4 2 4 4 2 3 2 3 2" xfId="13471" xr:uid="{EBBDD6E3-E0E6-4BF8-81B6-49300AADE76F}"/>
    <cellStyle name="Normal 4 2 4 4 2 3 2 4" xfId="13469" xr:uid="{103BE542-D32C-475A-8900-80822F71949C}"/>
    <cellStyle name="Normal 4 2 4 4 2 3 3" xfId="4364" xr:uid="{7FAF0A14-0411-4CC8-872E-982CBB4787E6}"/>
    <cellStyle name="Normal 4 2 4 4 2 3 3 2" xfId="13472" xr:uid="{27A65807-3559-4C08-890A-3CE238BF55CD}"/>
    <cellStyle name="Normal 4 2 4 4 2 3 4" xfId="4365" xr:uid="{A3CC6C60-6610-4446-A0F6-1B5C7DC05035}"/>
    <cellStyle name="Normal 4 2 4 4 2 3 4 2" xfId="13473" xr:uid="{06B5B8D5-6BF9-4C6F-B3FE-FA8209DC7AA1}"/>
    <cellStyle name="Normal 4 2 4 4 2 3 5" xfId="4366" xr:uid="{C46C07A0-65E4-4B38-8CE0-EE4619A16C0F}"/>
    <cellStyle name="Normal 4 2 4 4 2 3 5 2" xfId="13474" xr:uid="{71601A55-61D9-4740-A423-8598E661F296}"/>
    <cellStyle name="Normal 4 2 4 4 2 3 6" xfId="13468" xr:uid="{34581AFF-8589-4A16-A67C-4A92AB4860B8}"/>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2 2" xfId="13477" xr:uid="{9683BB37-B631-446E-9342-A3EB59E7D5EA}"/>
    <cellStyle name="Normal 4 2 4 4 2 4 2 3" xfId="4370" xr:uid="{C9A17BDA-622A-48B9-8090-9C8A2F447CC3}"/>
    <cellStyle name="Normal 4 2 4 4 2 4 2 3 2" xfId="13478" xr:uid="{BDFCC429-87B3-4F75-B445-9CD69F9D730E}"/>
    <cellStyle name="Normal 4 2 4 4 2 4 2 4" xfId="13476" xr:uid="{B4670D4E-B7D8-4116-AE04-8FCE861AC631}"/>
    <cellStyle name="Normal 4 2 4 4 2 4 3" xfId="4371" xr:uid="{3A5033F4-3249-4775-A47D-2CDAF5757264}"/>
    <cellStyle name="Normal 4 2 4 4 2 4 3 2" xfId="13479" xr:uid="{496688B0-3F7C-483D-AF8D-C048849B066E}"/>
    <cellStyle name="Normal 4 2 4 4 2 4 4" xfId="4372" xr:uid="{484E64F0-D8EE-4C3D-AE5E-B206BFE5B727}"/>
    <cellStyle name="Normal 4 2 4 4 2 4 4 2" xfId="13480" xr:uid="{DDB55818-256B-443F-AD77-8CA2CE21869D}"/>
    <cellStyle name="Normal 4 2 4 4 2 4 5" xfId="4373" xr:uid="{F4BCA970-12E4-42D1-9C9E-A6454972A066}"/>
    <cellStyle name="Normal 4 2 4 4 2 4 5 2" xfId="13481" xr:uid="{4761FA99-4096-42B4-AD22-E29C17B24441}"/>
    <cellStyle name="Normal 4 2 4 4 2 4 6" xfId="13475" xr:uid="{70EC74B0-1432-40D7-99C0-4F91D31910AD}"/>
    <cellStyle name="Normal 4 2 4 4 2 5" xfId="4374" xr:uid="{8A252360-9E5D-4C01-980B-C28678875964}"/>
    <cellStyle name="Normal 4 2 4 4 2 5 2" xfId="4375" xr:uid="{8BF24AE2-B9C8-4302-9219-AA2774F69CDC}"/>
    <cellStyle name="Normal 4 2 4 4 2 5 2 2" xfId="13483" xr:uid="{08DF1F05-45D8-4E2D-BBC5-6D6172C79CAE}"/>
    <cellStyle name="Normal 4 2 4 4 2 5 3" xfId="4376" xr:uid="{8678939D-3091-4EDB-8204-95161CA7CAE0}"/>
    <cellStyle name="Normal 4 2 4 4 2 5 3 2" xfId="13484" xr:uid="{CC5A22AB-AEFA-417E-84A4-56E2286E38B8}"/>
    <cellStyle name="Normal 4 2 4 4 2 5 4" xfId="13482" xr:uid="{626F9820-9BE8-4F59-9AFE-1784FC62F67D}"/>
    <cellStyle name="Normal 4 2 4 4 2 6" xfId="4377" xr:uid="{3B4FAD09-7536-4720-8F3F-96526A71F662}"/>
    <cellStyle name="Normal 4 2 4 4 2 6 2" xfId="13485" xr:uid="{E00E87C0-2787-4F75-B669-EF9B8DA4E8ED}"/>
    <cellStyle name="Normal 4 2 4 4 2 7" xfId="4378" xr:uid="{9162C90E-8343-4603-A23C-28E14A6478A5}"/>
    <cellStyle name="Normal 4 2 4 4 2 7 2" xfId="13486" xr:uid="{026E07DD-73ED-48DD-90FD-87DCC900952F}"/>
    <cellStyle name="Normal 4 2 4 4 2 8" xfId="4379" xr:uid="{A135E7F2-7321-4096-8B90-65A6BF21C629}"/>
    <cellStyle name="Normal 4 2 4 4 2 8 2" xfId="13487" xr:uid="{2A27CD9B-7AB2-4AD6-91D2-DB1FB712BC19}"/>
    <cellStyle name="Normal 4 2 4 4 2 9" xfId="13446" xr:uid="{B743CF3E-ECF7-4CC7-9093-F65342352C9B}"/>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2 2" xfId="13491" xr:uid="{06DF3908-2136-4F65-B216-A29B9AA68290}"/>
    <cellStyle name="Normal 4 2 4 4 3 2 2 3" xfId="4384" xr:uid="{92E3FA00-AF7C-4DA9-BF3E-7DA074834827}"/>
    <cellStyle name="Normal 4 2 4 4 3 2 2 3 2" xfId="13492" xr:uid="{CDC300C6-5041-48DC-8794-5DC6CEAC5BD5}"/>
    <cellStyle name="Normal 4 2 4 4 3 2 2 4" xfId="13490" xr:uid="{199C15F0-D442-4747-AC2E-C1F64651EACD}"/>
    <cellStyle name="Normal 4 2 4 4 3 2 3" xfId="4385" xr:uid="{2DF2F11C-961A-453D-9B2A-3E493983B5B5}"/>
    <cellStyle name="Normal 4 2 4 4 3 2 3 2" xfId="13493" xr:uid="{4A8B9ACB-E715-46A9-8FD1-6230647FB864}"/>
    <cellStyle name="Normal 4 2 4 4 3 2 4" xfId="4386" xr:uid="{97B3BE00-1755-45E1-8369-63800783A97E}"/>
    <cellStyle name="Normal 4 2 4 4 3 2 4 2" xfId="13494" xr:uid="{D45C94B8-44CD-4B6D-979E-2B2A66A42218}"/>
    <cellStyle name="Normal 4 2 4 4 3 2 5" xfId="4387" xr:uid="{05DCEB43-D71D-4746-8E6F-59AC5A548F8A}"/>
    <cellStyle name="Normal 4 2 4 4 3 2 5 2" xfId="13495" xr:uid="{A048B9C7-BA5C-4326-BC79-8999A5B23DA4}"/>
    <cellStyle name="Normal 4 2 4 4 3 2 6" xfId="13489" xr:uid="{454FA361-A044-4424-91D2-9299D2501E0B}"/>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2 2" xfId="13498" xr:uid="{F91A1913-8A38-43E2-A4E0-2B51632567BE}"/>
    <cellStyle name="Normal 4 2 4 4 3 3 2 3" xfId="4391" xr:uid="{2E99A3C6-835C-4370-9319-D7C5942B91BA}"/>
    <cellStyle name="Normal 4 2 4 4 3 3 2 3 2" xfId="13499" xr:uid="{1E6CC233-538A-4325-B78E-3DBD998B1B96}"/>
    <cellStyle name="Normal 4 2 4 4 3 3 2 4" xfId="13497" xr:uid="{BA81C3BA-D925-41F9-9853-2DC9907E1909}"/>
    <cellStyle name="Normal 4 2 4 4 3 3 3" xfId="4392" xr:uid="{0D1E7953-CFCD-4308-A767-DF9E415DFDE4}"/>
    <cellStyle name="Normal 4 2 4 4 3 3 3 2" xfId="13500" xr:uid="{B7B46091-8292-4AA2-B66F-B08E7795D0AF}"/>
    <cellStyle name="Normal 4 2 4 4 3 3 4" xfId="4393" xr:uid="{E5A6E249-6E68-4F4D-A52D-E0B51D616305}"/>
    <cellStyle name="Normal 4 2 4 4 3 3 4 2" xfId="13501" xr:uid="{49ACBA64-1A5D-4038-A045-050204865298}"/>
    <cellStyle name="Normal 4 2 4 4 3 3 5" xfId="4394" xr:uid="{D5FB2665-F9CE-455B-9BEF-E392887F9962}"/>
    <cellStyle name="Normal 4 2 4 4 3 3 5 2" xfId="13502" xr:uid="{AFC664AA-D42F-4F1C-91FB-BEC864CD64B6}"/>
    <cellStyle name="Normal 4 2 4 4 3 3 6" xfId="13496" xr:uid="{C70EE48C-45C3-4E4B-90C6-C46E4D87C0EC}"/>
    <cellStyle name="Normal 4 2 4 4 3 4" xfId="4395" xr:uid="{CE40FE56-2A36-4BA0-8D94-5EF2C4ED858D}"/>
    <cellStyle name="Normal 4 2 4 4 3 4 2" xfId="4396" xr:uid="{9E014FB8-2F2F-4378-A4A6-B2EF6D2C7C54}"/>
    <cellStyle name="Normal 4 2 4 4 3 4 2 2" xfId="13504" xr:uid="{685D7AC3-34C6-45DD-B9DC-FA67D11BFFB3}"/>
    <cellStyle name="Normal 4 2 4 4 3 4 3" xfId="4397" xr:uid="{07ED088F-72B8-4017-9AC9-404E60B4F47E}"/>
    <cellStyle name="Normal 4 2 4 4 3 4 3 2" xfId="13505" xr:uid="{2B620593-F5BF-49B8-9BD6-B0E64E60C4EC}"/>
    <cellStyle name="Normal 4 2 4 4 3 4 4" xfId="13503" xr:uid="{3F66A1B0-CE2E-45F1-996F-AA9BB542C84E}"/>
    <cellStyle name="Normal 4 2 4 4 3 5" xfId="4398" xr:uid="{DE399A22-8446-454B-A820-766ACC81AD75}"/>
    <cellStyle name="Normal 4 2 4 4 3 5 2" xfId="13506" xr:uid="{1165BF7D-E8FC-4972-9CF5-ACFA59323595}"/>
    <cellStyle name="Normal 4 2 4 4 3 6" xfId="4399" xr:uid="{6C5E31F9-AA2F-4401-85FA-444D6791A696}"/>
    <cellStyle name="Normal 4 2 4 4 3 6 2" xfId="13507" xr:uid="{09129734-FFBB-4F85-B49C-9E9BEC16F0B5}"/>
    <cellStyle name="Normal 4 2 4 4 3 7" xfId="4400" xr:uid="{53D422A3-4E76-4FCF-8B18-A67B88A5EB63}"/>
    <cellStyle name="Normal 4 2 4 4 3 7 2" xfId="13508" xr:uid="{696A023E-5852-4F45-986D-BAE0D5C0A213}"/>
    <cellStyle name="Normal 4 2 4 4 3 8" xfId="13488" xr:uid="{ED78948C-C5C4-410B-882D-6FE474BB2794}"/>
    <cellStyle name="Normal 4 2 4 4 4" xfId="4401" xr:uid="{726FB7DD-0051-49F8-B586-0D8525C91328}"/>
    <cellStyle name="Normal 4 2 4 4 4 2" xfId="4402" xr:uid="{6AB3108C-6D60-48C3-808B-E0F42792B04D}"/>
    <cellStyle name="Normal 4 2 4 4 4 2 2" xfId="4403" xr:uid="{B0B8DF15-DCE4-464A-91D0-3108DA50D64C}"/>
    <cellStyle name="Normal 4 2 4 4 4 2 2 2" xfId="13511" xr:uid="{056FE9E8-6D55-4710-BBCA-29433BD1B422}"/>
    <cellStyle name="Normal 4 2 4 4 4 2 3" xfId="4404" xr:uid="{A8A284DD-CD21-42E8-9352-57FA0DC936D0}"/>
    <cellStyle name="Normal 4 2 4 4 4 2 3 2" xfId="13512" xr:uid="{F9C8D7B4-0022-4E97-96CD-A7A05EF75149}"/>
    <cellStyle name="Normal 4 2 4 4 4 2 4" xfId="13510" xr:uid="{E1603191-0218-4C7A-87D1-3357588083F4}"/>
    <cellStyle name="Normal 4 2 4 4 4 3" xfId="4405" xr:uid="{87B2D34C-A590-4D02-A9D0-ADEF12B1DAA9}"/>
    <cellStyle name="Normal 4 2 4 4 4 3 2" xfId="13513" xr:uid="{3C1C8866-A8B4-4094-A076-256E40013332}"/>
    <cellStyle name="Normal 4 2 4 4 4 4" xfId="4406" xr:uid="{16B2741F-1D84-489F-BE21-A611DFC0D402}"/>
    <cellStyle name="Normal 4 2 4 4 4 4 2" xfId="13514" xr:uid="{B339C9A0-6175-47CF-AF29-F18E4CC6C043}"/>
    <cellStyle name="Normal 4 2 4 4 4 5" xfId="4407" xr:uid="{50FA414B-26D4-4077-BEB2-11AE8A9AAEEB}"/>
    <cellStyle name="Normal 4 2 4 4 4 5 2" xfId="13515" xr:uid="{AAC64224-69F9-4BA3-888D-7F82B1D6C07C}"/>
    <cellStyle name="Normal 4 2 4 4 4 6" xfId="13509" xr:uid="{DB5F7F2C-0550-4BCA-9012-C297A30F15B0}"/>
    <cellStyle name="Normal 4 2 4 4 5" xfId="4408" xr:uid="{4D89E233-E38A-4E68-BC60-B375AB2280F0}"/>
    <cellStyle name="Normal 4 2 4 4 5 2" xfId="4409" xr:uid="{1A8CDB16-FDEE-435E-8A97-877CB0E9A4AD}"/>
    <cellStyle name="Normal 4 2 4 4 5 2 2" xfId="4410" xr:uid="{9857206D-35F0-4204-9FB7-1901E4D86862}"/>
    <cellStyle name="Normal 4 2 4 4 5 2 2 2" xfId="13518" xr:uid="{B7389FA9-A52A-4061-93C1-3810F64F79F4}"/>
    <cellStyle name="Normal 4 2 4 4 5 2 3" xfId="4411" xr:uid="{33299B66-49CB-4DAF-8D3F-45B7E3151B3B}"/>
    <cellStyle name="Normal 4 2 4 4 5 2 3 2" xfId="13519" xr:uid="{AB2184DE-6C52-4CAB-8BF8-BA58E492C53A}"/>
    <cellStyle name="Normal 4 2 4 4 5 2 4" xfId="13517" xr:uid="{1CFF0692-5AFF-4152-AAD2-9117BACA6286}"/>
    <cellStyle name="Normal 4 2 4 4 5 3" xfId="4412" xr:uid="{4185A7AD-C3C8-4A85-B919-08B358185A91}"/>
    <cellStyle name="Normal 4 2 4 4 5 3 2" xfId="13520" xr:uid="{D05C850E-C6BA-4458-A450-A7BAE4E2777C}"/>
    <cellStyle name="Normal 4 2 4 4 5 4" xfId="4413" xr:uid="{8781C0A8-D277-443B-A952-8ABA6770A4A8}"/>
    <cellStyle name="Normal 4 2 4 4 5 4 2" xfId="13521" xr:uid="{F35C6A2B-1730-4193-906D-777835EE90AA}"/>
    <cellStyle name="Normal 4 2 4 4 5 5" xfId="4414" xr:uid="{5A3FDB17-BB24-4A59-BCF2-737CED9601B0}"/>
    <cellStyle name="Normal 4 2 4 4 5 5 2" xfId="13522" xr:uid="{8F373B35-8CFA-4F6D-B339-210582ED5140}"/>
    <cellStyle name="Normal 4 2 4 4 5 6" xfId="13516" xr:uid="{3C248D1D-2373-4721-87F7-FAFE8AB1DF9E}"/>
    <cellStyle name="Normal 4 2 4 4 6" xfId="4415" xr:uid="{390DE0C9-7270-4826-98A7-24EF01CE125F}"/>
    <cellStyle name="Normal 4 2 4 4 6 2" xfId="4416" xr:uid="{097610D5-B149-4F1E-BABC-7AFC30930383}"/>
    <cellStyle name="Normal 4 2 4 4 6 2 2" xfId="13524" xr:uid="{02B22501-8B11-4A07-B634-F3D5E3E6D499}"/>
    <cellStyle name="Normal 4 2 4 4 6 3" xfId="4417" xr:uid="{70B17457-611C-4E74-8834-34CAB0CB132C}"/>
    <cellStyle name="Normal 4 2 4 4 6 3 2" xfId="13525" xr:uid="{3EDF862A-7DEC-4CCE-AC61-3A8B49E51648}"/>
    <cellStyle name="Normal 4 2 4 4 6 4" xfId="13523" xr:uid="{E32165B7-08D0-444D-B159-27BC2790C775}"/>
    <cellStyle name="Normal 4 2 4 4 7" xfId="4418" xr:uid="{77D15EE3-9F7A-40BE-9F1B-70F5CAEC70C4}"/>
    <cellStyle name="Normal 4 2 4 4 7 2" xfId="13526" xr:uid="{DFA744D4-57C9-42BE-AAA6-02353AC6E504}"/>
    <cellStyle name="Normal 4 2 4 4 8" xfId="4419" xr:uid="{9980C819-F8F9-4E83-90BF-A22747AC0692}"/>
    <cellStyle name="Normal 4 2 4 4 8 2" xfId="13527" xr:uid="{91B50734-3420-4332-99CC-1BD33DCBED57}"/>
    <cellStyle name="Normal 4 2 4 4 9" xfId="4420" xr:uid="{3520FA64-C6E4-4075-BAAD-FD634B7AA4FA}"/>
    <cellStyle name="Normal 4 2 4 4 9 2" xfId="13528" xr:uid="{F89C7296-E742-4D39-9E1D-F31B91E021E8}"/>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2 2" xfId="13533" xr:uid="{638B4CE2-85C5-4740-B6F1-E95C11AC0748}"/>
    <cellStyle name="Normal 4 2 4 5 2 2 2 3" xfId="4426" xr:uid="{7DA3864E-997D-4513-ADF1-D1FFDD555346}"/>
    <cellStyle name="Normal 4 2 4 5 2 2 2 3 2" xfId="13534" xr:uid="{18963301-D9C9-41DF-8C40-7A95A39E35D8}"/>
    <cellStyle name="Normal 4 2 4 5 2 2 2 4" xfId="13532" xr:uid="{B03AA340-0FD5-464C-962C-001AE294A6D0}"/>
    <cellStyle name="Normal 4 2 4 5 2 2 3" xfId="4427" xr:uid="{3D9D327C-9404-483B-BE5E-F3B8B3559D7A}"/>
    <cellStyle name="Normal 4 2 4 5 2 2 3 2" xfId="13535" xr:uid="{6026580B-CCC7-4D4C-95C0-89CE1431F938}"/>
    <cellStyle name="Normal 4 2 4 5 2 2 4" xfId="4428" xr:uid="{6EE93C45-ED9D-444F-8E6D-E6FD05882BD3}"/>
    <cellStyle name="Normal 4 2 4 5 2 2 4 2" xfId="13536" xr:uid="{93B57E82-ABB4-4E2D-9D8A-D8FF43836F1A}"/>
    <cellStyle name="Normal 4 2 4 5 2 2 5" xfId="4429" xr:uid="{C5FE5647-1585-41DB-9707-59F609EEB449}"/>
    <cellStyle name="Normal 4 2 4 5 2 2 5 2" xfId="13537" xr:uid="{43999AEF-650F-4272-9F54-039FF68D44CB}"/>
    <cellStyle name="Normal 4 2 4 5 2 2 6" xfId="13531" xr:uid="{B1B61816-D3F6-4F4D-A15D-8538DB09F022}"/>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2 2" xfId="13540" xr:uid="{6C1585D1-3F2E-4F0B-90F1-5F5AA1E18013}"/>
    <cellStyle name="Normal 4 2 4 5 2 3 2 3" xfId="4433" xr:uid="{8EE3A910-FF8D-4255-B74A-FDDE19BE6C9F}"/>
    <cellStyle name="Normal 4 2 4 5 2 3 2 3 2" xfId="13541" xr:uid="{9AD2FF39-CFD1-4DE8-9FA9-45FDDA7E13CE}"/>
    <cellStyle name="Normal 4 2 4 5 2 3 2 4" xfId="13539" xr:uid="{D1395162-72E4-4B79-B26A-3D66B2F8DB07}"/>
    <cellStyle name="Normal 4 2 4 5 2 3 3" xfId="4434" xr:uid="{1D1BC9BC-1560-4AD8-92ED-089460A45B98}"/>
    <cellStyle name="Normal 4 2 4 5 2 3 3 2" xfId="13542" xr:uid="{68AEDE3E-56BD-4A15-8398-C4718C0D5600}"/>
    <cellStyle name="Normal 4 2 4 5 2 3 4" xfId="4435" xr:uid="{4F90835B-3868-4194-9C66-264C8EA4AE4B}"/>
    <cellStyle name="Normal 4 2 4 5 2 3 4 2" xfId="13543" xr:uid="{0967A60B-CA24-4565-BD70-4DABE9CEAFE5}"/>
    <cellStyle name="Normal 4 2 4 5 2 3 5" xfId="4436" xr:uid="{6E5B4C1C-13BF-433D-9DDF-EE375B19FFD3}"/>
    <cellStyle name="Normal 4 2 4 5 2 3 5 2" xfId="13544" xr:uid="{FB81882B-0B86-4326-8CAE-35D047554D12}"/>
    <cellStyle name="Normal 4 2 4 5 2 3 6" xfId="13538" xr:uid="{AD7C3C93-AE03-43AE-931A-CF4C73D68C0B}"/>
    <cellStyle name="Normal 4 2 4 5 2 4" xfId="4437" xr:uid="{962F82F0-FEC7-4432-B937-71236F312081}"/>
    <cellStyle name="Normal 4 2 4 5 2 4 2" xfId="4438" xr:uid="{38B2832C-96E7-4545-B15B-0A80D2FF720E}"/>
    <cellStyle name="Normal 4 2 4 5 2 4 2 2" xfId="13546" xr:uid="{85BB4A84-D8F2-48A0-A62A-03F3378E8987}"/>
    <cellStyle name="Normal 4 2 4 5 2 4 3" xfId="4439" xr:uid="{D0E8BCC9-2C23-4F9F-8942-0C53D887D237}"/>
    <cellStyle name="Normal 4 2 4 5 2 4 3 2" xfId="13547" xr:uid="{F1027097-A29A-4D8F-BB79-AC3BEEFDE69D}"/>
    <cellStyle name="Normal 4 2 4 5 2 4 4" xfId="13545" xr:uid="{CCD6EFF3-F947-4B66-89E2-694951AA0495}"/>
    <cellStyle name="Normal 4 2 4 5 2 5" xfId="4440" xr:uid="{3F3369BB-B82A-4976-B34E-8EB37EB517B7}"/>
    <cellStyle name="Normal 4 2 4 5 2 5 2" xfId="13548" xr:uid="{66964693-F319-4C20-BA3A-AADE91162FDA}"/>
    <cellStyle name="Normal 4 2 4 5 2 6" xfId="4441" xr:uid="{3A2AE2A8-BE97-45B7-80D3-3B23C2CD5F4D}"/>
    <cellStyle name="Normal 4 2 4 5 2 6 2" xfId="13549" xr:uid="{0A19ECD4-7637-4E23-8EA3-74A33EB1ADE9}"/>
    <cellStyle name="Normal 4 2 4 5 2 7" xfId="4442" xr:uid="{E9141B8B-3618-40C3-943C-9845BF0BB6FB}"/>
    <cellStyle name="Normal 4 2 4 5 2 7 2" xfId="13550" xr:uid="{EDAF9992-D397-4FC2-8124-13EEFDB5F451}"/>
    <cellStyle name="Normal 4 2 4 5 2 8" xfId="13530" xr:uid="{24F8A8BC-CB71-45D6-9E0C-1CD6626F345A}"/>
    <cellStyle name="Normal 4 2 4 5 3" xfId="4443" xr:uid="{5B4AE8F1-EEFF-4CD5-8C14-C326FF3BA6F0}"/>
    <cellStyle name="Normal 4 2 4 5 3 2" xfId="4444" xr:uid="{DBADD4FC-E1AE-478B-8450-4E2196819AB1}"/>
    <cellStyle name="Normal 4 2 4 5 3 2 2" xfId="4445" xr:uid="{3D6B16EA-3129-4890-A2C8-5DF62B20F6EA}"/>
    <cellStyle name="Normal 4 2 4 5 3 2 2 2" xfId="13553" xr:uid="{8FFBC2A5-CE32-4A4A-A598-0AF865067C25}"/>
    <cellStyle name="Normal 4 2 4 5 3 2 3" xfId="4446" xr:uid="{68F1507C-9A58-4B31-B2C2-2E8107D12B05}"/>
    <cellStyle name="Normal 4 2 4 5 3 2 3 2" xfId="13554" xr:uid="{502FB719-8216-4FBC-8224-845CEE923F9B}"/>
    <cellStyle name="Normal 4 2 4 5 3 2 4" xfId="13552" xr:uid="{72B8BD0F-302A-452B-935E-67F04C2E58A4}"/>
    <cellStyle name="Normal 4 2 4 5 3 3" xfId="4447" xr:uid="{23A7C52A-F780-4E90-AD8E-DEF43D63D3AB}"/>
    <cellStyle name="Normal 4 2 4 5 3 3 2" xfId="13555" xr:uid="{B0A37FFD-6C02-4DF8-A543-04D3C6E87845}"/>
    <cellStyle name="Normal 4 2 4 5 3 4" xfId="4448" xr:uid="{0FE1E26D-B5E3-4F56-BA2C-0295F256376A}"/>
    <cellStyle name="Normal 4 2 4 5 3 4 2" xfId="13556" xr:uid="{E1103CAC-EAB8-4DE0-836E-282D95C5BBE3}"/>
    <cellStyle name="Normal 4 2 4 5 3 5" xfId="4449" xr:uid="{84E968C4-5FA4-422F-A96F-3771BBD8C74F}"/>
    <cellStyle name="Normal 4 2 4 5 3 5 2" xfId="13557" xr:uid="{A3711CCB-E069-4A1B-852E-801FE38C28D9}"/>
    <cellStyle name="Normal 4 2 4 5 3 6" xfId="13551" xr:uid="{4BD080E2-6BFB-47F2-96B0-23D95532293E}"/>
    <cellStyle name="Normal 4 2 4 5 4" xfId="4450" xr:uid="{F17BB80B-7876-4BB5-8782-BD9B65B8E9E8}"/>
    <cellStyle name="Normal 4 2 4 5 4 2" xfId="4451" xr:uid="{0EE5602D-DEED-442E-9AEC-2843ABD4432D}"/>
    <cellStyle name="Normal 4 2 4 5 4 2 2" xfId="4452" xr:uid="{3111FDF8-F954-4C4E-8E20-14F6E4E8FE75}"/>
    <cellStyle name="Normal 4 2 4 5 4 2 2 2" xfId="13560" xr:uid="{A1B15F61-3868-4E2C-8C35-0758687E1F98}"/>
    <cellStyle name="Normal 4 2 4 5 4 2 3" xfId="4453" xr:uid="{D1306CC0-6403-4D6B-B6B6-7D64BD046967}"/>
    <cellStyle name="Normal 4 2 4 5 4 2 3 2" xfId="13561" xr:uid="{AEFAC0A4-D8C1-47C4-A469-8A7EE05A29D6}"/>
    <cellStyle name="Normal 4 2 4 5 4 2 4" xfId="13559" xr:uid="{0FCC2309-96B0-421A-8AC4-78C2F51E5DDD}"/>
    <cellStyle name="Normal 4 2 4 5 4 3" xfId="4454" xr:uid="{8A3276D1-E270-46EE-944E-24DB38EF8681}"/>
    <cellStyle name="Normal 4 2 4 5 4 3 2" xfId="13562" xr:uid="{1C28E823-8C9D-4C63-960D-6C74A0E32ADD}"/>
    <cellStyle name="Normal 4 2 4 5 4 4" xfId="4455" xr:uid="{2DFA4A95-EA09-4BAE-868B-C00770C19CB0}"/>
    <cellStyle name="Normal 4 2 4 5 4 4 2" xfId="13563" xr:uid="{63CC2834-28A9-4FC5-BBA1-C1C7F2C3E6B2}"/>
    <cellStyle name="Normal 4 2 4 5 4 5" xfId="4456" xr:uid="{0FED430E-8954-46E2-B63D-482C365C456F}"/>
    <cellStyle name="Normal 4 2 4 5 4 5 2" xfId="13564" xr:uid="{42444E29-D4F1-4BCD-8029-0F477FDB2249}"/>
    <cellStyle name="Normal 4 2 4 5 4 6" xfId="13558" xr:uid="{E9FF4C82-E422-4522-A6B4-81423BB6575F}"/>
    <cellStyle name="Normal 4 2 4 5 5" xfId="4457" xr:uid="{EFFB0634-9CEC-4FA0-AD97-B623212E1582}"/>
    <cellStyle name="Normal 4 2 4 5 5 2" xfId="4458" xr:uid="{2C65C3BD-D948-4FA7-9F0C-2FA0F268296C}"/>
    <cellStyle name="Normal 4 2 4 5 5 2 2" xfId="13566" xr:uid="{80BBCE75-4598-417C-8895-B34DC660F0B5}"/>
    <cellStyle name="Normal 4 2 4 5 5 3" xfId="4459" xr:uid="{13188D16-8ACB-40BC-9129-B55FF99804CE}"/>
    <cellStyle name="Normal 4 2 4 5 5 3 2" xfId="13567" xr:uid="{87034908-8B8B-4DED-827E-671AE782D26F}"/>
    <cellStyle name="Normal 4 2 4 5 5 4" xfId="13565" xr:uid="{3D062AF4-61B2-4713-B9A8-AFB7C685D4C0}"/>
    <cellStyle name="Normal 4 2 4 5 6" xfId="4460" xr:uid="{939C764A-B71A-44B6-80CD-27291A2CF488}"/>
    <cellStyle name="Normal 4 2 4 5 6 2" xfId="13568" xr:uid="{4D598478-967C-457A-801F-613243536261}"/>
    <cellStyle name="Normal 4 2 4 5 7" xfId="4461" xr:uid="{616B84E0-79E0-4C82-8EA4-3F2B66B3470E}"/>
    <cellStyle name="Normal 4 2 4 5 7 2" xfId="13569" xr:uid="{FDAD5626-F658-4B2F-B068-FB25C86E3D2E}"/>
    <cellStyle name="Normal 4 2 4 5 8" xfId="4462" xr:uid="{0DD84739-3A49-4904-BBBE-D4F2FDBEDAC3}"/>
    <cellStyle name="Normal 4 2 4 5 8 2" xfId="13570" xr:uid="{1683DD9F-A876-46E3-AD9F-A5BD24EEFF6D}"/>
    <cellStyle name="Normal 4 2 4 5 9" xfId="13529" xr:uid="{22F750AC-5825-4D6D-8374-7EAE7C4BC1BC}"/>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2 2" xfId="13574" xr:uid="{0CC96B34-49FA-41C4-B928-761BBB0E770F}"/>
    <cellStyle name="Normal 4 2 4 6 2 2 3" xfId="4467" xr:uid="{0F7B136E-F963-4646-AA5D-0B19A24CD80F}"/>
    <cellStyle name="Normal 4 2 4 6 2 2 3 2" xfId="13575" xr:uid="{FF6FDA2C-8448-4083-92B6-D9ECB30F3E24}"/>
    <cellStyle name="Normal 4 2 4 6 2 2 4" xfId="13573" xr:uid="{E26D743B-19D7-449E-BEFF-ECC34EE03B66}"/>
    <cellStyle name="Normal 4 2 4 6 2 3" xfId="4468" xr:uid="{3C6FBF6F-7355-4B2C-82C6-5CFCBEC6C56E}"/>
    <cellStyle name="Normal 4 2 4 6 2 3 2" xfId="13576" xr:uid="{055D1FC5-1087-42A4-965D-5DB9978F2EAC}"/>
    <cellStyle name="Normal 4 2 4 6 2 4" xfId="4469" xr:uid="{D3296CD7-B855-4BF2-9995-D354CA07AE31}"/>
    <cellStyle name="Normal 4 2 4 6 2 4 2" xfId="13577" xr:uid="{B0D68643-1F71-4E37-97DD-1B94E431451F}"/>
    <cellStyle name="Normal 4 2 4 6 2 5" xfId="4470" xr:uid="{2384364D-EE34-4336-A0C8-FFD7B8236B17}"/>
    <cellStyle name="Normal 4 2 4 6 2 5 2" xfId="13578" xr:uid="{C6FE0F50-AAC2-4FD9-A6C3-7E818EB23152}"/>
    <cellStyle name="Normal 4 2 4 6 2 6" xfId="13572" xr:uid="{856B9817-DB6D-4E97-859E-1ABFEED9CD4D}"/>
    <cellStyle name="Normal 4 2 4 6 3" xfId="4471" xr:uid="{9E8D17E8-3D01-4088-9EA8-AD3B34048368}"/>
    <cellStyle name="Normal 4 2 4 6 3 2" xfId="4472" xr:uid="{FA0E95E8-6E99-4ED2-B579-9A915B79AA3D}"/>
    <cellStyle name="Normal 4 2 4 6 3 2 2" xfId="4473" xr:uid="{F62F0708-BBB1-4E85-A123-34A47DBDAFDE}"/>
    <cellStyle name="Normal 4 2 4 6 3 2 2 2" xfId="13581" xr:uid="{9D0F48DB-5B63-4BF5-898C-99AB59199860}"/>
    <cellStyle name="Normal 4 2 4 6 3 2 3" xfId="4474" xr:uid="{0A8C94C1-19A4-4192-998D-BA83F1847E09}"/>
    <cellStyle name="Normal 4 2 4 6 3 2 3 2" xfId="13582" xr:uid="{1FCDA09D-1991-4538-9E80-69C673045395}"/>
    <cellStyle name="Normal 4 2 4 6 3 2 4" xfId="13580" xr:uid="{56B1C277-57F3-4F7C-B98A-85DAD0017D34}"/>
    <cellStyle name="Normal 4 2 4 6 3 3" xfId="4475" xr:uid="{D94460E9-B922-4CCD-87B5-E1ED60A5A291}"/>
    <cellStyle name="Normal 4 2 4 6 3 3 2" xfId="13583" xr:uid="{A377F083-85EB-4119-9B07-8D45CFC8F1CF}"/>
    <cellStyle name="Normal 4 2 4 6 3 4" xfId="4476" xr:uid="{C62EBD4A-9757-4480-BC85-62CE9DFE7810}"/>
    <cellStyle name="Normal 4 2 4 6 3 4 2" xfId="13584" xr:uid="{75895AEB-015C-4309-909F-D14E7D7B3E66}"/>
    <cellStyle name="Normal 4 2 4 6 3 5" xfId="4477" xr:uid="{A20D7ECC-3C6C-4A5D-9CCD-8619903A331D}"/>
    <cellStyle name="Normal 4 2 4 6 3 5 2" xfId="13585" xr:uid="{43905D4D-3421-405F-B012-F17DDEF1F8CA}"/>
    <cellStyle name="Normal 4 2 4 6 3 6" xfId="13579" xr:uid="{8AE2D82E-453A-4399-BEC5-277CCE629251}"/>
    <cellStyle name="Normal 4 2 4 6 4" xfId="4478" xr:uid="{CE5AC02F-2248-4304-8CF1-E8C2D1469A44}"/>
    <cellStyle name="Normal 4 2 4 6 4 2" xfId="4479" xr:uid="{32446084-258C-40DC-9139-12C84131CAB2}"/>
    <cellStyle name="Normal 4 2 4 6 4 2 2" xfId="13587" xr:uid="{664E6067-BE64-487B-82FA-DCC7BA885E8F}"/>
    <cellStyle name="Normal 4 2 4 6 4 3" xfId="4480" xr:uid="{2686DFB0-080F-439D-8697-BD8EC447C3D7}"/>
    <cellStyle name="Normal 4 2 4 6 4 3 2" xfId="13588" xr:uid="{D34241F5-9380-4962-A379-7A276527CBC4}"/>
    <cellStyle name="Normal 4 2 4 6 4 4" xfId="13586" xr:uid="{D88C485B-5449-42DF-ACFF-485F01911EEF}"/>
    <cellStyle name="Normal 4 2 4 6 5" xfId="4481" xr:uid="{6B20B31D-63D5-4168-9782-CF830304E6D4}"/>
    <cellStyle name="Normal 4 2 4 6 5 2" xfId="13589" xr:uid="{8DAFFF08-DE8E-41D5-B2F2-D4901EB1AB37}"/>
    <cellStyle name="Normal 4 2 4 6 6" xfId="4482" xr:uid="{4F230A04-43BC-4567-9E35-1B12CFAB001B}"/>
    <cellStyle name="Normal 4 2 4 6 6 2" xfId="13590" xr:uid="{A4D61DF4-E258-4CE8-9FB0-C4B95B65CA09}"/>
    <cellStyle name="Normal 4 2 4 6 7" xfId="4483" xr:uid="{480E0B42-23ED-4A02-9703-1E5869779372}"/>
    <cellStyle name="Normal 4 2 4 6 7 2" xfId="13591" xr:uid="{47D91911-B8E9-4BF2-941E-075E57E1F1F8}"/>
    <cellStyle name="Normal 4 2 4 6 8" xfId="13571" xr:uid="{92B9A60F-50DF-457F-9454-396BBDA9BC35}"/>
    <cellStyle name="Normal 4 2 4 7" xfId="4484" xr:uid="{D683269C-1DDB-4223-8C3F-204A7FAD4719}"/>
    <cellStyle name="Normal 4 2 4 7 2" xfId="4485" xr:uid="{633BA4F6-39B7-4C85-BD72-527976000540}"/>
    <cellStyle name="Normal 4 2 4 7 2 2" xfId="4486" xr:uid="{2EA8461C-1ACA-41CE-8F8A-1E8F9E2AE0ED}"/>
    <cellStyle name="Normal 4 2 4 7 2 2 2" xfId="13594" xr:uid="{F3E1AAED-C0B1-42E5-B685-B817032A478C}"/>
    <cellStyle name="Normal 4 2 4 7 2 3" xfId="4487" xr:uid="{9509C28E-C876-43EB-9CA2-00270AAA2FD4}"/>
    <cellStyle name="Normal 4 2 4 7 2 3 2" xfId="13595" xr:uid="{47098874-54CC-4E1A-AE0E-28BCA6F76BB0}"/>
    <cellStyle name="Normal 4 2 4 7 2 4" xfId="13593" xr:uid="{7E789876-628D-40F1-8409-9123868AC28A}"/>
    <cellStyle name="Normal 4 2 4 7 3" xfId="4488" xr:uid="{673CDD56-4119-4206-8D6C-35D8E05D7367}"/>
    <cellStyle name="Normal 4 2 4 7 3 2" xfId="13596" xr:uid="{97DD4875-CEDC-4932-A384-FB4A9C570204}"/>
    <cellStyle name="Normal 4 2 4 7 4" xfId="4489" xr:uid="{41BF4A07-0DA1-440F-90B9-45382AFC29A6}"/>
    <cellStyle name="Normal 4 2 4 7 4 2" xfId="13597" xr:uid="{82C34980-E757-4123-8279-34D4231C7106}"/>
    <cellStyle name="Normal 4 2 4 7 5" xfId="4490" xr:uid="{BD681B78-3AF3-404F-9350-F04BA25AC5F9}"/>
    <cellStyle name="Normal 4 2 4 7 5 2" xfId="13598" xr:uid="{AF8DE892-3FD0-41D6-B1E3-0BE8BF457B91}"/>
    <cellStyle name="Normal 4 2 4 7 6" xfId="13592" xr:uid="{E5EEE3B2-BCE2-45DA-BE56-E6C01FB863BE}"/>
    <cellStyle name="Normal 4 2 4 8" xfId="4491" xr:uid="{1E6304A3-A095-4B6A-9D90-97DB04143E15}"/>
    <cellStyle name="Normal 4 2 4 8 2" xfId="4492" xr:uid="{9A7EB882-F50E-46AE-A90C-783660D25BCF}"/>
    <cellStyle name="Normal 4 2 4 8 2 2" xfId="4493" xr:uid="{A8AA899F-04DA-4B2F-8F36-5F884F57ED82}"/>
    <cellStyle name="Normal 4 2 4 8 2 2 2" xfId="13601" xr:uid="{0C88EDB1-6AA6-4DFB-AA1F-51636EA47268}"/>
    <cellStyle name="Normal 4 2 4 8 2 3" xfId="4494" xr:uid="{A1439267-8A8C-47DF-B571-E8F0C09EDB75}"/>
    <cellStyle name="Normal 4 2 4 8 2 3 2" xfId="13602" xr:uid="{6D7DA89E-0960-43D3-8911-2F6D24E2879E}"/>
    <cellStyle name="Normal 4 2 4 8 2 4" xfId="13600" xr:uid="{F211B790-A890-4472-B75D-CFF3FADC629F}"/>
    <cellStyle name="Normal 4 2 4 8 3" xfId="4495" xr:uid="{7064E6CD-39C7-44FA-9535-BFB14B1D11EA}"/>
    <cellStyle name="Normal 4 2 4 8 3 2" xfId="13603" xr:uid="{FA1D26E8-4E94-4F41-B194-FEA2D3C639E2}"/>
    <cellStyle name="Normal 4 2 4 8 4" xfId="4496" xr:uid="{6D2F838C-2A11-49BC-9C39-C73A0044B9D5}"/>
    <cellStyle name="Normal 4 2 4 8 4 2" xfId="13604" xr:uid="{4B418976-9FA9-4A77-B571-5D30C2A9EF07}"/>
    <cellStyle name="Normal 4 2 4 8 5" xfId="4497" xr:uid="{AE963B06-526B-4B4A-99A9-483838C49F3E}"/>
    <cellStyle name="Normal 4 2 4 8 5 2" xfId="13605" xr:uid="{E13D1AB5-455E-4104-9B36-308FA9E25B72}"/>
    <cellStyle name="Normal 4 2 4 8 6" xfId="13599" xr:uid="{C48D7F5B-EDC7-4EC0-B124-DB4879BD2A17}"/>
    <cellStyle name="Normal 4 2 4 9" xfId="4498" xr:uid="{F0A3F4E0-628D-47E1-B99C-11C91C010B8A}"/>
    <cellStyle name="Normal 4 2 4 9 2" xfId="4499" xr:uid="{4388A53A-C00A-407B-B70B-D256A3572554}"/>
    <cellStyle name="Normal 4 2 4 9 2 2" xfId="13607" xr:uid="{ACE41E38-48A0-446D-85B2-35D0075D9FA4}"/>
    <cellStyle name="Normal 4 2 4 9 3" xfId="4500" xr:uid="{46B8DA6F-907F-42D0-95BE-BD409D248B3C}"/>
    <cellStyle name="Normal 4 2 4 9 3 2" xfId="13608" xr:uid="{5FE1B4DF-85D1-4EE0-B0D8-27CECB4AC78F}"/>
    <cellStyle name="Normal 4 2 4 9 4" xfId="13606" xr:uid="{59E75B64-93A2-4FDB-A9EE-A83B045A32F6}"/>
    <cellStyle name="Normal 4 2 5" xfId="4501" xr:uid="{BB14194B-0DF3-4D0C-84F3-0CDA842F2174}"/>
    <cellStyle name="Normal 4 2 5 10" xfId="13609" xr:uid="{E9AFBF7E-965E-43E2-BC5D-994C247537E3}"/>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2 2" xfId="13614" xr:uid="{87675F02-5B47-4B15-A083-4EE956DFD94D}"/>
    <cellStyle name="Normal 4 2 5 2 2 2 2 3" xfId="4507" xr:uid="{94EAF77D-0BF1-4EA8-B43D-6DC0ACF310CB}"/>
    <cellStyle name="Normal 4 2 5 2 2 2 2 3 2" xfId="13615" xr:uid="{0F6738B5-7E8A-4886-8649-ECDD3FB738FA}"/>
    <cellStyle name="Normal 4 2 5 2 2 2 2 4" xfId="13613" xr:uid="{C420055D-11D6-4F74-B2FD-1D0BBF1F7355}"/>
    <cellStyle name="Normal 4 2 5 2 2 2 3" xfId="4508" xr:uid="{6E6CD815-4F02-40EC-8403-BC447E62070B}"/>
    <cellStyle name="Normal 4 2 5 2 2 2 3 2" xfId="13616" xr:uid="{D85554E6-0C76-4A8F-ADD9-7007676DA3F0}"/>
    <cellStyle name="Normal 4 2 5 2 2 2 4" xfId="4509" xr:uid="{75404311-BDB9-40F1-8C1F-E0068DE9058B}"/>
    <cellStyle name="Normal 4 2 5 2 2 2 4 2" xfId="13617" xr:uid="{EB7B9AE5-3E88-4EC3-B6D0-E076C0CC9169}"/>
    <cellStyle name="Normal 4 2 5 2 2 2 5" xfId="4510" xr:uid="{265A3254-FFA5-4E32-9325-84A62B498EA2}"/>
    <cellStyle name="Normal 4 2 5 2 2 2 5 2" xfId="13618" xr:uid="{F8ED4CE4-7CE2-4341-914A-059F7FD31855}"/>
    <cellStyle name="Normal 4 2 5 2 2 2 6" xfId="13612" xr:uid="{D34E9012-23EA-4D2E-A315-6DCA2112582D}"/>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2 2" xfId="13621" xr:uid="{E9B36372-CF78-4392-BB9C-48EDDA130992}"/>
    <cellStyle name="Normal 4 2 5 2 2 3 2 3" xfId="4514" xr:uid="{5A79A340-F400-4E16-A30A-15799A5415A8}"/>
    <cellStyle name="Normal 4 2 5 2 2 3 2 3 2" xfId="13622" xr:uid="{B788EC94-3367-49AE-A463-42004C79458C}"/>
    <cellStyle name="Normal 4 2 5 2 2 3 2 4" xfId="13620" xr:uid="{37E4E4A7-4175-4D37-831D-74F65B3633B4}"/>
    <cellStyle name="Normal 4 2 5 2 2 3 3" xfId="4515" xr:uid="{744DFC8F-BC0D-4A35-811D-5FC03841BF0E}"/>
    <cellStyle name="Normal 4 2 5 2 2 3 3 2" xfId="13623" xr:uid="{18802016-42B9-4DD1-BBB7-8EEC98F57F5B}"/>
    <cellStyle name="Normal 4 2 5 2 2 3 4" xfId="4516" xr:uid="{6025A73A-75B1-463A-8014-7C79B8967526}"/>
    <cellStyle name="Normal 4 2 5 2 2 3 4 2" xfId="13624" xr:uid="{65C1847D-430A-4672-B846-D1D1436B10B0}"/>
    <cellStyle name="Normal 4 2 5 2 2 3 5" xfId="4517" xr:uid="{BB77BEC2-3C6B-4BB1-B497-5831F108AD05}"/>
    <cellStyle name="Normal 4 2 5 2 2 3 5 2" xfId="13625" xr:uid="{B947D81B-53F3-4824-9D58-4E933FC09487}"/>
    <cellStyle name="Normal 4 2 5 2 2 3 6" xfId="13619" xr:uid="{FD5C5724-2F62-4BD8-90F0-BC619C392315}"/>
    <cellStyle name="Normal 4 2 5 2 2 4" xfId="4518" xr:uid="{AB0998A3-37E4-474E-96CC-93434EF2CBB7}"/>
    <cellStyle name="Normal 4 2 5 2 2 4 2" xfId="4519" xr:uid="{77D8E25B-29C7-4DB1-98E0-05ADB6216DEE}"/>
    <cellStyle name="Normal 4 2 5 2 2 4 2 2" xfId="13627" xr:uid="{09A458FF-6518-4E59-BE14-D08C1B1539DE}"/>
    <cellStyle name="Normal 4 2 5 2 2 4 3" xfId="4520" xr:uid="{74A84AE5-4CD8-496C-9174-242FA3942A6E}"/>
    <cellStyle name="Normal 4 2 5 2 2 4 3 2" xfId="13628" xr:uid="{14442D8F-09E2-47E4-8E3D-EE5D47F19A54}"/>
    <cellStyle name="Normal 4 2 5 2 2 4 4" xfId="13626" xr:uid="{3D8A006B-20AA-4547-AD32-95BCB4EE2891}"/>
    <cellStyle name="Normal 4 2 5 2 2 5" xfId="4521" xr:uid="{5256E556-4124-48F2-AAA0-4B20B7A088F0}"/>
    <cellStyle name="Normal 4 2 5 2 2 5 2" xfId="13629" xr:uid="{261CD88C-4304-457B-8936-11CEA6909ADB}"/>
    <cellStyle name="Normal 4 2 5 2 2 6" xfId="4522" xr:uid="{377FC2FA-07DA-4B38-B2BB-6F928D27C8FB}"/>
    <cellStyle name="Normal 4 2 5 2 2 6 2" xfId="13630" xr:uid="{DE0F8B3F-6B3F-46CC-8928-136EE0D524A6}"/>
    <cellStyle name="Normal 4 2 5 2 2 7" xfId="4523" xr:uid="{67B47B89-905E-4B97-BFF1-D725AE04FFA2}"/>
    <cellStyle name="Normal 4 2 5 2 2 7 2" xfId="13631" xr:uid="{77DE1AF5-1C85-4048-9488-62A49B02735F}"/>
    <cellStyle name="Normal 4 2 5 2 2 8" xfId="13611" xr:uid="{2DE7DA7C-63C0-4721-ABDF-7566DA4F76E0}"/>
    <cellStyle name="Normal 4 2 5 2 3" xfId="4524" xr:uid="{A8D7F2F2-0D3A-4A32-8EFA-F23CC5B9D86A}"/>
    <cellStyle name="Normal 4 2 5 2 3 2" xfId="4525" xr:uid="{1F761C95-0E25-4AF4-A0B5-5467B8D99E98}"/>
    <cellStyle name="Normal 4 2 5 2 3 2 2" xfId="4526" xr:uid="{A40A603C-82C4-4691-8EBC-5F0469BEAE4F}"/>
    <cellStyle name="Normal 4 2 5 2 3 2 2 2" xfId="13634" xr:uid="{D631FBA5-5251-4365-9D32-8EC5363BC9A4}"/>
    <cellStyle name="Normal 4 2 5 2 3 2 3" xfId="4527" xr:uid="{C2B5A5E9-05DB-4E04-96BC-B6725A5C5C91}"/>
    <cellStyle name="Normal 4 2 5 2 3 2 3 2" xfId="13635" xr:uid="{30174468-199C-4943-A7A1-02C0BD9C1361}"/>
    <cellStyle name="Normal 4 2 5 2 3 2 4" xfId="13633" xr:uid="{6D4CDC40-0227-4A45-86C3-940D57EAEF4A}"/>
    <cellStyle name="Normal 4 2 5 2 3 3" xfId="4528" xr:uid="{BD173A23-D942-4861-9517-6F30D9CCB26B}"/>
    <cellStyle name="Normal 4 2 5 2 3 3 2" xfId="13636" xr:uid="{C3D43823-F245-4613-9846-4EE31077C5C6}"/>
    <cellStyle name="Normal 4 2 5 2 3 4" xfId="4529" xr:uid="{5E370B23-831D-4198-B739-7FE9FC4C299D}"/>
    <cellStyle name="Normal 4 2 5 2 3 4 2" xfId="13637" xr:uid="{661F413B-09CE-43D7-98FF-8B0DF4394C40}"/>
    <cellStyle name="Normal 4 2 5 2 3 5" xfId="4530" xr:uid="{FA116015-D9B4-4EF8-ADDC-5F196170E6B4}"/>
    <cellStyle name="Normal 4 2 5 2 3 5 2" xfId="13638" xr:uid="{91B634F7-C2FE-4724-928B-C8176881074E}"/>
    <cellStyle name="Normal 4 2 5 2 3 6" xfId="13632" xr:uid="{46E43B7D-51B8-495C-8C91-2E76B3B2A06D}"/>
    <cellStyle name="Normal 4 2 5 2 4" xfId="4531" xr:uid="{A431F474-9561-4A1C-80D8-141EC4353234}"/>
    <cellStyle name="Normal 4 2 5 2 4 2" xfId="4532" xr:uid="{47851CFD-BB32-40CE-AD82-4C3A333C7EA3}"/>
    <cellStyle name="Normal 4 2 5 2 4 2 2" xfId="4533" xr:uid="{DB8C484D-FB25-416B-B457-9BE61211CFA2}"/>
    <cellStyle name="Normal 4 2 5 2 4 2 2 2" xfId="13641" xr:uid="{8F9C8C72-56BB-4EA3-864C-9A3FCDA186EF}"/>
    <cellStyle name="Normal 4 2 5 2 4 2 3" xfId="4534" xr:uid="{ACB4689E-2351-4F91-AC7F-495C7873120D}"/>
    <cellStyle name="Normal 4 2 5 2 4 2 3 2" xfId="13642" xr:uid="{8AA1A8F9-D8CC-4E36-BDDE-3FD142F12F1C}"/>
    <cellStyle name="Normal 4 2 5 2 4 2 4" xfId="13640" xr:uid="{16301C1E-2522-43B2-AABC-E232694335B4}"/>
    <cellStyle name="Normal 4 2 5 2 4 3" xfId="4535" xr:uid="{55B6B0B7-256D-4063-845D-A1F49760C5A3}"/>
    <cellStyle name="Normal 4 2 5 2 4 3 2" xfId="13643" xr:uid="{D570FAB2-05AD-4284-94AF-9CE4FF226476}"/>
    <cellStyle name="Normal 4 2 5 2 4 4" xfId="4536" xr:uid="{DB8DF8E5-9257-4B46-9ED9-4BF00CFACD55}"/>
    <cellStyle name="Normal 4 2 5 2 4 4 2" xfId="13644" xr:uid="{7F01DC34-A159-491D-8061-E02E87DB5B3E}"/>
    <cellStyle name="Normal 4 2 5 2 4 5" xfId="4537" xr:uid="{92E8F40F-CA1D-4E74-9128-84E0F9687982}"/>
    <cellStyle name="Normal 4 2 5 2 4 5 2" xfId="13645" xr:uid="{95E2F336-5BA4-4C64-8814-E93B62A4DFB3}"/>
    <cellStyle name="Normal 4 2 5 2 4 6" xfId="13639" xr:uid="{E423E01A-9433-4E6C-9C61-14C00BA51932}"/>
    <cellStyle name="Normal 4 2 5 2 5" xfId="4538" xr:uid="{609B1720-68D9-4159-B83B-0EE6732125DB}"/>
    <cellStyle name="Normal 4 2 5 2 5 2" xfId="4539" xr:uid="{3D0F7949-231A-4987-B406-A29F70291AF0}"/>
    <cellStyle name="Normal 4 2 5 2 5 2 2" xfId="13647" xr:uid="{3ADC1863-9357-4C6B-A15E-F45564915926}"/>
    <cellStyle name="Normal 4 2 5 2 5 3" xfId="4540" xr:uid="{CFCA82BD-5A84-42A3-A256-51F2AB3A5912}"/>
    <cellStyle name="Normal 4 2 5 2 5 3 2" xfId="13648" xr:uid="{37A7976C-EB45-4410-BD9C-B2CA2BD58078}"/>
    <cellStyle name="Normal 4 2 5 2 5 4" xfId="13646" xr:uid="{0013A22F-333C-45DB-AD01-DBE1BDC7584D}"/>
    <cellStyle name="Normal 4 2 5 2 6" xfId="4541" xr:uid="{177A0A5E-3482-4140-827C-A1379CF86941}"/>
    <cellStyle name="Normal 4 2 5 2 6 2" xfId="13649" xr:uid="{F090110C-18BE-4CC9-86AB-84BF6AD58E85}"/>
    <cellStyle name="Normal 4 2 5 2 7" xfId="4542" xr:uid="{57FC7DCF-0868-4177-B75A-B47C3EDA1DBD}"/>
    <cellStyle name="Normal 4 2 5 2 7 2" xfId="13650" xr:uid="{5C2084DB-268E-4079-8675-55A5B879DAA2}"/>
    <cellStyle name="Normal 4 2 5 2 8" xfId="4543" xr:uid="{E48950B0-0BA3-468D-A3CF-F598CB628E11}"/>
    <cellStyle name="Normal 4 2 5 2 8 2" xfId="13651" xr:uid="{0918F868-08D3-4162-87BD-2441EF72EC36}"/>
    <cellStyle name="Normal 4 2 5 2 9" xfId="13610" xr:uid="{D08B8422-1639-4D5E-A683-C8479ADB1A7F}"/>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2 2" xfId="13655" xr:uid="{C30DC121-A8B3-4665-B111-2FC6CA9268BB}"/>
    <cellStyle name="Normal 4 2 5 3 2 2 3" xfId="4548" xr:uid="{7448B7D0-E987-4AB9-BB5E-DD4C9D00E984}"/>
    <cellStyle name="Normal 4 2 5 3 2 2 3 2" xfId="13656" xr:uid="{848C81B1-55C7-4A43-9DF7-72B64E96DEC5}"/>
    <cellStyle name="Normal 4 2 5 3 2 2 4" xfId="13654" xr:uid="{D9BAEBD8-E43F-4328-91D0-67017E80E6CD}"/>
    <cellStyle name="Normal 4 2 5 3 2 3" xfId="4549" xr:uid="{B19DA357-6383-4713-8978-D5836D4DC224}"/>
    <cellStyle name="Normal 4 2 5 3 2 3 2" xfId="13657" xr:uid="{5CE05196-3F0A-450E-B864-8EB37C8A4549}"/>
    <cellStyle name="Normal 4 2 5 3 2 4" xfId="4550" xr:uid="{22BED4DA-1D01-447B-8DF6-8243F445FC35}"/>
    <cellStyle name="Normal 4 2 5 3 2 4 2" xfId="13658" xr:uid="{1E3CC2D3-79AC-4A85-9589-0A020786CC31}"/>
    <cellStyle name="Normal 4 2 5 3 2 5" xfId="4551" xr:uid="{EE5CF77B-3259-4C77-A971-F66F597E3E9E}"/>
    <cellStyle name="Normal 4 2 5 3 2 5 2" xfId="13659" xr:uid="{86B1278F-A02F-41D4-8685-4C31B32BE63F}"/>
    <cellStyle name="Normal 4 2 5 3 2 6" xfId="13653" xr:uid="{C29A1A3F-B9A9-4BA4-9C14-A3E2DF6423F6}"/>
    <cellStyle name="Normal 4 2 5 3 3" xfId="4552" xr:uid="{EA133E66-3969-4C89-90CF-19C2FAECB3C6}"/>
    <cellStyle name="Normal 4 2 5 3 3 2" xfId="4553" xr:uid="{1A71F09D-46F8-4D4C-B221-A96249B136EF}"/>
    <cellStyle name="Normal 4 2 5 3 3 2 2" xfId="4554" xr:uid="{EFBE8736-9433-4117-B6D6-EF3F29995CE9}"/>
    <cellStyle name="Normal 4 2 5 3 3 2 2 2" xfId="13662" xr:uid="{E23B550C-E5A4-4CFE-93C6-2C2A5B750560}"/>
    <cellStyle name="Normal 4 2 5 3 3 2 3" xfId="4555" xr:uid="{C54ADB56-87E9-4C9F-8AAE-F18832EE8309}"/>
    <cellStyle name="Normal 4 2 5 3 3 2 3 2" xfId="13663" xr:uid="{54D5A39D-8C8B-4DB2-9078-59FEBEC0AA00}"/>
    <cellStyle name="Normal 4 2 5 3 3 2 4" xfId="13661" xr:uid="{CA9F358D-B8F9-43CC-AF16-398A05F10A1C}"/>
    <cellStyle name="Normal 4 2 5 3 3 3" xfId="4556" xr:uid="{407D3A12-D650-4A03-8889-5EB594683BFB}"/>
    <cellStyle name="Normal 4 2 5 3 3 3 2" xfId="13664" xr:uid="{E0C8C144-CAF1-425C-8367-CFA02670C58B}"/>
    <cellStyle name="Normal 4 2 5 3 3 4" xfId="4557" xr:uid="{3E4BE741-F513-4349-B38E-827D80C53ABE}"/>
    <cellStyle name="Normal 4 2 5 3 3 4 2" xfId="13665" xr:uid="{DB7AA429-EE08-4C87-BCAF-CA10BD0A7BB8}"/>
    <cellStyle name="Normal 4 2 5 3 3 5" xfId="4558" xr:uid="{74313CD6-D979-4DF7-B483-F0ABE812DCE2}"/>
    <cellStyle name="Normal 4 2 5 3 3 5 2" xfId="13666" xr:uid="{96667209-CCC4-4946-A3E6-585546BAB150}"/>
    <cellStyle name="Normal 4 2 5 3 3 6" xfId="13660" xr:uid="{A944582A-8479-430C-B6E2-28C87F519181}"/>
    <cellStyle name="Normal 4 2 5 3 4" xfId="4559" xr:uid="{5160A97F-BF33-4EA2-A0B3-0F8771F2E4F9}"/>
    <cellStyle name="Normal 4 2 5 3 4 2" xfId="4560" xr:uid="{06CA75E4-D174-4D91-89FD-CFC5DC60CE8D}"/>
    <cellStyle name="Normal 4 2 5 3 4 2 2" xfId="13668" xr:uid="{11125E64-EDF9-44BB-B94D-59EAD6C923BE}"/>
    <cellStyle name="Normal 4 2 5 3 4 3" xfId="4561" xr:uid="{ACB15E93-7285-45DB-9D3E-D16BA3B400BA}"/>
    <cellStyle name="Normal 4 2 5 3 4 3 2" xfId="13669" xr:uid="{F74DEA8E-A0EF-4626-A3E9-2784C5D663E4}"/>
    <cellStyle name="Normal 4 2 5 3 4 4" xfId="13667" xr:uid="{B005C0A9-289A-4F43-B7F3-52FC1DC761B7}"/>
    <cellStyle name="Normal 4 2 5 3 5" xfId="4562" xr:uid="{8FB16DFC-FBBE-46B9-9699-E09278CEF1B0}"/>
    <cellStyle name="Normal 4 2 5 3 5 2" xfId="13670" xr:uid="{62E06C80-FB9C-483C-BEF8-DD8059565AC6}"/>
    <cellStyle name="Normal 4 2 5 3 6" xfId="4563" xr:uid="{A7AFF28F-88C3-4FF6-91D4-FD0051F67AB6}"/>
    <cellStyle name="Normal 4 2 5 3 6 2" xfId="13671" xr:uid="{A2095190-8124-4CC1-8AF9-2ADB464E605B}"/>
    <cellStyle name="Normal 4 2 5 3 7" xfId="4564" xr:uid="{2C8A08B5-1D9C-454B-B0AE-C671661741F8}"/>
    <cellStyle name="Normal 4 2 5 3 7 2" xfId="13672" xr:uid="{77261E9F-84D7-4263-808C-A034F307DE19}"/>
    <cellStyle name="Normal 4 2 5 3 8" xfId="13652" xr:uid="{2C8D560E-D244-44F1-9C6B-42417A3829AD}"/>
    <cellStyle name="Normal 4 2 5 4" xfId="4565" xr:uid="{CDB74611-368C-4A09-BA66-A62334D89146}"/>
    <cellStyle name="Normal 4 2 5 4 2" xfId="4566" xr:uid="{67D40F6D-EE90-4A3B-BF6D-30C850537B51}"/>
    <cellStyle name="Normal 4 2 5 4 2 2" xfId="4567" xr:uid="{346D1AA9-0474-4AF0-95B5-60E07E5E5AE3}"/>
    <cellStyle name="Normal 4 2 5 4 2 2 2" xfId="13675" xr:uid="{98C298D6-903F-4F43-B38D-7AC6CE3FA777}"/>
    <cellStyle name="Normal 4 2 5 4 2 3" xfId="4568" xr:uid="{927D7F9A-C54D-4020-A3D8-84F413C4C7B8}"/>
    <cellStyle name="Normal 4 2 5 4 2 3 2" xfId="13676" xr:uid="{A352D17C-3175-4C96-9BC7-43318942FF7F}"/>
    <cellStyle name="Normal 4 2 5 4 2 4" xfId="13674" xr:uid="{3A796ED0-C81F-44F9-A25A-7A05AA47EB02}"/>
    <cellStyle name="Normal 4 2 5 4 3" xfId="4569" xr:uid="{375B2CF4-E4FC-48F7-BA64-9D4CC75737E6}"/>
    <cellStyle name="Normal 4 2 5 4 3 2" xfId="13677" xr:uid="{93421654-073B-404D-990C-B8F78D0EFD50}"/>
    <cellStyle name="Normal 4 2 5 4 4" xfId="4570" xr:uid="{1EAE1DD1-8D56-4412-A821-01DB48FAD883}"/>
    <cellStyle name="Normal 4 2 5 4 4 2" xfId="13678" xr:uid="{F0AEFB41-084A-4C94-9846-547261667FA2}"/>
    <cellStyle name="Normal 4 2 5 4 5" xfId="4571" xr:uid="{DA3A76A2-BCB0-4931-86F6-FD52AEBF0C07}"/>
    <cellStyle name="Normal 4 2 5 4 5 2" xfId="13679" xr:uid="{A98D1D50-6346-4A1A-953E-792F5680D062}"/>
    <cellStyle name="Normal 4 2 5 4 6" xfId="13673" xr:uid="{C1FA4361-6605-4DBC-933F-D7D560AE9E87}"/>
    <cellStyle name="Normal 4 2 5 5" xfId="4572" xr:uid="{74478D9C-D7FF-41C7-90D6-547668196232}"/>
    <cellStyle name="Normal 4 2 5 5 2" xfId="4573" xr:uid="{49DCFDC7-6E29-4D41-BD8E-2444D902F4E5}"/>
    <cellStyle name="Normal 4 2 5 5 2 2" xfId="4574" xr:uid="{E80AF233-7C46-485E-B17F-69F3C8E19D2D}"/>
    <cellStyle name="Normal 4 2 5 5 2 2 2" xfId="13682" xr:uid="{16C64F20-55A3-4FB6-8227-4726E20C11E3}"/>
    <cellStyle name="Normal 4 2 5 5 2 3" xfId="4575" xr:uid="{9928AE68-5714-4BA3-8660-7FB2CEB2A835}"/>
    <cellStyle name="Normal 4 2 5 5 2 3 2" xfId="13683" xr:uid="{CA91C62F-9224-44AD-BDD0-54CA8ED45F9A}"/>
    <cellStyle name="Normal 4 2 5 5 2 4" xfId="13681" xr:uid="{6FBE2E6A-B51D-4F20-BD2F-6B9049D568FE}"/>
    <cellStyle name="Normal 4 2 5 5 3" xfId="4576" xr:uid="{45C3677D-17B0-4B69-9281-9504689DE3EC}"/>
    <cellStyle name="Normal 4 2 5 5 3 2" xfId="13684" xr:uid="{0130FB10-4361-441A-AF86-F30467C16078}"/>
    <cellStyle name="Normal 4 2 5 5 4" xfId="4577" xr:uid="{DE11251D-F8D6-419E-BB7C-053D51FD7F6E}"/>
    <cellStyle name="Normal 4 2 5 5 4 2" xfId="13685" xr:uid="{C1A9938E-23FC-47C6-A5BD-CD84C9076C20}"/>
    <cellStyle name="Normal 4 2 5 5 5" xfId="4578" xr:uid="{BE115F68-80F6-40A3-AE62-381FDA6382D5}"/>
    <cellStyle name="Normal 4 2 5 5 5 2" xfId="13686" xr:uid="{D179ADAF-C463-45D8-A4FE-0B0895419CA0}"/>
    <cellStyle name="Normal 4 2 5 5 6" xfId="13680" xr:uid="{C699B4B6-6E1A-4F9E-AF7B-4FC2D3F5FDBB}"/>
    <cellStyle name="Normal 4 2 5 6" xfId="4579" xr:uid="{800CB5B4-1F3F-48CC-B2B8-3F080AD00740}"/>
    <cellStyle name="Normal 4 2 5 6 2" xfId="4580" xr:uid="{5E94BD36-D825-4E30-BA2B-E40DDA4EDE79}"/>
    <cellStyle name="Normal 4 2 5 6 2 2" xfId="13688" xr:uid="{05DEBFBA-B524-42E3-A631-AD3E688820A1}"/>
    <cellStyle name="Normal 4 2 5 6 3" xfId="4581" xr:uid="{62C86C9F-F05D-4905-9476-4CADA177E975}"/>
    <cellStyle name="Normal 4 2 5 6 3 2" xfId="13689" xr:uid="{E01D2F39-F412-42C2-B5FB-C530A871765A}"/>
    <cellStyle name="Normal 4 2 5 6 4" xfId="13687" xr:uid="{F0E0F753-5D43-4D06-8BFC-B051B7A2BA39}"/>
    <cellStyle name="Normal 4 2 5 7" xfId="4582" xr:uid="{D1B21DE7-A451-4C66-8515-4BA23D5B9BDC}"/>
    <cellStyle name="Normal 4 2 5 7 2" xfId="13690" xr:uid="{816EAD49-8C01-456C-8D1B-0DB3C6DCC0AF}"/>
    <cellStyle name="Normal 4 2 5 8" xfId="4583" xr:uid="{4C6E3E44-0A1F-4D29-881D-90D5F2BEB6D1}"/>
    <cellStyle name="Normal 4 2 5 8 2" xfId="13691" xr:uid="{9991C2F9-B2DC-41F0-94A4-5EB0BBF9ADA4}"/>
    <cellStyle name="Normal 4 2 5 9" xfId="4584" xr:uid="{01F3EB38-A221-4F32-80D2-B7F2C048DCB7}"/>
    <cellStyle name="Normal 4 2 5 9 2" xfId="13692" xr:uid="{820D5363-F6EF-40B2-92E1-92FC5CDE9EB4}"/>
    <cellStyle name="Normal 4 2 6" xfId="4585" xr:uid="{36F60579-E104-4AB0-939B-9C4FA67CA4D1}"/>
    <cellStyle name="Normal 4 2 6 10" xfId="13693" xr:uid="{41D3F663-4B7A-43E8-945D-822736B16EC9}"/>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2 2" xfId="13698" xr:uid="{29C439D7-31D1-42EA-B8DF-4E1AC5D3FAD7}"/>
    <cellStyle name="Normal 4 2 6 2 2 2 2 3" xfId="4591" xr:uid="{61BAC275-5D98-4BD3-9B6E-3404E7847B77}"/>
    <cellStyle name="Normal 4 2 6 2 2 2 2 3 2" xfId="13699" xr:uid="{A123C050-A24D-4CA4-A9D1-97C7E5D11F9B}"/>
    <cellStyle name="Normal 4 2 6 2 2 2 2 4" xfId="13697" xr:uid="{6F9AB698-F480-4909-BCF1-D0240249D82E}"/>
    <cellStyle name="Normal 4 2 6 2 2 2 3" xfId="4592" xr:uid="{1FB74F9F-17FC-4378-AC32-4E4D04A43013}"/>
    <cellStyle name="Normal 4 2 6 2 2 2 3 2" xfId="13700" xr:uid="{78B9B7CA-620B-4A0F-939B-A78C4FDC38D2}"/>
    <cellStyle name="Normal 4 2 6 2 2 2 4" xfId="4593" xr:uid="{E842B8C9-4A98-4862-BB84-614BFD88EC37}"/>
    <cellStyle name="Normal 4 2 6 2 2 2 4 2" xfId="13701" xr:uid="{DD8689E8-6F90-4887-8789-1C6FB65A8A68}"/>
    <cellStyle name="Normal 4 2 6 2 2 2 5" xfId="4594" xr:uid="{5D994406-D6E2-4426-BCCA-4740949D7B54}"/>
    <cellStyle name="Normal 4 2 6 2 2 2 5 2" xfId="13702" xr:uid="{E85C5FEC-4803-441B-B303-A620EBAF2714}"/>
    <cellStyle name="Normal 4 2 6 2 2 2 6" xfId="13696" xr:uid="{BFCB3D7B-5053-476C-9919-5488BE96E0C2}"/>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2 2" xfId="13705" xr:uid="{6CA38157-FBB1-4EA5-8B4B-9679D7C2856D}"/>
    <cellStyle name="Normal 4 2 6 2 2 3 2 3" xfId="4598" xr:uid="{3F985FB3-7A8A-4B8E-9D06-ABE7B73E890F}"/>
    <cellStyle name="Normal 4 2 6 2 2 3 2 3 2" xfId="13706" xr:uid="{ECD598FE-6DBB-4F80-A596-E6FF184BE7B8}"/>
    <cellStyle name="Normal 4 2 6 2 2 3 2 4" xfId="13704" xr:uid="{2CB292A7-12EB-4A02-8ED4-0C3DFFA1E5FD}"/>
    <cellStyle name="Normal 4 2 6 2 2 3 3" xfId="4599" xr:uid="{CF07867A-249A-4B5F-825C-F0EF5D234D38}"/>
    <cellStyle name="Normal 4 2 6 2 2 3 3 2" xfId="13707" xr:uid="{AE3805FB-1E7D-41F4-8123-6F1ADD935E7E}"/>
    <cellStyle name="Normal 4 2 6 2 2 3 4" xfId="4600" xr:uid="{FDC8DB11-C7FE-4A2E-ADFF-112E6511DBF1}"/>
    <cellStyle name="Normal 4 2 6 2 2 3 4 2" xfId="13708" xr:uid="{165502F6-4B84-4779-AE14-7A947E125204}"/>
    <cellStyle name="Normal 4 2 6 2 2 3 5" xfId="4601" xr:uid="{8A397516-CAC5-4434-B1F0-586DD7D50F27}"/>
    <cellStyle name="Normal 4 2 6 2 2 3 5 2" xfId="13709" xr:uid="{029D39E3-3AA7-41EB-B5CC-64064E787CE2}"/>
    <cellStyle name="Normal 4 2 6 2 2 3 6" xfId="13703" xr:uid="{28332C17-941D-45AB-B704-0A610CC189D0}"/>
    <cellStyle name="Normal 4 2 6 2 2 4" xfId="4602" xr:uid="{BAACB0D3-552C-4B36-80DF-22622E0EAFCE}"/>
    <cellStyle name="Normal 4 2 6 2 2 4 2" xfId="4603" xr:uid="{896A7099-52B6-4149-A2CC-EFD110D6CA0D}"/>
    <cellStyle name="Normal 4 2 6 2 2 4 2 2" xfId="13711" xr:uid="{48E0A9D7-6744-4D36-9D95-EF8A3C1B114C}"/>
    <cellStyle name="Normal 4 2 6 2 2 4 3" xfId="4604" xr:uid="{9D1FED74-9E8E-4739-9FB2-3949E7D5F09A}"/>
    <cellStyle name="Normal 4 2 6 2 2 4 3 2" xfId="13712" xr:uid="{D0F149B1-6B0A-4512-A352-9F5E03091743}"/>
    <cellStyle name="Normal 4 2 6 2 2 4 4" xfId="13710" xr:uid="{00D2549C-6A29-4779-B8BE-B1652A36F821}"/>
    <cellStyle name="Normal 4 2 6 2 2 5" xfId="4605" xr:uid="{912724A1-C982-44D8-8C0A-1153183DF046}"/>
    <cellStyle name="Normal 4 2 6 2 2 5 2" xfId="13713" xr:uid="{F0EA9237-A203-4135-A50B-3F7E84EE7687}"/>
    <cellStyle name="Normal 4 2 6 2 2 6" xfId="4606" xr:uid="{7DAE7901-1C2D-4582-860D-44A1E3311BE2}"/>
    <cellStyle name="Normal 4 2 6 2 2 6 2" xfId="13714" xr:uid="{259711E5-8BC2-4BD3-B607-80F88071BEB8}"/>
    <cellStyle name="Normal 4 2 6 2 2 7" xfId="4607" xr:uid="{0ADA7A63-B692-449B-A793-F959991792E6}"/>
    <cellStyle name="Normal 4 2 6 2 2 7 2" xfId="13715" xr:uid="{61ADE2C5-A1D1-4C91-848B-92A49A3F29B3}"/>
    <cellStyle name="Normal 4 2 6 2 2 8" xfId="13695" xr:uid="{0CF9D009-83AF-4E25-B842-72D04547C408}"/>
    <cellStyle name="Normal 4 2 6 2 3" xfId="4608" xr:uid="{D4C6DA96-455F-46B8-ACC1-23B6074C4057}"/>
    <cellStyle name="Normal 4 2 6 2 3 2" xfId="4609" xr:uid="{CA6ED9B1-FA6F-4F7E-B64F-B2237DDE2F63}"/>
    <cellStyle name="Normal 4 2 6 2 3 2 2" xfId="4610" xr:uid="{4BEF3A73-6D8E-408F-BE58-9056FE262B14}"/>
    <cellStyle name="Normal 4 2 6 2 3 2 2 2" xfId="13718" xr:uid="{F05A404D-9468-44D8-B3FF-E92F3CA941C7}"/>
    <cellStyle name="Normal 4 2 6 2 3 2 3" xfId="4611" xr:uid="{77A3C45A-B5F8-4184-8641-E955A762E752}"/>
    <cellStyle name="Normal 4 2 6 2 3 2 3 2" xfId="13719" xr:uid="{F50606EE-0509-4E0F-9D96-AB4C9944B72E}"/>
    <cellStyle name="Normal 4 2 6 2 3 2 4" xfId="13717" xr:uid="{FCB114DB-F000-4FDA-BA23-595951DEA04D}"/>
    <cellStyle name="Normal 4 2 6 2 3 3" xfId="4612" xr:uid="{7CFC5675-42C0-40EF-8578-D74C2DDAA7FC}"/>
    <cellStyle name="Normal 4 2 6 2 3 3 2" xfId="13720" xr:uid="{A2D9EEDE-E184-43E2-BB74-14CC630B599C}"/>
    <cellStyle name="Normal 4 2 6 2 3 4" xfId="4613" xr:uid="{2F036059-7797-4632-8088-3630F482B415}"/>
    <cellStyle name="Normal 4 2 6 2 3 4 2" xfId="13721" xr:uid="{495FEB9D-5927-41C7-B97B-6CBE3E489848}"/>
    <cellStyle name="Normal 4 2 6 2 3 5" xfId="4614" xr:uid="{1FED31E5-066E-4515-9DA9-704C789BE8BB}"/>
    <cellStyle name="Normal 4 2 6 2 3 5 2" xfId="13722" xr:uid="{D73A7792-8685-4EE3-8570-CB8E6242A558}"/>
    <cellStyle name="Normal 4 2 6 2 3 6" xfId="13716" xr:uid="{5202A387-84E9-4074-8318-94C767CDE1E7}"/>
    <cellStyle name="Normal 4 2 6 2 4" xfId="4615" xr:uid="{3005C2E6-62BD-4274-9935-84FE621BE9BA}"/>
    <cellStyle name="Normal 4 2 6 2 4 2" xfId="4616" xr:uid="{113F4094-6E70-4EA3-A3FB-637B747307E2}"/>
    <cellStyle name="Normal 4 2 6 2 4 2 2" xfId="4617" xr:uid="{AF91DB4E-BA63-4BF4-AE03-F14B1E41EFFD}"/>
    <cellStyle name="Normal 4 2 6 2 4 2 2 2" xfId="13725" xr:uid="{42B8ACCD-B25F-4CF0-8D55-4F18D75CF074}"/>
    <cellStyle name="Normal 4 2 6 2 4 2 3" xfId="4618" xr:uid="{F1986579-E84C-40BE-8DF8-E9BA709F54D1}"/>
    <cellStyle name="Normal 4 2 6 2 4 2 3 2" xfId="13726" xr:uid="{F0EB9E48-465C-4BC3-A687-D50333C1475F}"/>
    <cellStyle name="Normal 4 2 6 2 4 2 4" xfId="13724" xr:uid="{427C9E8D-4386-482A-A182-C55D2BF6DCDE}"/>
    <cellStyle name="Normal 4 2 6 2 4 3" xfId="4619" xr:uid="{DF354081-FCE7-4550-B976-26347B0B6190}"/>
    <cellStyle name="Normal 4 2 6 2 4 3 2" xfId="13727" xr:uid="{6420B5B6-0002-4826-A980-1E3FFD46CCE9}"/>
    <cellStyle name="Normal 4 2 6 2 4 4" xfId="4620" xr:uid="{EF0D3295-0F31-4E78-9CD7-E05D01637AD6}"/>
    <cellStyle name="Normal 4 2 6 2 4 4 2" xfId="13728" xr:uid="{2570EBB1-F73A-45E5-B035-A99A228127C8}"/>
    <cellStyle name="Normal 4 2 6 2 4 5" xfId="4621" xr:uid="{2BF3614C-55AF-417B-AF52-D539CB8E8033}"/>
    <cellStyle name="Normal 4 2 6 2 4 5 2" xfId="13729" xr:uid="{DC1C41BA-A49E-4DC5-9404-6724364B199A}"/>
    <cellStyle name="Normal 4 2 6 2 4 6" xfId="13723" xr:uid="{67339FB1-C3B2-4F3C-8E10-2F4933D083D0}"/>
    <cellStyle name="Normal 4 2 6 2 5" xfId="4622" xr:uid="{496DE4CF-04CC-4F4F-973C-1C4944D53E83}"/>
    <cellStyle name="Normal 4 2 6 2 5 2" xfId="4623" xr:uid="{086870E2-D149-47BA-BC13-E3932F970418}"/>
    <cellStyle name="Normal 4 2 6 2 5 2 2" xfId="13731" xr:uid="{FC19B90F-3EA5-4B86-8FCB-AF99D4462B0E}"/>
    <cellStyle name="Normal 4 2 6 2 5 3" xfId="4624" xr:uid="{9C906A52-A1A3-451A-9186-619FF7EF60FC}"/>
    <cellStyle name="Normal 4 2 6 2 5 3 2" xfId="13732" xr:uid="{4B8A55E7-59C2-4954-BC79-03EBAB1DB540}"/>
    <cellStyle name="Normal 4 2 6 2 5 4" xfId="13730" xr:uid="{D84284F8-2457-495F-A0E5-7127D2701563}"/>
    <cellStyle name="Normal 4 2 6 2 6" xfId="4625" xr:uid="{59BA3F6E-7815-4997-A9EA-775F672DFE05}"/>
    <cellStyle name="Normal 4 2 6 2 6 2" xfId="13733" xr:uid="{D1A9ECD2-711C-457D-90CD-220A424CD09D}"/>
    <cellStyle name="Normal 4 2 6 2 7" xfId="4626" xr:uid="{8AF47CEB-0794-4DF6-94D8-3BF790B826D0}"/>
    <cellStyle name="Normal 4 2 6 2 7 2" xfId="13734" xr:uid="{8FE49474-3086-441F-9E5B-E198AE20499F}"/>
    <cellStyle name="Normal 4 2 6 2 8" xfId="4627" xr:uid="{4196ABB7-39C2-467A-814E-57EB291D5F90}"/>
    <cellStyle name="Normal 4 2 6 2 8 2" xfId="13735" xr:uid="{5D315204-7799-47F2-A4F7-D599DBBD7293}"/>
    <cellStyle name="Normal 4 2 6 2 9" xfId="13694" xr:uid="{7F69111E-4FCC-475E-9950-5BCA84C822F9}"/>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2 2" xfId="13739" xr:uid="{BD04CF1A-00B4-4459-94B0-54EA1CDB73D9}"/>
    <cellStyle name="Normal 4 2 6 3 2 2 3" xfId="4632" xr:uid="{68F221EF-1690-4833-8688-40396CF1105F}"/>
    <cellStyle name="Normal 4 2 6 3 2 2 3 2" xfId="13740" xr:uid="{FC3F96D1-D711-4F2C-93ED-65A44BA38CC6}"/>
    <cellStyle name="Normal 4 2 6 3 2 2 4" xfId="13738" xr:uid="{EC6F8D2F-EA3D-4933-860D-38AD352264D8}"/>
    <cellStyle name="Normal 4 2 6 3 2 3" xfId="4633" xr:uid="{CA6920E3-4977-49FB-A7A0-5C8D32C65086}"/>
    <cellStyle name="Normal 4 2 6 3 2 3 2" xfId="13741" xr:uid="{0605E262-6C2E-4406-9C41-7CC9E8D7E5F4}"/>
    <cellStyle name="Normal 4 2 6 3 2 4" xfId="4634" xr:uid="{93B8146F-1A00-44EC-8A3B-C596938BE192}"/>
    <cellStyle name="Normal 4 2 6 3 2 4 2" xfId="13742" xr:uid="{52FAA9A4-E4B5-46AF-83C7-39C2CE871887}"/>
    <cellStyle name="Normal 4 2 6 3 2 5" xfId="4635" xr:uid="{DB422873-DA62-4E97-A110-733564F56A2E}"/>
    <cellStyle name="Normal 4 2 6 3 2 5 2" xfId="13743" xr:uid="{365EB700-4DD5-4207-8C00-8E2B03220F6C}"/>
    <cellStyle name="Normal 4 2 6 3 2 6" xfId="13737" xr:uid="{C46C5D5D-F31A-4B6C-AC8B-E00BB0685A93}"/>
    <cellStyle name="Normal 4 2 6 3 3" xfId="4636" xr:uid="{8FFF201B-05B4-4436-94BD-E7D094A7D930}"/>
    <cellStyle name="Normal 4 2 6 3 3 2" xfId="4637" xr:uid="{7F2CB5A9-B548-4327-A631-AD03B5F68B99}"/>
    <cellStyle name="Normal 4 2 6 3 3 2 2" xfId="4638" xr:uid="{3F3633D3-AA3C-4C06-B226-F4E6A41C1EBE}"/>
    <cellStyle name="Normal 4 2 6 3 3 2 2 2" xfId="13746" xr:uid="{8701E7D1-8102-49A6-A544-4740E462A1A4}"/>
    <cellStyle name="Normal 4 2 6 3 3 2 3" xfId="4639" xr:uid="{E3CC2539-33CC-47B7-B53F-202ECE2E6CAF}"/>
    <cellStyle name="Normal 4 2 6 3 3 2 3 2" xfId="13747" xr:uid="{6A7B1831-D627-40F4-8C9A-0D2E77EE6A10}"/>
    <cellStyle name="Normal 4 2 6 3 3 2 4" xfId="13745" xr:uid="{41BD3ACD-4788-40FA-86F2-025906B9AE07}"/>
    <cellStyle name="Normal 4 2 6 3 3 3" xfId="4640" xr:uid="{90857708-6485-4F00-8E2C-1B66AADA2487}"/>
    <cellStyle name="Normal 4 2 6 3 3 3 2" xfId="13748" xr:uid="{A6053C5F-9CDC-4DC6-9459-C25796FBF320}"/>
    <cellStyle name="Normal 4 2 6 3 3 4" xfId="4641" xr:uid="{850C7425-9830-4CBC-8590-51FCF65E0B35}"/>
    <cellStyle name="Normal 4 2 6 3 3 4 2" xfId="13749" xr:uid="{BD6BA53C-EFF6-4A15-A161-B37BFCDD3F4C}"/>
    <cellStyle name="Normal 4 2 6 3 3 5" xfId="4642" xr:uid="{2CEA67F3-3C16-494F-8ECA-8FCF657EE6EB}"/>
    <cellStyle name="Normal 4 2 6 3 3 5 2" xfId="13750" xr:uid="{746E1B9B-A636-4F15-ACAC-523D4A5CCA41}"/>
    <cellStyle name="Normal 4 2 6 3 3 6" xfId="13744" xr:uid="{AA9DC1D8-AAB4-4841-B2AC-BB6D3B9741E7}"/>
    <cellStyle name="Normal 4 2 6 3 4" xfId="4643" xr:uid="{B17CD7CA-791D-4AFD-98E6-31BFF02EB4DF}"/>
    <cellStyle name="Normal 4 2 6 3 4 2" xfId="4644" xr:uid="{3C60F984-339F-45B2-9952-F63EFAF0938F}"/>
    <cellStyle name="Normal 4 2 6 3 4 2 2" xfId="13752" xr:uid="{75028CEC-FF3F-4AA1-809D-F3F49E85A219}"/>
    <cellStyle name="Normal 4 2 6 3 4 3" xfId="4645" xr:uid="{EA6166AB-6F62-4B32-A2C6-34B9550EF172}"/>
    <cellStyle name="Normal 4 2 6 3 4 3 2" xfId="13753" xr:uid="{FE218809-427D-4596-81E2-92AABCAFB366}"/>
    <cellStyle name="Normal 4 2 6 3 4 4" xfId="13751" xr:uid="{C9E65A1B-75FC-4C38-947E-F1D21787EE92}"/>
    <cellStyle name="Normal 4 2 6 3 5" xfId="4646" xr:uid="{F17F6D73-0146-43A0-BD13-41FD56B5CD3E}"/>
    <cellStyle name="Normal 4 2 6 3 5 2" xfId="13754" xr:uid="{95850994-D2E6-44E6-AC97-73752D6D81D2}"/>
    <cellStyle name="Normal 4 2 6 3 6" xfId="4647" xr:uid="{1252B613-7B44-4BEE-BA2D-C1FCC79F5022}"/>
    <cellStyle name="Normal 4 2 6 3 6 2" xfId="13755" xr:uid="{F4731172-BAC8-469C-BA0B-1FAF6935A938}"/>
    <cellStyle name="Normal 4 2 6 3 7" xfId="4648" xr:uid="{4BA5D67C-1CF6-4C76-B531-EBF14F7BE49C}"/>
    <cellStyle name="Normal 4 2 6 3 7 2" xfId="13756" xr:uid="{5DC4EAEB-91CD-45FF-B341-043592F6CB9D}"/>
    <cellStyle name="Normal 4 2 6 3 8" xfId="13736" xr:uid="{7FF7C6FA-CA1B-4EA3-A4F0-2DAB505948FF}"/>
    <cellStyle name="Normal 4 2 6 4" xfId="4649" xr:uid="{24CC6A76-EAF3-41E9-AA9C-854932CE6B65}"/>
    <cellStyle name="Normal 4 2 6 4 2" xfId="4650" xr:uid="{9D1AACF2-EF51-4479-81AE-FFC9896D9B05}"/>
    <cellStyle name="Normal 4 2 6 4 2 2" xfId="4651" xr:uid="{45B0549C-66FB-423F-8DD4-CF380E9F8172}"/>
    <cellStyle name="Normal 4 2 6 4 2 2 2" xfId="13759" xr:uid="{D99A47B0-E555-42D7-ADC6-BAAE43AC0A3E}"/>
    <cellStyle name="Normal 4 2 6 4 2 3" xfId="4652" xr:uid="{32930189-AA77-4D8D-8931-975AD155E186}"/>
    <cellStyle name="Normal 4 2 6 4 2 3 2" xfId="13760" xr:uid="{BA9ADBA0-9E6D-404C-A7F1-F52E793E391B}"/>
    <cellStyle name="Normal 4 2 6 4 2 4" xfId="13758" xr:uid="{813D7700-445D-4A6F-ADA5-5C28BDD7C0FC}"/>
    <cellStyle name="Normal 4 2 6 4 3" xfId="4653" xr:uid="{1F75EAAE-7E8C-4863-8C4E-6833C31A2AA0}"/>
    <cellStyle name="Normal 4 2 6 4 3 2" xfId="13761" xr:uid="{E9ED5268-6E3C-4F14-B1AD-ED1C4D5CCF1B}"/>
    <cellStyle name="Normal 4 2 6 4 4" xfId="4654" xr:uid="{57805F81-86E8-4492-9C89-5B8B375117A8}"/>
    <cellStyle name="Normal 4 2 6 4 4 2" xfId="13762" xr:uid="{C9553ECC-3AF5-4E8C-848B-0652EBA128B8}"/>
    <cellStyle name="Normal 4 2 6 4 5" xfId="4655" xr:uid="{4C022A6D-DFDA-40C4-8148-663F8C768A70}"/>
    <cellStyle name="Normal 4 2 6 4 5 2" xfId="13763" xr:uid="{CA3FF3A6-F19D-43E1-AD43-EB842DF3E720}"/>
    <cellStyle name="Normal 4 2 6 4 6" xfId="13757" xr:uid="{22C67016-1605-4BC1-BC50-2CADD45FCC64}"/>
    <cellStyle name="Normal 4 2 6 5" xfId="4656" xr:uid="{15FAF031-35F0-462C-AEC7-59C2E320D0D7}"/>
    <cellStyle name="Normal 4 2 6 5 2" xfId="4657" xr:uid="{E956245C-869C-425A-8919-F6110D3C3EDB}"/>
    <cellStyle name="Normal 4 2 6 5 2 2" xfId="4658" xr:uid="{C955A912-9930-48BC-8A67-E2D5A306FD5A}"/>
    <cellStyle name="Normal 4 2 6 5 2 2 2" xfId="13766" xr:uid="{8120EBCA-BC5E-4DBA-9F18-B7430AF3AE57}"/>
    <cellStyle name="Normal 4 2 6 5 2 3" xfId="4659" xr:uid="{BACEA1E3-966A-4525-AEAF-8BDCDD14235F}"/>
    <cellStyle name="Normal 4 2 6 5 2 3 2" xfId="13767" xr:uid="{6AF93476-8E54-4369-95F3-3156797B1519}"/>
    <cellStyle name="Normal 4 2 6 5 2 4" xfId="13765" xr:uid="{E6AD4032-388F-4CB1-9577-359CA9B26E14}"/>
    <cellStyle name="Normal 4 2 6 5 3" xfId="4660" xr:uid="{484F4F0B-8686-450F-81E6-4C12123C358A}"/>
    <cellStyle name="Normal 4 2 6 5 3 2" xfId="13768" xr:uid="{D50BE72A-710A-4F11-B072-97C73707B11E}"/>
    <cellStyle name="Normal 4 2 6 5 4" xfId="4661" xr:uid="{7E71D6DB-CBC2-4181-802A-AE53D619A83C}"/>
    <cellStyle name="Normal 4 2 6 5 4 2" xfId="13769" xr:uid="{C270ACF4-6D9B-4C70-B924-FC9E8E316DA7}"/>
    <cellStyle name="Normal 4 2 6 5 5" xfId="4662" xr:uid="{1BA8DBD2-037A-41D1-B4AB-2E80B439A476}"/>
    <cellStyle name="Normal 4 2 6 5 5 2" xfId="13770" xr:uid="{6ECB997C-EDC1-4773-92F8-2B2EC4026EC2}"/>
    <cellStyle name="Normal 4 2 6 5 6" xfId="13764" xr:uid="{AEA5A59C-B96A-4BD4-9E8B-72A50E49AC68}"/>
    <cellStyle name="Normal 4 2 6 6" xfId="4663" xr:uid="{BCE8BFB7-3AB5-42B5-A93E-17D869581CE0}"/>
    <cellStyle name="Normal 4 2 6 6 2" xfId="4664" xr:uid="{BF50A57D-44A0-4022-9F50-B96D820837FA}"/>
    <cellStyle name="Normal 4 2 6 6 2 2" xfId="13772" xr:uid="{0AE3EA6B-D408-4361-A479-62D7C8CA20CB}"/>
    <cellStyle name="Normal 4 2 6 6 3" xfId="4665" xr:uid="{A07B6970-E0EE-46E3-85EA-8824FA6B0000}"/>
    <cellStyle name="Normal 4 2 6 6 3 2" xfId="13773" xr:uid="{E777A835-52A8-4215-880B-E7ADED59D504}"/>
    <cellStyle name="Normal 4 2 6 6 4" xfId="13771" xr:uid="{46607D94-D00B-45E3-92E1-A14C00E7E428}"/>
    <cellStyle name="Normal 4 2 6 7" xfId="4666" xr:uid="{21376ED0-E30C-44B6-83FE-5572304516BE}"/>
    <cellStyle name="Normal 4 2 6 7 2" xfId="13774" xr:uid="{F78625A9-34F9-4941-863F-C74DFC0D9658}"/>
    <cellStyle name="Normal 4 2 6 8" xfId="4667" xr:uid="{15CEE13F-1E98-4565-A23B-3399040B05A5}"/>
    <cellStyle name="Normal 4 2 6 8 2" xfId="13775" xr:uid="{80F02E55-AC3C-43EC-A23E-ED9E6399E85B}"/>
    <cellStyle name="Normal 4 2 6 9" xfId="4668" xr:uid="{FB414AE9-E192-4795-B38D-D95608392A8C}"/>
    <cellStyle name="Normal 4 2 6 9 2" xfId="13776" xr:uid="{8EFBF0B6-DE7B-4BC3-84E9-77E068E401E8}"/>
    <cellStyle name="Normal 4 2 7" xfId="4669" xr:uid="{A850A357-BD32-4CBA-AD08-9116EFF526A7}"/>
    <cellStyle name="Normal 4 2 7 10" xfId="13777" xr:uid="{23D65A90-F4A3-4F20-91BF-CA22625C1CC5}"/>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2 2" xfId="13782" xr:uid="{D1704B2C-841E-4EC6-B022-9762B7B57364}"/>
    <cellStyle name="Normal 4 2 7 2 2 2 2 3" xfId="4675" xr:uid="{679BFECD-F3E0-4F62-9B61-B2B30FE9D434}"/>
    <cellStyle name="Normal 4 2 7 2 2 2 2 3 2" xfId="13783" xr:uid="{552753ED-EF6E-4764-BD46-48DCD33D6F4D}"/>
    <cellStyle name="Normal 4 2 7 2 2 2 2 4" xfId="13781" xr:uid="{6815C433-447C-4621-96A1-55712DC7A857}"/>
    <cellStyle name="Normal 4 2 7 2 2 2 3" xfId="4676" xr:uid="{07046B28-585A-4848-A1C3-440BF78575E0}"/>
    <cellStyle name="Normal 4 2 7 2 2 2 3 2" xfId="13784" xr:uid="{A0215CB4-E7E3-44D7-A8DD-1BE3D62BE138}"/>
    <cellStyle name="Normal 4 2 7 2 2 2 4" xfId="4677" xr:uid="{6790703E-7978-489C-9473-5AEB4E86421C}"/>
    <cellStyle name="Normal 4 2 7 2 2 2 4 2" xfId="13785" xr:uid="{B0B86D4E-A8E9-4F59-8951-263C07C1D7A1}"/>
    <cellStyle name="Normal 4 2 7 2 2 2 5" xfId="4678" xr:uid="{990F22B7-7843-4EB6-9A6C-40E733188724}"/>
    <cellStyle name="Normal 4 2 7 2 2 2 5 2" xfId="13786" xr:uid="{D5314648-A38A-439E-9181-977AA2EC78E1}"/>
    <cellStyle name="Normal 4 2 7 2 2 2 6" xfId="13780" xr:uid="{4786CAD3-2C84-4033-B4B0-6819F4F1EED3}"/>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2 2" xfId="13789" xr:uid="{896E1BFE-1E4A-4343-8414-32FB6B038159}"/>
    <cellStyle name="Normal 4 2 7 2 2 3 2 3" xfId="4682" xr:uid="{54DB1891-538A-40F1-B471-141E7FB293CA}"/>
    <cellStyle name="Normal 4 2 7 2 2 3 2 3 2" xfId="13790" xr:uid="{D0B8DF7A-09FD-44D7-9B55-FCE9F063E075}"/>
    <cellStyle name="Normal 4 2 7 2 2 3 2 4" xfId="13788" xr:uid="{62A9B254-0948-4D6A-B8C7-DA53594A9F70}"/>
    <cellStyle name="Normal 4 2 7 2 2 3 3" xfId="4683" xr:uid="{BB6479E1-5A17-45A7-AF75-363827F47AAA}"/>
    <cellStyle name="Normal 4 2 7 2 2 3 3 2" xfId="13791" xr:uid="{B67F24D7-313B-4C02-A6F3-1DFD976F9E71}"/>
    <cellStyle name="Normal 4 2 7 2 2 3 4" xfId="4684" xr:uid="{C2AC53C5-816E-42DB-9FEE-A4CB058D53BA}"/>
    <cellStyle name="Normal 4 2 7 2 2 3 4 2" xfId="13792" xr:uid="{A9F8126B-7325-4866-8212-FD3D13BBB827}"/>
    <cellStyle name="Normal 4 2 7 2 2 3 5" xfId="4685" xr:uid="{17BB6949-6AAF-4F9B-9187-E7DEE4D0B485}"/>
    <cellStyle name="Normal 4 2 7 2 2 3 5 2" xfId="13793" xr:uid="{7FD8FE9A-97C2-432F-9D8A-188F07EAA303}"/>
    <cellStyle name="Normal 4 2 7 2 2 3 6" xfId="13787" xr:uid="{2C07BEC2-5B2D-4255-BD30-D82280272636}"/>
    <cellStyle name="Normal 4 2 7 2 2 4" xfId="4686" xr:uid="{41B0D167-2843-4F99-8A0A-6339BCDFE222}"/>
    <cellStyle name="Normal 4 2 7 2 2 4 2" xfId="4687" xr:uid="{52E4FCB3-2575-425A-BE52-733FD6929088}"/>
    <cellStyle name="Normal 4 2 7 2 2 4 2 2" xfId="13795" xr:uid="{BEE5C317-A02F-42DE-AF15-20581F79D1B3}"/>
    <cellStyle name="Normal 4 2 7 2 2 4 3" xfId="4688" xr:uid="{57B922BC-36F9-4DA0-9FDC-B5202D7325E5}"/>
    <cellStyle name="Normal 4 2 7 2 2 4 3 2" xfId="13796" xr:uid="{FC6776F9-0A4E-4A5C-98F2-5FFEBF9BDF3F}"/>
    <cellStyle name="Normal 4 2 7 2 2 4 4" xfId="13794" xr:uid="{644A9D3C-9110-4F02-8F6B-65EBE8D94481}"/>
    <cellStyle name="Normal 4 2 7 2 2 5" xfId="4689" xr:uid="{DFEB4E08-3D69-4B02-923B-CB750336BC2F}"/>
    <cellStyle name="Normal 4 2 7 2 2 5 2" xfId="13797" xr:uid="{AF87AF85-0A24-4420-83EA-A1FA4B21A124}"/>
    <cellStyle name="Normal 4 2 7 2 2 6" xfId="4690" xr:uid="{6C962427-E767-4D62-B8C3-CAC497D10E54}"/>
    <cellStyle name="Normal 4 2 7 2 2 6 2" xfId="13798" xr:uid="{1B84F61E-C848-45CB-A194-BBAB88EF1103}"/>
    <cellStyle name="Normal 4 2 7 2 2 7" xfId="4691" xr:uid="{07B94AE8-FBFA-40EE-940A-91FCBB50791E}"/>
    <cellStyle name="Normal 4 2 7 2 2 7 2" xfId="13799" xr:uid="{50AB1244-6C4A-4BCA-AFF3-BAAA86BEA7F2}"/>
    <cellStyle name="Normal 4 2 7 2 2 8" xfId="13779" xr:uid="{B6756439-9929-45B9-A01D-C5764BEF1EAF}"/>
    <cellStyle name="Normal 4 2 7 2 3" xfId="4692" xr:uid="{3FC7B043-3686-468A-92F0-7C14E0DDA84C}"/>
    <cellStyle name="Normal 4 2 7 2 3 2" xfId="4693" xr:uid="{AF1F27FA-C1E8-4CBD-B758-028599DAD851}"/>
    <cellStyle name="Normal 4 2 7 2 3 2 2" xfId="4694" xr:uid="{7DA4CE71-BECE-4B71-903E-C2BA8514D97E}"/>
    <cellStyle name="Normal 4 2 7 2 3 2 2 2" xfId="13802" xr:uid="{8E3DD72B-37F3-4739-BD16-F8AF1486D84D}"/>
    <cellStyle name="Normal 4 2 7 2 3 2 3" xfId="4695" xr:uid="{1BC648C1-3D75-4245-B37F-175B7A52BC76}"/>
    <cellStyle name="Normal 4 2 7 2 3 2 3 2" xfId="13803" xr:uid="{D78F09E7-FF16-43FB-8A13-0B6D325B82D1}"/>
    <cellStyle name="Normal 4 2 7 2 3 2 4" xfId="13801" xr:uid="{7C39A49F-70D3-492E-A53D-59A09994946E}"/>
    <cellStyle name="Normal 4 2 7 2 3 3" xfId="4696" xr:uid="{6EEE9428-FA43-4D08-B8FB-39A84E79EEFF}"/>
    <cellStyle name="Normal 4 2 7 2 3 3 2" xfId="13804" xr:uid="{45F21761-CF7A-43EC-919A-B90F67B79607}"/>
    <cellStyle name="Normal 4 2 7 2 3 4" xfId="4697" xr:uid="{88BF1F4C-B837-468C-9158-B152410F5D3C}"/>
    <cellStyle name="Normal 4 2 7 2 3 4 2" xfId="13805" xr:uid="{7BDDF040-CB3E-4D6E-BC08-8C667A69E8FF}"/>
    <cellStyle name="Normal 4 2 7 2 3 5" xfId="4698" xr:uid="{AB2DD8D3-CC09-4E00-8D12-E2CC94C49EBC}"/>
    <cellStyle name="Normal 4 2 7 2 3 5 2" xfId="13806" xr:uid="{7DB1ED8A-21A7-4C71-B823-C541D618F7A7}"/>
    <cellStyle name="Normal 4 2 7 2 3 6" xfId="13800" xr:uid="{6CA60FC3-AE74-4274-8A5F-6E3EA4BBE288}"/>
    <cellStyle name="Normal 4 2 7 2 4" xfId="4699" xr:uid="{2BD8E9DD-B3A3-4369-BBD2-7716F2EB7B50}"/>
    <cellStyle name="Normal 4 2 7 2 4 2" xfId="4700" xr:uid="{A5B1DF3E-F818-43C3-8840-46160BF1220E}"/>
    <cellStyle name="Normal 4 2 7 2 4 2 2" xfId="4701" xr:uid="{BC969D1E-B84E-46B0-A7E2-5C85AB0EA800}"/>
    <cellStyle name="Normal 4 2 7 2 4 2 2 2" xfId="13809" xr:uid="{E8CC01E9-BC3D-46E4-8839-497FA6025569}"/>
    <cellStyle name="Normal 4 2 7 2 4 2 3" xfId="4702" xr:uid="{7EBA1ABC-58E9-4EB7-B614-C2C76923AF36}"/>
    <cellStyle name="Normal 4 2 7 2 4 2 3 2" xfId="13810" xr:uid="{8BDD088A-E5CA-4172-BA27-3373CB82306F}"/>
    <cellStyle name="Normal 4 2 7 2 4 2 4" xfId="13808" xr:uid="{596456F9-C7CD-429A-9001-F2C773D722F0}"/>
    <cellStyle name="Normal 4 2 7 2 4 3" xfId="4703" xr:uid="{0DD4BF7A-1653-4625-A9AB-B0AE506AA0FB}"/>
    <cellStyle name="Normal 4 2 7 2 4 3 2" xfId="13811" xr:uid="{A001B138-3DA7-4CDF-B157-29FF6905DC1C}"/>
    <cellStyle name="Normal 4 2 7 2 4 4" xfId="4704" xr:uid="{EABD29C2-9CBD-4B0D-9830-095EA904DDEC}"/>
    <cellStyle name="Normal 4 2 7 2 4 4 2" xfId="13812" xr:uid="{14183081-3232-49D2-B29B-769EC7B31297}"/>
    <cellStyle name="Normal 4 2 7 2 4 5" xfId="4705" xr:uid="{F5387860-2863-4CF8-97BB-AABC2AB14B96}"/>
    <cellStyle name="Normal 4 2 7 2 4 5 2" xfId="13813" xr:uid="{E0804825-B0D5-46C8-9C50-94FFC4C1D8B1}"/>
    <cellStyle name="Normal 4 2 7 2 4 6" xfId="13807" xr:uid="{304501A1-9F74-45DA-9097-B73C3A452001}"/>
    <cellStyle name="Normal 4 2 7 2 5" xfId="4706" xr:uid="{A60AF41A-6C8D-4130-8E4D-3B2DE463CE0B}"/>
    <cellStyle name="Normal 4 2 7 2 5 2" xfId="4707" xr:uid="{7E15988A-C9D6-48C1-9BFA-2904FF26103C}"/>
    <cellStyle name="Normal 4 2 7 2 5 2 2" xfId="13815" xr:uid="{2F05A07F-E881-47D8-AF8F-533103AE5599}"/>
    <cellStyle name="Normal 4 2 7 2 5 3" xfId="4708" xr:uid="{40F555A2-203F-4388-A028-A59A2DFB650C}"/>
    <cellStyle name="Normal 4 2 7 2 5 3 2" xfId="13816" xr:uid="{2CB6DCD5-9CC0-4D45-A682-5FA7D79CF382}"/>
    <cellStyle name="Normal 4 2 7 2 5 4" xfId="13814" xr:uid="{B2A7ECB4-09D5-4F81-AF4B-46E3A85D7355}"/>
    <cellStyle name="Normal 4 2 7 2 6" xfId="4709" xr:uid="{6D6A633A-7F59-4E40-AD0D-8F9D5AD91FFF}"/>
    <cellStyle name="Normal 4 2 7 2 6 2" xfId="13817" xr:uid="{85C7D871-5AC1-4A4B-B1FE-378DD0B1003D}"/>
    <cellStyle name="Normal 4 2 7 2 7" xfId="4710" xr:uid="{00AB7886-7589-401F-A31B-8EB6E80A93C6}"/>
    <cellStyle name="Normal 4 2 7 2 7 2" xfId="13818" xr:uid="{99925AFB-07E1-4551-A576-AFCCD6137797}"/>
    <cellStyle name="Normal 4 2 7 2 8" xfId="4711" xr:uid="{316E0B2D-D8AF-4034-853C-5BC595C539C8}"/>
    <cellStyle name="Normal 4 2 7 2 8 2" xfId="13819" xr:uid="{18869BFD-D518-49BD-BB89-9A43C3AFD9D1}"/>
    <cellStyle name="Normal 4 2 7 2 9" xfId="13778" xr:uid="{BFEF681F-7ED3-4A4B-97BE-51D6920BD82A}"/>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2 2" xfId="13823" xr:uid="{0FFA9185-70E2-43E0-A9FF-02A961E2E2B9}"/>
    <cellStyle name="Normal 4 2 7 3 2 2 3" xfId="4716" xr:uid="{8B3B741C-A797-41DA-B29B-DC147D52A101}"/>
    <cellStyle name="Normal 4 2 7 3 2 2 3 2" xfId="13824" xr:uid="{34A49AB0-EA4B-4051-8BA9-CBFFF3DF693E}"/>
    <cellStyle name="Normal 4 2 7 3 2 2 4" xfId="13822" xr:uid="{BC59B752-1075-46E8-B2A8-E89C5EED6F9B}"/>
    <cellStyle name="Normal 4 2 7 3 2 3" xfId="4717" xr:uid="{01F2BB51-AEDA-40E2-8EEB-2A41065E95C1}"/>
    <cellStyle name="Normal 4 2 7 3 2 3 2" xfId="13825" xr:uid="{7918389C-BEA3-4735-BD0B-C563F5855A37}"/>
    <cellStyle name="Normal 4 2 7 3 2 4" xfId="4718" xr:uid="{87F76B04-DFCE-4FBF-9284-A0A1106BDED5}"/>
    <cellStyle name="Normal 4 2 7 3 2 4 2" xfId="13826" xr:uid="{A60A85BF-6FBD-4837-974E-F768B5538C8E}"/>
    <cellStyle name="Normal 4 2 7 3 2 5" xfId="4719" xr:uid="{CD53FFCA-60A5-4770-BC09-13F89AF48757}"/>
    <cellStyle name="Normal 4 2 7 3 2 5 2" xfId="13827" xr:uid="{F10299A1-8A4C-4853-B099-1A8DB962E698}"/>
    <cellStyle name="Normal 4 2 7 3 2 6" xfId="13821" xr:uid="{420B3D42-2A1E-4875-A089-81DCE30AEAA4}"/>
    <cellStyle name="Normal 4 2 7 3 3" xfId="4720" xr:uid="{85A3A4F3-6463-4E54-98DC-C90209B858DB}"/>
    <cellStyle name="Normal 4 2 7 3 3 2" xfId="4721" xr:uid="{EC6CF531-3F15-4A94-9900-1EB71170D74E}"/>
    <cellStyle name="Normal 4 2 7 3 3 2 2" xfId="4722" xr:uid="{1436F34C-5500-418A-AE79-8CA81674C564}"/>
    <cellStyle name="Normal 4 2 7 3 3 2 2 2" xfId="13830" xr:uid="{E405BF12-9457-4CE0-BE35-1771DA7630F2}"/>
    <cellStyle name="Normal 4 2 7 3 3 2 3" xfId="4723" xr:uid="{00AF7A06-E30C-4F02-BE89-00FA2F66A245}"/>
    <cellStyle name="Normal 4 2 7 3 3 2 3 2" xfId="13831" xr:uid="{E59A4D47-2055-4A2F-80BA-8F7DBF589AAC}"/>
    <cellStyle name="Normal 4 2 7 3 3 2 4" xfId="13829" xr:uid="{BF58D149-2FE7-428E-8FBF-4784FEC7DA0D}"/>
    <cellStyle name="Normal 4 2 7 3 3 3" xfId="4724" xr:uid="{9AF46004-A72C-44B4-A107-FF4D31DA9016}"/>
    <cellStyle name="Normal 4 2 7 3 3 3 2" xfId="13832" xr:uid="{C4FF5312-30A1-40B1-85B3-EC8D632F6398}"/>
    <cellStyle name="Normal 4 2 7 3 3 4" xfId="4725" xr:uid="{A4FC0B43-4D9C-458E-B0C5-D71D3C4E30FB}"/>
    <cellStyle name="Normal 4 2 7 3 3 4 2" xfId="13833" xr:uid="{B9BF1971-5527-414C-B4DB-FADCB9DA80AF}"/>
    <cellStyle name="Normal 4 2 7 3 3 5" xfId="4726" xr:uid="{EA6A4C0C-826B-4403-865F-F7C74B3CABF0}"/>
    <cellStyle name="Normal 4 2 7 3 3 5 2" xfId="13834" xr:uid="{ADB671D3-9B68-480A-9676-58909707B070}"/>
    <cellStyle name="Normal 4 2 7 3 3 6" xfId="13828" xr:uid="{842D96EA-A9AC-460C-856A-205835A51FB3}"/>
    <cellStyle name="Normal 4 2 7 3 4" xfId="4727" xr:uid="{4E33CACC-212D-45F9-875F-96831211D1DF}"/>
    <cellStyle name="Normal 4 2 7 3 4 2" xfId="4728" xr:uid="{8F04421F-14A9-4291-BA7C-CC204929792F}"/>
    <cellStyle name="Normal 4 2 7 3 4 2 2" xfId="13836" xr:uid="{A0C8839A-5F8E-4558-8648-728FFCE80744}"/>
    <cellStyle name="Normal 4 2 7 3 4 3" xfId="4729" xr:uid="{692A4515-7F2D-46A8-BBB7-9B6C31F7112E}"/>
    <cellStyle name="Normal 4 2 7 3 4 3 2" xfId="13837" xr:uid="{8D7665B0-2986-4918-9513-136984C98884}"/>
    <cellStyle name="Normal 4 2 7 3 4 4" xfId="13835" xr:uid="{557CCCF0-9F27-4D1D-82BF-6EDFB7C81836}"/>
    <cellStyle name="Normal 4 2 7 3 5" xfId="4730" xr:uid="{88ACDD1B-3949-472F-A9AB-89F6D8CB1707}"/>
    <cellStyle name="Normal 4 2 7 3 5 2" xfId="13838" xr:uid="{97C58845-8B6A-49EA-8C7F-7488336DDEBE}"/>
    <cellStyle name="Normal 4 2 7 3 6" xfId="4731" xr:uid="{1C6FAAB9-0D84-4916-BB8C-B3ABE6432BD3}"/>
    <cellStyle name="Normal 4 2 7 3 6 2" xfId="13839" xr:uid="{1F23CD95-539A-4D9B-BBD3-0D67E614991B}"/>
    <cellStyle name="Normal 4 2 7 3 7" xfId="4732" xr:uid="{EB2342A8-6207-43E1-BD71-2C4586FA11E0}"/>
    <cellStyle name="Normal 4 2 7 3 7 2" xfId="13840" xr:uid="{7E1E26C1-E7BC-4EA7-B7CB-D8048D34A0A7}"/>
    <cellStyle name="Normal 4 2 7 3 8" xfId="13820" xr:uid="{19DEE8CA-C48E-45A2-BA5E-89FAE0B862B7}"/>
    <cellStyle name="Normal 4 2 7 4" xfId="4733" xr:uid="{A9078CD2-BBE3-45B6-9135-14EE369F3E84}"/>
    <cellStyle name="Normal 4 2 7 4 2" xfId="4734" xr:uid="{D9380AE9-6CEC-4833-97FD-A4D4A1D290DA}"/>
    <cellStyle name="Normal 4 2 7 4 2 2" xfId="4735" xr:uid="{ACF5CC9C-BC2F-4D24-B207-04797EC1E946}"/>
    <cellStyle name="Normal 4 2 7 4 2 2 2" xfId="13843" xr:uid="{01E0244A-CD7B-404F-876B-5AB38CCE4265}"/>
    <cellStyle name="Normal 4 2 7 4 2 3" xfId="4736" xr:uid="{7620BA36-7FE1-4368-9EFF-420A8106073F}"/>
    <cellStyle name="Normal 4 2 7 4 2 3 2" xfId="13844" xr:uid="{7F8B89A2-7CC1-4D91-ABE7-368E43076F03}"/>
    <cellStyle name="Normal 4 2 7 4 2 4" xfId="13842" xr:uid="{CFC2B30F-DD32-439E-A384-02D16BA27BBD}"/>
    <cellStyle name="Normal 4 2 7 4 3" xfId="4737" xr:uid="{23B2133D-3E52-4335-A7D6-B214CB0C276E}"/>
    <cellStyle name="Normal 4 2 7 4 3 2" xfId="13845" xr:uid="{8D3DF140-FBD5-4A0F-8E4F-C2DB9B565B39}"/>
    <cellStyle name="Normal 4 2 7 4 4" xfId="4738" xr:uid="{32E615C2-C282-433B-B2ED-E44BC13B6BF7}"/>
    <cellStyle name="Normal 4 2 7 4 4 2" xfId="13846" xr:uid="{A9E24D00-4CBF-42F4-A7C1-E4A732AB4782}"/>
    <cellStyle name="Normal 4 2 7 4 5" xfId="4739" xr:uid="{E0FECDAB-2D24-4FAA-8D2A-F35B07983B12}"/>
    <cellStyle name="Normal 4 2 7 4 5 2" xfId="13847" xr:uid="{8900D3D8-7999-4410-B029-3FEE0A4640DB}"/>
    <cellStyle name="Normal 4 2 7 4 6" xfId="13841" xr:uid="{7ADCC2D5-A62D-45E9-9D7E-BA7001BF2EC1}"/>
    <cellStyle name="Normal 4 2 7 5" xfId="4740" xr:uid="{E8225AF4-DF87-43AA-8B95-00D27F0B6CED}"/>
    <cellStyle name="Normal 4 2 7 5 2" xfId="4741" xr:uid="{3D30AA9C-016D-498C-ACC4-5A9E7D5D3476}"/>
    <cellStyle name="Normal 4 2 7 5 2 2" xfId="4742" xr:uid="{801E673B-A766-48E4-8E02-0C6665641F46}"/>
    <cellStyle name="Normal 4 2 7 5 2 2 2" xfId="13850" xr:uid="{7830C7C5-6C37-482B-9FBB-C06633023897}"/>
    <cellStyle name="Normal 4 2 7 5 2 3" xfId="4743" xr:uid="{D953B80C-BA20-4F51-A9F7-33545AE5BBCD}"/>
    <cellStyle name="Normal 4 2 7 5 2 3 2" xfId="13851" xr:uid="{2260A907-44B6-46A3-92EA-0A9C9EA1EA9B}"/>
    <cellStyle name="Normal 4 2 7 5 2 4" xfId="13849" xr:uid="{050FBE8B-E3BC-41C3-98FD-3016E42231C7}"/>
    <cellStyle name="Normal 4 2 7 5 3" xfId="4744" xr:uid="{5F00ED83-33F3-4854-B44E-A83FFDFD4203}"/>
    <cellStyle name="Normal 4 2 7 5 3 2" xfId="13852" xr:uid="{1B35CD88-6A50-4FF9-B02E-1A0B2B6E86C2}"/>
    <cellStyle name="Normal 4 2 7 5 4" xfId="4745" xr:uid="{9AEFFEF4-D26A-4D38-B5A7-B4207564E53F}"/>
    <cellStyle name="Normal 4 2 7 5 4 2" xfId="13853" xr:uid="{3D6A030F-63F9-4DCD-858A-F65273E43EDF}"/>
    <cellStyle name="Normal 4 2 7 5 5" xfId="4746" xr:uid="{77B3A3CD-6549-4DAA-B011-69A42EE57D57}"/>
    <cellStyle name="Normal 4 2 7 5 5 2" xfId="13854" xr:uid="{7FBA92CF-BD68-4532-8779-97B7CA79D5CC}"/>
    <cellStyle name="Normal 4 2 7 5 6" xfId="13848" xr:uid="{767CB508-EDC4-4B2E-A9C4-79CA46F0C8ED}"/>
    <cellStyle name="Normal 4 2 7 6" xfId="4747" xr:uid="{E9C93716-1053-464F-A096-52441BBC70CB}"/>
    <cellStyle name="Normal 4 2 7 6 2" xfId="4748" xr:uid="{56047A11-A023-4669-9C4D-0099C21B795E}"/>
    <cellStyle name="Normal 4 2 7 6 2 2" xfId="13856" xr:uid="{9E7205C1-A8E0-4A0D-82EA-813884FCA304}"/>
    <cellStyle name="Normal 4 2 7 6 3" xfId="4749" xr:uid="{CA24161A-EE89-467A-81E0-5FEAECAB35D2}"/>
    <cellStyle name="Normal 4 2 7 6 3 2" xfId="13857" xr:uid="{98B5B7EF-C4CB-49DE-84B2-7B5E5CB3ECA4}"/>
    <cellStyle name="Normal 4 2 7 6 4" xfId="13855" xr:uid="{A311F3D9-F82D-49D4-A7F3-16D57688B6D5}"/>
    <cellStyle name="Normal 4 2 7 7" xfId="4750" xr:uid="{D9EED284-2515-4BD6-A1B8-0EDEBE5E53AE}"/>
    <cellStyle name="Normal 4 2 7 7 2" xfId="13858" xr:uid="{27A0DC2F-B891-4A60-90B8-4B0CA8DD5F97}"/>
    <cellStyle name="Normal 4 2 7 8" xfId="4751" xr:uid="{D43FB23B-782F-46F3-A5E4-6D7F4E1EFD5D}"/>
    <cellStyle name="Normal 4 2 7 8 2" xfId="13859" xr:uid="{3BDF5A83-572C-4518-915B-B14BF300CD3B}"/>
    <cellStyle name="Normal 4 2 7 9" xfId="4752" xr:uid="{68A80760-3CDD-4CF9-8DD0-02F99F1DE64D}"/>
    <cellStyle name="Normal 4 2 7 9 2" xfId="13860" xr:uid="{73E19F0B-4546-4AC3-B9AE-0BBAED95B2D5}"/>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2 2" xfId="13865" xr:uid="{045E9294-6466-44F0-A21F-AE58D25EAC1B}"/>
    <cellStyle name="Normal 4 2 8 2 2 2 3" xfId="4758" xr:uid="{D5A869F6-4AAE-49A8-905D-68AF7C9ACB45}"/>
    <cellStyle name="Normal 4 2 8 2 2 2 3 2" xfId="13866" xr:uid="{F9CBE3DB-535E-4C66-8E77-645EBE920EC5}"/>
    <cellStyle name="Normal 4 2 8 2 2 2 4" xfId="13864" xr:uid="{613B2EBC-62ED-4559-849B-2E426196063B}"/>
    <cellStyle name="Normal 4 2 8 2 2 3" xfId="4759" xr:uid="{0A83722D-A692-41E2-84EE-27F11982CDE7}"/>
    <cellStyle name="Normal 4 2 8 2 2 3 2" xfId="13867" xr:uid="{215FF7EF-90F4-4CBA-9CC1-18C5E872AFB3}"/>
    <cellStyle name="Normal 4 2 8 2 2 4" xfId="4760" xr:uid="{10685932-F619-4BBA-ABFA-6B96225AC406}"/>
    <cellStyle name="Normal 4 2 8 2 2 4 2" xfId="13868" xr:uid="{FDE26E3F-4AEA-4B71-ADF0-1AB3C8701D9A}"/>
    <cellStyle name="Normal 4 2 8 2 2 5" xfId="4761" xr:uid="{D231C3BC-6C71-4231-B0C6-B8B82D36D5E6}"/>
    <cellStyle name="Normal 4 2 8 2 2 5 2" xfId="13869" xr:uid="{5528D050-B758-4D42-A507-9CBFA2BFC550}"/>
    <cellStyle name="Normal 4 2 8 2 2 6" xfId="13863" xr:uid="{5E3B38A1-8F18-4DE0-B53F-6B96A7F54133}"/>
    <cellStyle name="Normal 4 2 8 2 3" xfId="4762" xr:uid="{D0A57C68-C0FE-431B-A00C-B1869C34C2D9}"/>
    <cellStyle name="Normal 4 2 8 2 3 2" xfId="4763" xr:uid="{80D4C366-F69B-4111-8EED-D5E7F53F71A7}"/>
    <cellStyle name="Normal 4 2 8 2 3 2 2" xfId="4764" xr:uid="{883CE279-4C25-4F70-8EA3-C80F42D94695}"/>
    <cellStyle name="Normal 4 2 8 2 3 2 2 2" xfId="13872" xr:uid="{5CE5A2B8-5FB6-4844-8A58-433D89085F2F}"/>
    <cellStyle name="Normal 4 2 8 2 3 2 3" xfId="4765" xr:uid="{DF895952-0E38-4AAB-A6ED-5A7531F99D61}"/>
    <cellStyle name="Normal 4 2 8 2 3 2 3 2" xfId="13873" xr:uid="{4B51AD90-A276-448B-B562-99E51B3C0455}"/>
    <cellStyle name="Normal 4 2 8 2 3 2 4" xfId="13871" xr:uid="{137DC9BC-1461-4080-B726-DE0273C76A73}"/>
    <cellStyle name="Normal 4 2 8 2 3 3" xfId="4766" xr:uid="{6E44E59A-7558-459D-94E4-CEB8E1C643B3}"/>
    <cellStyle name="Normal 4 2 8 2 3 3 2" xfId="13874" xr:uid="{AC68F241-36BF-4A3F-BCE6-03CE79A445DE}"/>
    <cellStyle name="Normal 4 2 8 2 3 4" xfId="4767" xr:uid="{E80D7593-2AC2-40B5-B2F1-C07AB842DD25}"/>
    <cellStyle name="Normal 4 2 8 2 3 4 2" xfId="13875" xr:uid="{AA4ACBFB-9246-42FC-81FC-D687996B1B00}"/>
    <cellStyle name="Normal 4 2 8 2 3 5" xfId="4768" xr:uid="{A59098F5-71B6-44BE-869A-B008601568CE}"/>
    <cellStyle name="Normal 4 2 8 2 3 5 2" xfId="13876" xr:uid="{8AA0EAA9-6B4D-43C2-921A-09B7273D190B}"/>
    <cellStyle name="Normal 4 2 8 2 3 6" xfId="13870" xr:uid="{F99A4413-20AD-4A53-A2CB-58864849C882}"/>
    <cellStyle name="Normal 4 2 8 2 4" xfId="4769" xr:uid="{AFAA6E0C-F28C-4850-AC4E-43448D930723}"/>
    <cellStyle name="Normal 4 2 8 2 4 2" xfId="4770" xr:uid="{33390861-18CC-4F81-B74C-03D631157029}"/>
    <cellStyle name="Normal 4 2 8 2 4 2 2" xfId="13878" xr:uid="{466AB921-2FF2-4874-9F67-B421D77F63B4}"/>
    <cellStyle name="Normal 4 2 8 2 4 3" xfId="4771" xr:uid="{A5D855E3-FB57-4E8B-812B-63503467FC58}"/>
    <cellStyle name="Normal 4 2 8 2 4 3 2" xfId="13879" xr:uid="{FC9934DC-0383-425D-B760-31075FFA801B}"/>
    <cellStyle name="Normal 4 2 8 2 4 4" xfId="13877" xr:uid="{3EDF5AB5-07B3-407B-BF7D-5A080DFBFBF7}"/>
    <cellStyle name="Normal 4 2 8 2 5" xfId="4772" xr:uid="{67BDBE40-6438-4F5A-960C-8CDCFC603D8F}"/>
    <cellStyle name="Normal 4 2 8 2 5 2" xfId="13880" xr:uid="{36A00F6C-A133-4BAF-BE4A-55551A413887}"/>
    <cellStyle name="Normal 4 2 8 2 6" xfId="4773" xr:uid="{7B40489F-5E29-4E13-A709-52C4A9F3266F}"/>
    <cellStyle name="Normal 4 2 8 2 6 2" xfId="13881" xr:uid="{A01E646F-F769-4766-AF46-90A05B0892A8}"/>
    <cellStyle name="Normal 4 2 8 2 7" xfId="4774" xr:uid="{D9C05E4C-F3CE-4282-A6E7-51EF926ADA8F}"/>
    <cellStyle name="Normal 4 2 8 2 7 2" xfId="13882" xr:uid="{2501E427-33C1-4DAD-A9AF-BF2054B40BE0}"/>
    <cellStyle name="Normal 4 2 8 2 8" xfId="13862" xr:uid="{57801A75-AE2A-4F53-B4F5-73F5310B61E1}"/>
    <cellStyle name="Normal 4 2 8 3" xfId="4775" xr:uid="{22992D85-E42A-409E-B1A3-9178359EDAF8}"/>
    <cellStyle name="Normal 4 2 8 3 2" xfId="4776" xr:uid="{2B7FD8D3-B629-4A30-A1CF-1321F3446234}"/>
    <cellStyle name="Normal 4 2 8 3 2 2" xfId="4777" xr:uid="{A338CBD1-BA6C-4F86-BF03-28491EBC6C59}"/>
    <cellStyle name="Normal 4 2 8 3 2 2 2" xfId="13885" xr:uid="{BE07FFB7-FA30-4103-B796-EC6E501B4D03}"/>
    <cellStyle name="Normal 4 2 8 3 2 3" xfId="4778" xr:uid="{56C8C98C-EA9A-4277-BFDC-971C7BBC335A}"/>
    <cellStyle name="Normal 4 2 8 3 2 3 2" xfId="13886" xr:uid="{3E918971-FDDD-42D0-B318-6D2E8A7E0D3C}"/>
    <cellStyle name="Normal 4 2 8 3 2 4" xfId="13884" xr:uid="{03E7C4FE-D667-4BDF-A50E-010DAA27EE70}"/>
    <cellStyle name="Normal 4 2 8 3 3" xfId="4779" xr:uid="{B90BF90C-94EF-493F-9BF7-000EC2E6DC88}"/>
    <cellStyle name="Normal 4 2 8 3 3 2" xfId="13887" xr:uid="{4A859C1B-366A-478C-A25D-B73ADB78103D}"/>
    <cellStyle name="Normal 4 2 8 3 4" xfId="4780" xr:uid="{A74B43ED-6324-4EE7-8BCD-61B1DB1F3C78}"/>
    <cellStyle name="Normal 4 2 8 3 4 2" xfId="13888" xr:uid="{3E648D0B-63A1-428D-A69B-E74BDBD50FC4}"/>
    <cellStyle name="Normal 4 2 8 3 5" xfId="4781" xr:uid="{AC3B4FA6-1EAC-441C-A1C4-9E9379982375}"/>
    <cellStyle name="Normal 4 2 8 3 5 2" xfId="13889" xr:uid="{01CE4A6C-46BC-45C0-BD20-6DC4ED064C8A}"/>
    <cellStyle name="Normal 4 2 8 3 6" xfId="13883" xr:uid="{E9EA1B78-E46B-48DF-ACB7-A91EE3A36580}"/>
    <cellStyle name="Normal 4 2 8 4" xfId="4782" xr:uid="{7C6F8F1A-CAD7-4B47-9142-5C42991C7DA3}"/>
    <cellStyle name="Normal 4 2 8 4 2" xfId="4783" xr:uid="{64754507-E99C-46B7-B109-B7E880EEBBCA}"/>
    <cellStyle name="Normal 4 2 8 4 2 2" xfId="4784" xr:uid="{91E25EDF-7E5B-4015-B0B4-95422F75593C}"/>
    <cellStyle name="Normal 4 2 8 4 2 2 2" xfId="13892" xr:uid="{A0DC842C-36C7-4541-8D8C-28A76E5E061B}"/>
    <cellStyle name="Normal 4 2 8 4 2 3" xfId="4785" xr:uid="{1614884D-95BB-4858-958E-C0E94DA9CD94}"/>
    <cellStyle name="Normal 4 2 8 4 2 3 2" xfId="13893" xr:uid="{508DFE9B-9974-42EB-9987-661407D83E89}"/>
    <cellStyle name="Normal 4 2 8 4 2 4" xfId="13891" xr:uid="{8DA8CCBA-F8BF-408A-A332-9BCF3D73D279}"/>
    <cellStyle name="Normal 4 2 8 4 3" xfId="4786" xr:uid="{269E4BFE-F9F9-4665-9B3B-BDE73DBD2283}"/>
    <cellStyle name="Normal 4 2 8 4 3 2" xfId="13894" xr:uid="{7D1A7C03-E376-488F-BC05-ECABF86C9E18}"/>
    <cellStyle name="Normal 4 2 8 4 4" xfId="4787" xr:uid="{DB397F7D-1A83-4632-9E2F-CEBC749AFDA0}"/>
    <cellStyle name="Normal 4 2 8 4 4 2" xfId="13895" xr:uid="{34162436-6E64-4365-8ED1-38E895EC6F32}"/>
    <cellStyle name="Normal 4 2 8 4 5" xfId="4788" xr:uid="{480A6D4A-E941-4CBB-9D30-02C6C3560A06}"/>
    <cellStyle name="Normal 4 2 8 4 5 2" xfId="13896" xr:uid="{3DA91293-42A9-4C68-9993-95304DA5213A}"/>
    <cellStyle name="Normal 4 2 8 4 6" xfId="13890" xr:uid="{5AA9CED1-1105-437A-803D-B3BDC626CB45}"/>
    <cellStyle name="Normal 4 2 8 5" xfId="4789" xr:uid="{C5B1EB97-1680-4764-A0FD-861A0B08E68D}"/>
    <cellStyle name="Normal 4 2 8 5 2" xfId="4790" xr:uid="{87018B45-B2B0-47A6-AB10-74733DBD4800}"/>
    <cellStyle name="Normal 4 2 8 5 2 2" xfId="13898" xr:uid="{BAF37D88-749C-42EA-9D8A-2DE30879B0BE}"/>
    <cellStyle name="Normal 4 2 8 5 3" xfId="4791" xr:uid="{70CD6BB6-B63C-4D02-9995-6947A030A83A}"/>
    <cellStyle name="Normal 4 2 8 5 3 2" xfId="13899" xr:uid="{FF2AD086-5CAB-4F05-89C0-FD10F50A494E}"/>
    <cellStyle name="Normal 4 2 8 5 4" xfId="13897" xr:uid="{108C4B97-13B8-45DE-B79A-80B49F21EAEA}"/>
    <cellStyle name="Normal 4 2 8 6" xfId="4792" xr:uid="{1E9FFFFD-B11D-451D-A662-D753FEA4F182}"/>
    <cellStyle name="Normal 4 2 8 6 2" xfId="13900" xr:uid="{061FF918-4407-405E-B399-C577FDFDCD7F}"/>
    <cellStyle name="Normal 4 2 8 7" xfId="4793" xr:uid="{070216F6-10DF-4C61-BA7A-2DCE0EBBF357}"/>
    <cellStyle name="Normal 4 2 8 7 2" xfId="13901" xr:uid="{C0B974B3-2EFE-493B-9EFE-B61F36972310}"/>
    <cellStyle name="Normal 4 2 8 8" xfId="4794" xr:uid="{78333BBA-0539-4ADA-A500-32BAAB0979D1}"/>
    <cellStyle name="Normal 4 2 8 8 2" xfId="13902" xr:uid="{AB188FDD-154C-4657-BEBF-9DF3636CE15B}"/>
    <cellStyle name="Normal 4 2 8 9" xfId="13861" xr:uid="{00ECC0A2-A449-477B-88E0-56CF9BDEF3E2}"/>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2 2" xfId="13906" xr:uid="{B1C598BD-5CD2-43DD-B97F-145212CCE7BC}"/>
    <cellStyle name="Normal 4 2 9 2 2 3" xfId="4799" xr:uid="{1A0CE9FD-3904-49ED-A363-56F8F3F073CF}"/>
    <cellStyle name="Normal 4 2 9 2 2 3 2" xfId="13907" xr:uid="{763F6310-A102-4D0C-8373-09EFE0F039A3}"/>
    <cellStyle name="Normal 4 2 9 2 2 4" xfId="13905" xr:uid="{2D9AAFB9-71C2-435B-A0C7-665788690476}"/>
    <cellStyle name="Normal 4 2 9 2 3" xfId="4800" xr:uid="{D91841D8-FB9D-43EF-93B8-E2282F912FE3}"/>
    <cellStyle name="Normal 4 2 9 2 3 2" xfId="13908" xr:uid="{E9F19912-C0F9-4CE9-9514-B3112E5E40E4}"/>
    <cellStyle name="Normal 4 2 9 2 4" xfId="4801" xr:uid="{B89C8053-302F-49A6-ADC0-68C77C182800}"/>
    <cellStyle name="Normal 4 2 9 2 4 2" xfId="13909" xr:uid="{E5DF39AA-EB1F-456E-BE08-36FEFC112A00}"/>
    <cellStyle name="Normal 4 2 9 2 5" xfId="4802" xr:uid="{2F91FDCF-B724-4DB1-8120-1584B775FBBC}"/>
    <cellStyle name="Normal 4 2 9 2 5 2" xfId="13910" xr:uid="{BEC25380-7E01-4CE7-8A26-7B6F58527705}"/>
    <cellStyle name="Normal 4 2 9 2 6" xfId="13904" xr:uid="{4B22F0F8-50B3-4F27-ADCA-9D89C0532C9A}"/>
    <cellStyle name="Normal 4 2 9 3" xfId="4803" xr:uid="{63932EEA-D4B6-41B7-A797-E83BE1C12424}"/>
    <cellStyle name="Normal 4 2 9 3 2" xfId="4804" xr:uid="{E6568307-2958-401B-B874-3F3156EFCC2F}"/>
    <cellStyle name="Normal 4 2 9 3 2 2" xfId="4805" xr:uid="{24B2E46D-386E-4675-9C26-A336D8C36148}"/>
    <cellStyle name="Normal 4 2 9 3 2 2 2" xfId="13913" xr:uid="{397BE97D-2D4B-4888-BD06-B8A77E8BA806}"/>
    <cellStyle name="Normal 4 2 9 3 2 3" xfId="4806" xr:uid="{A3920CB0-EA2A-465C-A28E-167ACB9405BD}"/>
    <cellStyle name="Normal 4 2 9 3 2 3 2" xfId="13914" xr:uid="{FB141AD5-9007-439F-A997-B6FC9B9803AC}"/>
    <cellStyle name="Normal 4 2 9 3 2 4" xfId="13912" xr:uid="{08F94E11-0C6F-4ECD-91A0-EFB2AE39366E}"/>
    <cellStyle name="Normal 4 2 9 3 3" xfId="4807" xr:uid="{4899A0EF-4E84-45E7-B959-6D5D9CF97A1A}"/>
    <cellStyle name="Normal 4 2 9 3 3 2" xfId="13915" xr:uid="{3AADCA34-47D2-49AB-A238-281D9FDE8DC8}"/>
    <cellStyle name="Normal 4 2 9 3 4" xfId="4808" xr:uid="{2B35B40D-D9D5-45BB-BF0B-36BDB2D544BB}"/>
    <cellStyle name="Normal 4 2 9 3 4 2" xfId="13916" xr:uid="{054774E3-7517-403F-A1A2-CFB78E9E676B}"/>
    <cellStyle name="Normal 4 2 9 3 5" xfId="4809" xr:uid="{7C8CD7DE-1DF3-4B83-AC82-E4FAFF0C32E0}"/>
    <cellStyle name="Normal 4 2 9 3 5 2" xfId="13917" xr:uid="{8C881B4F-2508-4728-AFD2-3BD0ADA9D8AF}"/>
    <cellStyle name="Normal 4 2 9 3 6" xfId="13911" xr:uid="{C8A7E78B-D675-49AE-8602-C9CFF74C3702}"/>
    <cellStyle name="Normal 4 2 9 4" xfId="4810" xr:uid="{3A61F85C-C5E6-4D65-A522-1FAE0AE7BC28}"/>
    <cellStyle name="Normal 4 2 9 4 2" xfId="4811" xr:uid="{236275F1-AF07-4045-982B-650CB0E4D116}"/>
    <cellStyle name="Normal 4 2 9 4 2 2" xfId="13919" xr:uid="{C4DBC14C-358B-455C-B9AC-E73072D58A89}"/>
    <cellStyle name="Normal 4 2 9 4 3" xfId="4812" xr:uid="{57A22D58-E75A-4C60-95DA-87B3A9343EC6}"/>
    <cellStyle name="Normal 4 2 9 4 3 2" xfId="13920" xr:uid="{99B6DEEA-8B8B-4D0E-83CC-D8A308E5A6A0}"/>
    <cellStyle name="Normal 4 2 9 4 4" xfId="13918" xr:uid="{952771C3-52D8-4991-8C0E-F69CAA4284C6}"/>
    <cellStyle name="Normal 4 2 9 5" xfId="4813" xr:uid="{4991BAE7-EB07-4009-B4D3-BFC489BD8E68}"/>
    <cellStyle name="Normal 4 2 9 5 2" xfId="13921" xr:uid="{B6C00B2C-E9D6-4585-B077-9C3571240FF5}"/>
    <cellStyle name="Normal 4 2 9 6" xfId="4814" xr:uid="{6290DF29-E3CF-48E3-BF5E-074C0E25E1B5}"/>
    <cellStyle name="Normal 4 2 9 6 2" xfId="13922" xr:uid="{D07592A8-06A5-4B05-8F4B-D17FB3D02371}"/>
    <cellStyle name="Normal 4 2 9 7" xfId="4815" xr:uid="{2F2F60FD-08DE-4FFD-AC0A-7AF54276ED91}"/>
    <cellStyle name="Normal 4 2 9 7 2" xfId="13923" xr:uid="{90C8D0BF-86DC-4589-A8AE-463F1ACBC529}"/>
    <cellStyle name="Normal 4 2 9 8" xfId="13903" xr:uid="{5ECD29F2-5ECC-4B89-B78E-9F79CB48F34D}"/>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2 2" xfId="13927" xr:uid="{C865B281-005C-463E-BC03-27260825D1B3}"/>
    <cellStyle name="Normal 4 3 10 2 2 3" xfId="4820" xr:uid="{31759DFE-1C24-47BB-A145-BF363DAE2FF5}"/>
    <cellStyle name="Normal 4 3 10 2 2 3 2" xfId="13928" xr:uid="{7C2DA525-BD38-43E7-992B-84C077489306}"/>
    <cellStyle name="Normal 4 3 10 2 2 4" xfId="13926" xr:uid="{9AA15CCB-8D32-44EE-BE16-24E6CFF0D654}"/>
    <cellStyle name="Normal 4 3 10 2 3" xfId="4821" xr:uid="{62B117CD-15DF-4FC3-B484-6173313E95F8}"/>
    <cellStyle name="Normal 4 3 10 2 3 2" xfId="13929" xr:uid="{A58BF69C-4662-4955-B70F-34E621AF1FA6}"/>
    <cellStyle name="Normal 4 3 10 2 4" xfId="4822" xr:uid="{BED9993B-0934-4BEB-A255-FDC3486F4E0A}"/>
    <cellStyle name="Normal 4 3 10 2 4 2" xfId="13930" xr:uid="{464B0E15-7C61-476A-A7BB-0BA000E67834}"/>
    <cellStyle name="Normal 4 3 10 2 5" xfId="4823" xr:uid="{33186107-F9FA-4701-B629-F3556326442A}"/>
    <cellStyle name="Normal 4 3 10 2 5 2" xfId="13931" xr:uid="{B2BF44EB-5FFB-4FBC-B627-C6AF023717D6}"/>
    <cellStyle name="Normal 4 3 10 2 6" xfId="13925" xr:uid="{421CA282-D4A6-4B93-B950-60A2F8DE088F}"/>
    <cellStyle name="Normal 4 3 10 3" xfId="4824" xr:uid="{5962E1D9-2E9E-45CB-BD8C-93847538AE91}"/>
    <cellStyle name="Normal 4 3 10 3 2" xfId="4825" xr:uid="{675496F2-69F5-498D-8AAD-238D0081B965}"/>
    <cellStyle name="Normal 4 3 10 3 2 2" xfId="4826" xr:uid="{078754BE-575F-49CA-B829-7316631C496B}"/>
    <cellStyle name="Normal 4 3 10 3 2 2 2" xfId="13934" xr:uid="{0763CD82-2D67-45E4-9141-D3B695B97E43}"/>
    <cellStyle name="Normal 4 3 10 3 2 3" xfId="4827" xr:uid="{195B65D3-855E-4C15-8CBE-07D563C0AD7B}"/>
    <cellStyle name="Normal 4 3 10 3 2 3 2" xfId="13935" xr:uid="{79FA3BC5-B958-489A-899E-E2FF237DE8C1}"/>
    <cellStyle name="Normal 4 3 10 3 2 4" xfId="13933" xr:uid="{BD8B6750-6CEF-4DE6-8A69-40A3812AD8FE}"/>
    <cellStyle name="Normal 4 3 10 3 3" xfId="4828" xr:uid="{51BAC71F-075A-45F4-9C8A-AF6FF8E4537A}"/>
    <cellStyle name="Normal 4 3 10 3 3 2" xfId="13936" xr:uid="{F5DBCEF6-D6B7-4DE4-B5A9-3AED0B28D606}"/>
    <cellStyle name="Normal 4 3 10 3 4" xfId="4829" xr:uid="{DB74DD4A-278B-4B00-A9D8-14385D8DF8CF}"/>
    <cellStyle name="Normal 4 3 10 3 4 2" xfId="13937" xr:uid="{7B98315D-600E-43D6-B25B-F8A5F501E6F9}"/>
    <cellStyle name="Normal 4 3 10 3 5" xfId="4830" xr:uid="{F4104A78-95AA-469A-821E-14A85F9A55E9}"/>
    <cellStyle name="Normal 4 3 10 3 5 2" xfId="13938" xr:uid="{07EA5F47-531B-4397-B634-F25A9FD40F5C}"/>
    <cellStyle name="Normal 4 3 10 3 6" xfId="13932" xr:uid="{994A64CB-DD9C-489B-BF15-04FE4D968D0D}"/>
    <cellStyle name="Normal 4 3 10 4" xfId="4831" xr:uid="{47EE5B1F-1EDE-4257-B9DC-3D8054E172E1}"/>
    <cellStyle name="Normal 4 3 10 4 2" xfId="4832" xr:uid="{819192C1-E94E-430A-9AF0-B367C7441E8A}"/>
    <cellStyle name="Normal 4 3 10 4 2 2" xfId="13940" xr:uid="{8D67A92B-3802-4039-8856-2F2ACA9AB7DA}"/>
    <cellStyle name="Normal 4 3 10 4 3" xfId="4833" xr:uid="{44A97A84-1139-49C3-9731-79B199CDDF4C}"/>
    <cellStyle name="Normal 4 3 10 4 3 2" xfId="13941" xr:uid="{9A2F27FB-9A6D-4192-A4EE-BD0681A3FC52}"/>
    <cellStyle name="Normal 4 3 10 4 4" xfId="13939" xr:uid="{44E5DDBA-442B-415F-85CC-2E87131B6DB0}"/>
    <cellStyle name="Normal 4 3 10 5" xfId="4834" xr:uid="{11825A49-6757-4ECD-B159-792346713888}"/>
    <cellStyle name="Normal 4 3 10 5 2" xfId="13942" xr:uid="{3CF45E9B-08D9-4266-A9FD-90F030C5643C}"/>
    <cellStyle name="Normal 4 3 10 6" xfId="4835" xr:uid="{CE13B169-24A2-492E-9F36-DA5C90FDCDBD}"/>
    <cellStyle name="Normal 4 3 10 6 2" xfId="13943" xr:uid="{64F987E2-D1FD-4F26-A055-72AF75BCE45B}"/>
    <cellStyle name="Normal 4 3 10 7" xfId="4836" xr:uid="{5B006481-B1C1-4BF3-B35A-8608EF7032F6}"/>
    <cellStyle name="Normal 4 3 10 7 2" xfId="13944" xr:uid="{1BAE5275-83A1-47AF-BE4C-D23222236869}"/>
    <cellStyle name="Normal 4 3 10 8" xfId="13924" xr:uid="{1C4BAE1C-55CE-4468-93F4-D9739CCF0360}"/>
    <cellStyle name="Normal 4 3 11" xfId="4837" xr:uid="{E2FF6BD4-3511-4FE8-B287-4C9F920117D9}"/>
    <cellStyle name="Normal 4 3 11 2" xfId="4838" xr:uid="{EFFE51A2-2D5A-4B54-9257-DEEE2DF8A758}"/>
    <cellStyle name="Normal 4 3 11 2 2" xfId="4839" xr:uid="{E19093CF-9FDF-44BC-AA3B-E09B33C518DD}"/>
    <cellStyle name="Normal 4 3 11 2 2 2" xfId="13947" xr:uid="{56A98080-559F-4765-8444-B6233CA5BB2E}"/>
    <cellStyle name="Normal 4 3 11 2 3" xfId="4840" xr:uid="{1B1C25D2-1E00-483A-A194-38B2221EAC1E}"/>
    <cellStyle name="Normal 4 3 11 2 3 2" xfId="13948" xr:uid="{ABED24A9-0C01-417A-9C30-F75AFA1BFB08}"/>
    <cellStyle name="Normal 4 3 11 2 4" xfId="13946" xr:uid="{5A04CF6B-B7EC-4734-BA96-F6166C7B3985}"/>
    <cellStyle name="Normal 4 3 11 3" xfId="4841" xr:uid="{7F186DF3-3184-466D-B1F4-8E8A19BE2321}"/>
    <cellStyle name="Normal 4 3 11 3 2" xfId="13949" xr:uid="{6A27EC63-5BD4-4C08-B506-9F96F01F8E7D}"/>
    <cellStyle name="Normal 4 3 11 4" xfId="4842" xr:uid="{858C744E-03F3-43F9-8E8D-F75A409DC180}"/>
    <cellStyle name="Normal 4 3 11 4 2" xfId="13950" xr:uid="{C058BF8A-CA78-4F78-A81D-8FCAA09B17E8}"/>
    <cellStyle name="Normal 4 3 11 5" xfId="4843" xr:uid="{1B0AFF0C-7D1A-4238-9D23-322C22067A89}"/>
    <cellStyle name="Normal 4 3 11 5 2" xfId="13951" xr:uid="{F847DCA6-27B8-4C6A-A5CA-6D6DE8DF98A7}"/>
    <cellStyle name="Normal 4 3 11 6" xfId="13945" xr:uid="{E734E7AA-62F5-40F3-8A6A-87B173BAC4DE}"/>
    <cellStyle name="Normal 4 3 12" xfId="4844" xr:uid="{19587FEA-B2B3-4E0A-BA70-EDA3BD2882D1}"/>
    <cellStyle name="Normal 4 3 12 2" xfId="4845" xr:uid="{37D86E1E-CD45-462C-A7FC-5854BE196687}"/>
    <cellStyle name="Normal 4 3 12 2 2" xfId="4846" xr:uid="{5D93D691-BB91-4E61-AA45-211C8E1FB108}"/>
    <cellStyle name="Normal 4 3 12 2 2 2" xfId="13954" xr:uid="{3FED324A-5178-4970-A115-6C608A9B3AB0}"/>
    <cellStyle name="Normal 4 3 12 2 3" xfId="4847" xr:uid="{CD4C2649-3F0F-42BA-84A0-60AAD0115A92}"/>
    <cellStyle name="Normal 4 3 12 2 3 2" xfId="13955" xr:uid="{64FF9875-C824-47A9-BE9E-DFBC7F5A2FCE}"/>
    <cellStyle name="Normal 4 3 12 2 4" xfId="13953" xr:uid="{D6F8FEFF-E2CF-456E-BF23-8C2F77B37416}"/>
    <cellStyle name="Normal 4 3 12 3" xfId="4848" xr:uid="{872F180B-6797-4D55-B166-1947E1B6B59F}"/>
    <cellStyle name="Normal 4 3 12 3 2" xfId="13956" xr:uid="{C997DB91-DFAD-4F5C-994A-8BC17DD7B7D8}"/>
    <cellStyle name="Normal 4 3 12 4" xfId="4849" xr:uid="{619168FF-B9C2-42B2-9343-18C31EDA65DF}"/>
    <cellStyle name="Normal 4 3 12 4 2" xfId="13957" xr:uid="{57C66A08-3082-4B11-90BD-159E749CE5D3}"/>
    <cellStyle name="Normal 4 3 12 5" xfId="4850" xr:uid="{406F4AD2-A5AA-47F5-B402-2A681DADA091}"/>
    <cellStyle name="Normal 4 3 12 5 2" xfId="13958" xr:uid="{4441F6C7-0C08-4490-AD5A-946FD3DBE08E}"/>
    <cellStyle name="Normal 4 3 12 6" xfId="13952" xr:uid="{8F8BCE59-87A3-4498-B2E1-896573367595}"/>
    <cellStyle name="Normal 4 3 13" xfId="4851" xr:uid="{9EC2ACB9-DED6-49F9-9066-E50F9D0C5741}"/>
    <cellStyle name="Normal 4 3 13 2" xfId="4852" xr:uid="{F2F28071-9A56-4257-BE13-FC86C812B41D}"/>
    <cellStyle name="Normal 4 3 13 2 2" xfId="13960" xr:uid="{A8BF3186-0580-4513-90D0-94258D3559A4}"/>
    <cellStyle name="Normal 4 3 13 3" xfId="4853" xr:uid="{59853515-2F6C-4713-9D3F-A06285E196D2}"/>
    <cellStyle name="Normal 4 3 13 3 2" xfId="13961" xr:uid="{86284A0C-C16F-4FA8-A773-2A9EDFD2130A}"/>
    <cellStyle name="Normal 4 3 13 4" xfId="13959" xr:uid="{90D76478-B0E3-4F95-A985-EFDE68464EB6}"/>
    <cellStyle name="Normal 4 3 14" xfId="4854" xr:uid="{6E9F5608-4C8D-4D42-ABF8-F38371226B51}"/>
    <cellStyle name="Normal 4 3 14 2" xfId="13962" xr:uid="{EC83AAC2-AF4C-4A1B-83D1-DCCE7EE91E88}"/>
    <cellStyle name="Normal 4 3 15" xfId="4855" xr:uid="{C6FF95C9-03B6-41C1-872C-A26C454782BE}"/>
    <cellStyle name="Normal 4 3 15 2" xfId="13963" xr:uid="{069E8E63-CF84-46E8-AA51-07B325CE4C35}"/>
    <cellStyle name="Normal 4 3 16" xfId="4856" xr:uid="{889A6DFB-F5D6-4001-A354-9CDF598F090E}"/>
    <cellStyle name="Normal 4 3 16 2" xfId="13964" xr:uid="{56FB4555-4DF9-419E-A4EE-BAE124C7EA0F}"/>
    <cellStyle name="Normal 4 3 17" xfId="1124" xr:uid="{50652AEB-91D3-41A0-991B-7D16759E3951}"/>
    <cellStyle name="Normal 4 3 18" xfId="10502" xr:uid="{585AB14F-687B-4C58-A389-8FEC693CD142}"/>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2 2" xfId="13967" xr:uid="{7392B328-C35E-4E7A-AB44-09558215BBDB}"/>
    <cellStyle name="Normal 4 3 2 10 2 3" xfId="4860" xr:uid="{CC78BC84-42F5-4607-8C65-E198574DACEF}"/>
    <cellStyle name="Normal 4 3 2 10 2 3 2" xfId="13968" xr:uid="{0B5DC17D-7692-48B9-922D-2050F0B79D27}"/>
    <cellStyle name="Normal 4 3 2 10 2 4" xfId="13966" xr:uid="{E180AFC2-349C-43AB-9F8A-E21DB9840136}"/>
    <cellStyle name="Normal 4 3 2 10 3" xfId="4861" xr:uid="{CFF8589C-AAE9-4266-9656-873499BEB121}"/>
    <cellStyle name="Normal 4 3 2 10 3 2" xfId="13969" xr:uid="{0F160104-44AD-47CA-9C9D-573972F264B7}"/>
    <cellStyle name="Normal 4 3 2 10 4" xfId="4862" xr:uid="{4238E01C-CDFF-4AC9-9D31-89436F3FBB27}"/>
    <cellStyle name="Normal 4 3 2 10 4 2" xfId="13970" xr:uid="{5DC4B66B-CE6A-42F7-8FA3-7C65288913FE}"/>
    <cellStyle name="Normal 4 3 2 10 5" xfId="4863" xr:uid="{2B3B69C4-A010-4904-A23E-707EDAD02856}"/>
    <cellStyle name="Normal 4 3 2 10 5 2" xfId="13971" xr:uid="{FE245B25-5CFC-4B9D-81ED-BD2944533D16}"/>
    <cellStyle name="Normal 4 3 2 10 6" xfId="13965" xr:uid="{251DB49A-4C7B-4E1D-AA46-8488EA263CE2}"/>
    <cellStyle name="Normal 4 3 2 11" xfId="4864" xr:uid="{42B7E641-2090-49B4-8F64-9FA3BED1A450}"/>
    <cellStyle name="Normal 4 3 2 11 2" xfId="4865" xr:uid="{E9D01308-C25E-4E32-B403-23AD88CEC802}"/>
    <cellStyle name="Normal 4 3 2 11 2 2" xfId="13973" xr:uid="{25FF4F2C-6887-46B4-8CFF-2759161D8FBA}"/>
    <cellStyle name="Normal 4 3 2 11 3" xfId="4866" xr:uid="{5AEC182A-AC75-4770-96F5-C2B4DD909133}"/>
    <cellStyle name="Normal 4 3 2 11 3 2" xfId="13974" xr:uid="{E8F456A8-A998-4742-92DE-77600BE47049}"/>
    <cellStyle name="Normal 4 3 2 11 4" xfId="13972" xr:uid="{225E1799-D8D1-4105-B339-2B938BE74293}"/>
    <cellStyle name="Normal 4 3 2 12" xfId="4867" xr:uid="{DC014E77-97DC-4AD6-82F3-F31EF83F1FCE}"/>
    <cellStyle name="Normal 4 3 2 12 2" xfId="13975" xr:uid="{C360CCA5-49C3-410D-8600-114953DD3C80}"/>
    <cellStyle name="Normal 4 3 2 13" xfId="4868" xr:uid="{1C12522C-8010-4FF7-970A-73770F0F1433}"/>
    <cellStyle name="Normal 4 3 2 13 2" xfId="13976" xr:uid="{95893212-77A9-471D-8E45-E132036ABA13}"/>
    <cellStyle name="Normal 4 3 2 14" xfId="4869" xr:uid="{EF0E20AD-09A0-43E8-9B9F-93AC011210C5}"/>
    <cellStyle name="Normal 4 3 2 14 2" xfId="13977" xr:uid="{A66941B5-4544-4F55-A74D-432E4734E630}"/>
    <cellStyle name="Normal 4 3 2 2" xfId="4870" xr:uid="{08F15E9A-05EA-4DEA-BC03-B38C5921BF21}"/>
    <cellStyle name="Normal 4 3 2 2 10" xfId="4871" xr:uid="{D7D752D4-2308-45CC-B7B5-9FEB582E136E}"/>
    <cellStyle name="Normal 4 3 2 2 10 2" xfId="4872" xr:uid="{BC93C9AE-305E-46C3-830E-94DEC1B99DCD}"/>
    <cellStyle name="Normal 4 3 2 2 10 2 2" xfId="13980" xr:uid="{D264C026-E9DF-4021-9EEC-9B147AEBF9CE}"/>
    <cellStyle name="Normal 4 3 2 2 10 3" xfId="4873" xr:uid="{98FDDE14-8532-46A7-9FD3-2A7928966FAB}"/>
    <cellStyle name="Normal 4 3 2 2 10 3 2" xfId="13981" xr:uid="{F856C89C-55A8-4905-942B-B21FFA36E1AF}"/>
    <cellStyle name="Normal 4 3 2 2 10 4" xfId="13979" xr:uid="{10787FEC-2C34-4233-B8D1-7B473EC30581}"/>
    <cellStyle name="Normal 4 3 2 2 11" xfId="4874" xr:uid="{B01BCE88-4084-49C1-8C7C-C2DA264B93E0}"/>
    <cellStyle name="Normal 4 3 2 2 11 2" xfId="13982" xr:uid="{AC9B0852-CC7E-4289-A439-748846DC45CD}"/>
    <cellStyle name="Normal 4 3 2 2 12" xfId="4875" xr:uid="{BC3F4DBA-4B2E-4578-AE17-AAEB7D2F8543}"/>
    <cellStyle name="Normal 4 3 2 2 12 2" xfId="13983" xr:uid="{1E58BEF2-9C00-4159-AB03-69A8B7B31C72}"/>
    <cellStyle name="Normal 4 3 2 2 13" xfId="4876" xr:uid="{031C1A8E-F30E-4DB9-A191-DDF4CAF7921C}"/>
    <cellStyle name="Normal 4 3 2 2 13 2" xfId="13984" xr:uid="{16787557-54F6-4043-819F-C8F8CF02808E}"/>
    <cellStyle name="Normal 4 3 2 2 14" xfId="13978" xr:uid="{1EDB51CD-F532-46D7-ADB6-8A1D8A81BADB}"/>
    <cellStyle name="Normal 4 3 2 2 2" xfId="4877" xr:uid="{BC4AE759-5C3E-4612-ADF9-3245AD710963}"/>
    <cellStyle name="Normal 4 3 2 2 2 10" xfId="13985" xr:uid="{F18E6547-9A43-4E1F-AF4B-6B8CF9668946}"/>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2 2" xfId="13990" xr:uid="{A76E916C-49D4-47C5-BC62-16D3FA74CD5C}"/>
    <cellStyle name="Normal 4 3 2 2 2 2 2 2 2 3" xfId="4883" xr:uid="{A8937699-AF49-4A1B-951F-658E9D784303}"/>
    <cellStyle name="Normal 4 3 2 2 2 2 2 2 2 3 2" xfId="13991" xr:uid="{495AF591-0C2D-4D42-B1A0-8867142E078B}"/>
    <cellStyle name="Normal 4 3 2 2 2 2 2 2 2 4" xfId="13989" xr:uid="{2F22B46F-2977-4868-8EAC-4F1BA42D7E96}"/>
    <cellStyle name="Normal 4 3 2 2 2 2 2 2 3" xfId="4884" xr:uid="{374405FB-1CE5-4DF8-BC83-1B875C6B4D70}"/>
    <cellStyle name="Normal 4 3 2 2 2 2 2 2 3 2" xfId="13992" xr:uid="{A0BBA1A8-2D36-440A-8D08-B478D0FB970B}"/>
    <cellStyle name="Normal 4 3 2 2 2 2 2 2 4" xfId="4885" xr:uid="{D0859170-9FF9-409E-8BEF-FCBAC00B06B6}"/>
    <cellStyle name="Normal 4 3 2 2 2 2 2 2 4 2" xfId="13993" xr:uid="{AB3F5C6A-A46C-4196-B3D8-B865AE7EE71E}"/>
    <cellStyle name="Normal 4 3 2 2 2 2 2 2 5" xfId="4886" xr:uid="{07BB3E56-89F8-4B96-B46C-A2C59B6DA120}"/>
    <cellStyle name="Normal 4 3 2 2 2 2 2 2 5 2" xfId="13994" xr:uid="{8B5219B0-1BB6-4BE4-AC75-E413710B1F06}"/>
    <cellStyle name="Normal 4 3 2 2 2 2 2 2 6" xfId="13988" xr:uid="{21F46C4D-5309-4D33-89D6-0DD51BEF85A3}"/>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2 2" xfId="13997" xr:uid="{DEE0ADDD-6C1F-4555-B50F-DD6F8F7A899B}"/>
    <cellStyle name="Normal 4 3 2 2 2 2 2 3 2 3" xfId="4890" xr:uid="{316D2C9C-0D4F-4167-8A05-E5D056A46779}"/>
    <cellStyle name="Normal 4 3 2 2 2 2 2 3 2 3 2" xfId="13998" xr:uid="{FDE7A922-9EE6-4DF8-B6C8-7D6FECC7A39F}"/>
    <cellStyle name="Normal 4 3 2 2 2 2 2 3 2 4" xfId="13996" xr:uid="{C4435387-E52D-4A1E-AEC8-6FF65E4F81B4}"/>
    <cellStyle name="Normal 4 3 2 2 2 2 2 3 3" xfId="4891" xr:uid="{06950D15-BDF5-41BD-9789-A2FDAF5390EC}"/>
    <cellStyle name="Normal 4 3 2 2 2 2 2 3 3 2" xfId="13999" xr:uid="{A9B3FDD2-AB5B-4205-9BB3-009BACDCC0E5}"/>
    <cellStyle name="Normal 4 3 2 2 2 2 2 3 4" xfId="4892" xr:uid="{ACDC4745-6E4F-464C-8C16-C1A32D286534}"/>
    <cellStyle name="Normal 4 3 2 2 2 2 2 3 4 2" xfId="14000" xr:uid="{F90A0D95-6BC5-4DF5-AFD0-C9A39A2F0E3F}"/>
    <cellStyle name="Normal 4 3 2 2 2 2 2 3 5" xfId="4893" xr:uid="{01DDE1B9-4CDB-47F2-A4EB-C2D65B2D5D08}"/>
    <cellStyle name="Normal 4 3 2 2 2 2 2 3 5 2" xfId="14001" xr:uid="{64781C3B-6326-47FF-9A85-A57E8701D151}"/>
    <cellStyle name="Normal 4 3 2 2 2 2 2 3 6" xfId="13995" xr:uid="{AB0A60D2-29C9-41F9-A4C8-54697CA8D743}"/>
    <cellStyle name="Normal 4 3 2 2 2 2 2 4" xfId="4894" xr:uid="{B43CE6F1-B4CE-499D-8E06-8FD83DC1A411}"/>
    <cellStyle name="Normal 4 3 2 2 2 2 2 4 2" xfId="4895" xr:uid="{E1C33DC1-BFAD-49A4-8AEB-C7C9B099CB1F}"/>
    <cellStyle name="Normal 4 3 2 2 2 2 2 4 2 2" xfId="14003" xr:uid="{C6ED3831-D22E-419D-8F8C-30FFE6380952}"/>
    <cellStyle name="Normal 4 3 2 2 2 2 2 4 3" xfId="4896" xr:uid="{334221F7-E2FC-40ED-AA02-3D004980FB58}"/>
    <cellStyle name="Normal 4 3 2 2 2 2 2 4 3 2" xfId="14004" xr:uid="{424C8CDC-334E-4988-B1D5-2D244DF5E87B}"/>
    <cellStyle name="Normal 4 3 2 2 2 2 2 4 4" xfId="14002" xr:uid="{EE426282-B7A6-4964-8CC5-1C01A05BDA47}"/>
    <cellStyle name="Normal 4 3 2 2 2 2 2 5" xfId="4897" xr:uid="{C90741BC-1374-45D9-817F-DA013A98D9AA}"/>
    <cellStyle name="Normal 4 3 2 2 2 2 2 5 2" xfId="14005" xr:uid="{D4BBC7D4-B296-4867-B738-7E036BD6791C}"/>
    <cellStyle name="Normal 4 3 2 2 2 2 2 6" xfId="4898" xr:uid="{FC558BEB-0770-42ED-AEE3-0A839C5EF2CD}"/>
    <cellStyle name="Normal 4 3 2 2 2 2 2 6 2" xfId="14006" xr:uid="{B8B7F190-AAF8-433D-9AE5-40F01E333593}"/>
    <cellStyle name="Normal 4 3 2 2 2 2 2 7" xfId="4899" xr:uid="{34272643-9EF9-458B-A3F5-E594D9229BD7}"/>
    <cellStyle name="Normal 4 3 2 2 2 2 2 7 2" xfId="14007" xr:uid="{D96F6C68-EB6E-46D3-8567-B1B43496CE78}"/>
    <cellStyle name="Normal 4 3 2 2 2 2 2 8" xfId="13987" xr:uid="{A12C3AAC-7935-42BE-ADCC-F8595ACCDA82}"/>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2 2" xfId="14010" xr:uid="{4071AFFE-A1D6-42CC-8CF2-3D7743588678}"/>
    <cellStyle name="Normal 4 3 2 2 2 2 3 2 3" xfId="4903" xr:uid="{5B0294F0-E5E8-4C57-8D05-8C53874B4C74}"/>
    <cellStyle name="Normal 4 3 2 2 2 2 3 2 3 2" xfId="14011" xr:uid="{0EF40967-6D5C-494A-8D48-234E765D4A3E}"/>
    <cellStyle name="Normal 4 3 2 2 2 2 3 2 4" xfId="14009" xr:uid="{ACDF269A-7848-45DF-8950-7A8C6DB06232}"/>
    <cellStyle name="Normal 4 3 2 2 2 2 3 3" xfId="4904" xr:uid="{E07C122F-C5C7-4E29-92E3-343CB446D4EF}"/>
    <cellStyle name="Normal 4 3 2 2 2 2 3 3 2" xfId="14012" xr:uid="{C286C6CE-4238-438E-8A76-607E3319CBFD}"/>
    <cellStyle name="Normal 4 3 2 2 2 2 3 4" xfId="4905" xr:uid="{0F8D4019-AE1F-4F34-BC2B-AADB9FD1782C}"/>
    <cellStyle name="Normal 4 3 2 2 2 2 3 4 2" xfId="14013" xr:uid="{368DFC5D-2E35-48AB-B200-85A900E54DE0}"/>
    <cellStyle name="Normal 4 3 2 2 2 2 3 5" xfId="4906" xr:uid="{82D8C959-1528-489B-853D-A2C42D8E0F43}"/>
    <cellStyle name="Normal 4 3 2 2 2 2 3 5 2" xfId="14014" xr:uid="{F5A12F68-4D2E-407E-840C-0C0711A6FA67}"/>
    <cellStyle name="Normal 4 3 2 2 2 2 3 6" xfId="14008" xr:uid="{29C02D87-B7DD-4B8A-8272-C72CF710815F}"/>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2 2" xfId="14017" xr:uid="{E40B072B-CD36-41C6-901D-EFBAE1D3FF02}"/>
    <cellStyle name="Normal 4 3 2 2 2 2 4 2 3" xfId="4910" xr:uid="{7D4D2CB7-F721-482A-A0C4-CD279D51AD80}"/>
    <cellStyle name="Normal 4 3 2 2 2 2 4 2 3 2" xfId="14018" xr:uid="{CCD19E6F-0279-4301-B13F-89BAC227D35D}"/>
    <cellStyle name="Normal 4 3 2 2 2 2 4 2 4" xfId="14016" xr:uid="{7B37969A-4ED8-4A23-9564-F4F816CC03CF}"/>
    <cellStyle name="Normal 4 3 2 2 2 2 4 3" xfId="4911" xr:uid="{6FDC1647-8612-4D56-A026-617BEA3087D1}"/>
    <cellStyle name="Normal 4 3 2 2 2 2 4 3 2" xfId="14019" xr:uid="{98DB7365-FF99-4749-A155-E4B8B42FE569}"/>
    <cellStyle name="Normal 4 3 2 2 2 2 4 4" xfId="4912" xr:uid="{88362D46-491B-4022-A731-6A7FD87D7465}"/>
    <cellStyle name="Normal 4 3 2 2 2 2 4 4 2" xfId="14020" xr:uid="{892961FC-9F49-47DE-9B15-1853CE4FFE6A}"/>
    <cellStyle name="Normal 4 3 2 2 2 2 4 5" xfId="4913" xr:uid="{3C248AC2-DB2E-4857-BA7F-1C02180A3FFB}"/>
    <cellStyle name="Normal 4 3 2 2 2 2 4 5 2" xfId="14021" xr:uid="{FBD7B4DE-8317-4AB4-90C8-731C206E227B}"/>
    <cellStyle name="Normal 4 3 2 2 2 2 4 6" xfId="14015" xr:uid="{C84B221B-FA61-49BD-BDD8-4CEBDB5A985C}"/>
    <cellStyle name="Normal 4 3 2 2 2 2 5" xfId="4914" xr:uid="{EF7A0EC0-A78C-4A1B-8BD0-FDC23E193AA1}"/>
    <cellStyle name="Normal 4 3 2 2 2 2 5 2" xfId="4915" xr:uid="{302A5F20-BD9D-4128-A31D-82109234154D}"/>
    <cellStyle name="Normal 4 3 2 2 2 2 5 2 2" xfId="14023" xr:uid="{6B52C69B-783A-49E9-8F56-9F893FD56E5F}"/>
    <cellStyle name="Normal 4 3 2 2 2 2 5 3" xfId="4916" xr:uid="{7983707C-C84E-449A-80D4-3BF24344C3AB}"/>
    <cellStyle name="Normal 4 3 2 2 2 2 5 3 2" xfId="14024" xr:uid="{268C3C45-1F3C-4CED-AEA6-8CD37E469E4F}"/>
    <cellStyle name="Normal 4 3 2 2 2 2 5 4" xfId="14022" xr:uid="{4824DBA7-0CEC-4496-90AB-091AF553CC4A}"/>
    <cellStyle name="Normal 4 3 2 2 2 2 6" xfId="4917" xr:uid="{790D7C69-81AA-44F4-A93A-2447AFE8BD9E}"/>
    <cellStyle name="Normal 4 3 2 2 2 2 6 2" xfId="14025" xr:uid="{7381A5D1-76DF-4F90-9229-43D9A404183E}"/>
    <cellStyle name="Normal 4 3 2 2 2 2 7" xfId="4918" xr:uid="{F7F44F28-DD5E-43D8-92E9-4839013CDB0A}"/>
    <cellStyle name="Normal 4 3 2 2 2 2 7 2" xfId="14026" xr:uid="{89CDCA9B-7F5F-4CF8-ADCA-A83A6D052EE8}"/>
    <cellStyle name="Normal 4 3 2 2 2 2 8" xfId="4919" xr:uid="{0F1CA239-869E-43E8-A0E9-7A987B6D4B6B}"/>
    <cellStyle name="Normal 4 3 2 2 2 2 8 2" xfId="14027" xr:uid="{7EF6D103-9E1C-4AA7-9070-7255D1C29A1E}"/>
    <cellStyle name="Normal 4 3 2 2 2 2 9" xfId="13986" xr:uid="{894B761A-0D8C-470C-B4CD-0FB9BAB11EB6}"/>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2 2" xfId="14031" xr:uid="{74D63C00-58AF-41E9-B2D9-372ADFA1C92C}"/>
    <cellStyle name="Normal 4 3 2 2 2 3 2 2 3" xfId="4924" xr:uid="{1C0A0ACB-31FC-42A1-A9B8-5BB459B2BFDF}"/>
    <cellStyle name="Normal 4 3 2 2 2 3 2 2 3 2" xfId="14032" xr:uid="{A75FF2F7-9E7B-4881-8364-BD814250454C}"/>
    <cellStyle name="Normal 4 3 2 2 2 3 2 2 4" xfId="14030" xr:uid="{B616E9CA-8183-4CFF-8A1F-6CA95E9863D2}"/>
    <cellStyle name="Normal 4 3 2 2 2 3 2 3" xfId="4925" xr:uid="{13B4D9D5-EAE7-4E04-8EF1-69033DB6F2C7}"/>
    <cellStyle name="Normal 4 3 2 2 2 3 2 3 2" xfId="14033" xr:uid="{BE8F7F37-460F-487D-B378-C00D8A4CA975}"/>
    <cellStyle name="Normal 4 3 2 2 2 3 2 4" xfId="4926" xr:uid="{82780080-7DB6-4B3C-90B9-80A34A615F10}"/>
    <cellStyle name="Normal 4 3 2 2 2 3 2 4 2" xfId="14034" xr:uid="{5DA07A9C-8ADC-459D-8A7F-00EEF9D879F2}"/>
    <cellStyle name="Normal 4 3 2 2 2 3 2 5" xfId="4927" xr:uid="{A093DF25-A798-4751-8DFF-1097E4D03A3C}"/>
    <cellStyle name="Normal 4 3 2 2 2 3 2 5 2" xfId="14035" xr:uid="{E88EB6A1-1A16-4B6C-B8C5-E8C996D7B0ED}"/>
    <cellStyle name="Normal 4 3 2 2 2 3 2 6" xfId="14029" xr:uid="{BFA77FF1-B97D-48A5-96AB-47938F5D80DE}"/>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2 2" xfId="14038" xr:uid="{5754FF2B-0AE4-4529-836C-E573A882FD9E}"/>
    <cellStyle name="Normal 4 3 2 2 2 3 3 2 3" xfId="4931" xr:uid="{EA2085FA-8B75-4F6F-9488-10FDCEF82E06}"/>
    <cellStyle name="Normal 4 3 2 2 2 3 3 2 3 2" xfId="14039" xr:uid="{DF7AAB1E-A674-4894-9955-A389CACFA65A}"/>
    <cellStyle name="Normal 4 3 2 2 2 3 3 2 4" xfId="14037" xr:uid="{8BB75D83-C4E1-40C1-9DFE-F4078AA56039}"/>
    <cellStyle name="Normal 4 3 2 2 2 3 3 3" xfId="4932" xr:uid="{45A896B6-4EF6-4530-9F55-E46FB9A69BA0}"/>
    <cellStyle name="Normal 4 3 2 2 2 3 3 3 2" xfId="14040" xr:uid="{A2075839-CCEE-4E0D-8D36-EBA419DAEFF5}"/>
    <cellStyle name="Normal 4 3 2 2 2 3 3 4" xfId="4933" xr:uid="{8C26FFA7-49AF-48CA-9F23-A0406B9D26BE}"/>
    <cellStyle name="Normal 4 3 2 2 2 3 3 4 2" xfId="14041" xr:uid="{9F176288-C046-45C9-847E-B97FED0E27B5}"/>
    <cellStyle name="Normal 4 3 2 2 2 3 3 5" xfId="4934" xr:uid="{89E49B32-D8E5-40E2-9190-525399921FB9}"/>
    <cellStyle name="Normal 4 3 2 2 2 3 3 5 2" xfId="14042" xr:uid="{C3847C87-4309-4425-8332-FD5803322A01}"/>
    <cellStyle name="Normal 4 3 2 2 2 3 3 6" xfId="14036" xr:uid="{2B2A3A70-1084-4880-88E5-2DF5718ECB7E}"/>
    <cellStyle name="Normal 4 3 2 2 2 3 4" xfId="4935" xr:uid="{1923CEA2-82D3-45F8-9AF7-093EBEE877D7}"/>
    <cellStyle name="Normal 4 3 2 2 2 3 4 2" xfId="4936" xr:uid="{F9900811-29E6-442F-B784-DA72A93B7D3C}"/>
    <cellStyle name="Normal 4 3 2 2 2 3 4 2 2" xfId="14044" xr:uid="{2F7026D4-AE4E-42F4-834B-0B4CF0AFD865}"/>
    <cellStyle name="Normal 4 3 2 2 2 3 4 3" xfId="4937" xr:uid="{2F6279B9-BC6E-42A0-B39F-38E71010E8B8}"/>
    <cellStyle name="Normal 4 3 2 2 2 3 4 3 2" xfId="14045" xr:uid="{8F6425BB-C4B6-4AFF-B8F6-C88CFA8CCD64}"/>
    <cellStyle name="Normal 4 3 2 2 2 3 4 4" xfId="14043" xr:uid="{B1B333A6-74EF-40FC-A7BC-79E2E7188FE2}"/>
    <cellStyle name="Normal 4 3 2 2 2 3 5" xfId="4938" xr:uid="{B132F44C-8AEE-4201-9A17-1CD2AB4D8D46}"/>
    <cellStyle name="Normal 4 3 2 2 2 3 5 2" xfId="14046" xr:uid="{4EF506A6-98D9-4D8B-A51F-93703934B441}"/>
    <cellStyle name="Normal 4 3 2 2 2 3 6" xfId="4939" xr:uid="{D3459E7C-40EE-4985-83EA-D2B098B1CA64}"/>
    <cellStyle name="Normal 4 3 2 2 2 3 6 2" xfId="14047" xr:uid="{CA90DE37-048A-4DA1-9DA3-35BC21F00AA9}"/>
    <cellStyle name="Normal 4 3 2 2 2 3 7" xfId="4940" xr:uid="{A972B641-A13D-462B-8439-8EEDEC057D81}"/>
    <cellStyle name="Normal 4 3 2 2 2 3 7 2" xfId="14048" xr:uid="{CD726EBF-1AF1-495C-B6B0-1A174AA66BEF}"/>
    <cellStyle name="Normal 4 3 2 2 2 3 8" xfId="14028" xr:uid="{428D44E9-90A6-48EA-9B34-EE35AAEAB176}"/>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2 2" xfId="14051" xr:uid="{E899D031-0CCC-48A3-97FF-410282A9F8D3}"/>
    <cellStyle name="Normal 4 3 2 2 2 4 2 3" xfId="4944" xr:uid="{9AC23939-0633-4ADA-8FF5-5F1EA8975B36}"/>
    <cellStyle name="Normal 4 3 2 2 2 4 2 3 2" xfId="14052" xr:uid="{10A02980-F466-498C-A049-5396A8F508A8}"/>
    <cellStyle name="Normal 4 3 2 2 2 4 2 4" xfId="14050" xr:uid="{30B2DD11-9643-4538-9DD3-E12E3A018F77}"/>
    <cellStyle name="Normal 4 3 2 2 2 4 3" xfId="4945" xr:uid="{244016C2-DFBB-42CF-8A55-C0977AEA2F5E}"/>
    <cellStyle name="Normal 4 3 2 2 2 4 3 2" xfId="14053" xr:uid="{7718243A-21AA-4C89-B4A5-9948D5D5AD33}"/>
    <cellStyle name="Normal 4 3 2 2 2 4 4" xfId="4946" xr:uid="{3D73D4C5-72BB-4050-9B65-426DD2DD0944}"/>
    <cellStyle name="Normal 4 3 2 2 2 4 4 2" xfId="14054" xr:uid="{C9445702-E38F-4117-9A5B-03B0B81FFC46}"/>
    <cellStyle name="Normal 4 3 2 2 2 4 5" xfId="4947" xr:uid="{70FEF65B-3FD0-4676-A1A6-7A0452B995AF}"/>
    <cellStyle name="Normal 4 3 2 2 2 4 5 2" xfId="14055" xr:uid="{A2841708-0636-4D72-BF0C-FA2D83D9E0E7}"/>
    <cellStyle name="Normal 4 3 2 2 2 4 6" xfId="14049" xr:uid="{E0A71CF7-1E04-4B3D-A12C-951AA0976354}"/>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2 2" xfId="14058" xr:uid="{B27B40E6-AB82-4B74-8EDD-853387C0519C}"/>
    <cellStyle name="Normal 4 3 2 2 2 5 2 3" xfId="4951" xr:uid="{24F504D5-7D00-4E2B-AE74-F6637668C13C}"/>
    <cellStyle name="Normal 4 3 2 2 2 5 2 3 2" xfId="14059" xr:uid="{2242CA7E-0290-41C8-94C2-4432DEF509E3}"/>
    <cellStyle name="Normal 4 3 2 2 2 5 2 4" xfId="14057" xr:uid="{EC259FE7-CECB-4408-9E8A-8D86C1CE4805}"/>
    <cellStyle name="Normal 4 3 2 2 2 5 3" xfId="4952" xr:uid="{F1B44F65-A652-44DF-AF51-0ADA6AFC41CB}"/>
    <cellStyle name="Normal 4 3 2 2 2 5 3 2" xfId="14060" xr:uid="{409ADF68-E7B6-4D62-B75F-9C084DBB1335}"/>
    <cellStyle name="Normal 4 3 2 2 2 5 4" xfId="4953" xr:uid="{4E9640EC-188F-4068-90FF-4DC6EC22FBD7}"/>
    <cellStyle name="Normal 4 3 2 2 2 5 4 2" xfId="14061" xr:uid="{BCDD76A4-C9F6-472F-881C-E4F529AE5DD6}"/>
    <cellStyle name="Normal 4 3 2 2 2 5 5" xfId="4954" xr:uid="{EDB82FD5-89D6-4A2F-98A8-72EC1AFEB6EE}"/>
    <cellStyle name="Normal 4 3 2 2 2 5 5 2" xfId="14062" xr:uid="{4C7CA8D4-9834-4613-A07A-831B78EE0087}"/>
    <cellStyle name="Normal 4 3 2 2 2 5 6" xfId="14056" xr:uid="{966D0329-4305-4026-A27C-43630CE022F2}"/>
    <cellStyle name="Normal 4 3 2 2 2 6" xfId="4955" xr:uid="{A6A2E5FD-9931-4EB8-AD3B-7EE606D05487}"/>
    <cellStyle name="Normal 4 3 2 2 2 6 2" xfId="4956" xr:uid="{A0D9E752-1AA5-46F2-9475-680D4C804D2B}"/>
    <cellStyle name="Normal 4 3 2 2 2 6 2 2" xfId="14064" xr:uid="{B6C281ED-E763-45D2-910F-5D8A83693C6F}"/>
    <cellStyle name="Normal 4 3 2 2 2 6 3" xfId="4957" xr:uid="{7D77EFA5-AC17-41A0-BFBF-3E631CC45370}"/>
    <cellStyle name="Normal 4 3 2 2 2 6 3 2" xfId="14065" xr:uid="{04579E18-D066-471D-95A0-BED3EDC84C0D}"/>
    <cellStyle name="Normal 4 3 2 2 2 6 4" xfId="14063" xr:uid="{DA7EBFF4-56A8-4968-A3A1-378F77E063B9}"/>
    <cellStyle name="Normal 4 3 2 2 2 7" xfId="4958" xr:uid="{60383476-1D81-4663-AC3F-ED2E96A12F7E}"/>
    <cellStyle name="Normal 4 3 2 2 2 7 2" xfId="14066" xr:uid="{139B440C-BE72-4085-B0A8-8D0F1E39563C}"/>
    <cellStyle name="Normal 4 3 2 2 2 8" xfId="4959" xr:uid="{4D81CA97-2279-44CE-8393-3261ADCEE4D2}"/>
    <cellStyle name="Normal 4 3 2 2 2 8 2" xfId="14067" xr:uid="{E4BA4FDC-F9F0-4AD7-A0D3-FFC4850F9257}"/>
    <cellStyle name="Normal 4 3 2 2 2 9" xfId="4960" xr:uid="{735D6DE6-98B5-4F9E-9F5F-9E14D32DFD76}"/>
    <cellStyle name="Normal 4 3 2 2 2 9 2" xfId="14068" xr:uid="{9DC0F645-6A0E-4092-B3F0-F634F48234A3}"/>
    <cellStyle name="Normal 4 3 2 2 3" xfId="4961" xr:uid="{F9141AF6-C36F-4FC2-AFD5-436A9E968BC4}"/>
    <cellStyle name="Normal 4 3 2 2 3 10" xfId="14069" xr:uid="{F9F0D85D-A0BD-4675-A350-4C27FC7FA392}"/>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2 2" xfId="14074" xr:uid="{CFC62959-7C0A-492C-8F63-674A91A84DC3}"/>
    <cellStyle name="Normal 4 3 2 2 3 2 2 2 2 3" xfId="4967" xr:uid="{EE004ADF-B8CE-4AD6-96AF-C05FE25DA7C2}"/>
    <cellStyle name="Normal 4 3 2 2 3 2 2 2 2 3 2" xfId="14075" xr:uid="{3C96A9D7-87A7-4060-90EB-8EF5D6E1D1D4}"/>
    <cellStyle name="Normal 4 3 2 2 3 2 2 2 2 4" xfId="14073" xr:uid="{3966A2A0-3E90-45C0-AC9C-D9B3F2575BFE}"/>
    <cellStyle name="Normal 4 3 2 2 3 2 2 2 3" xfId="4968" xr:uid="{7655AFB6-A562-4B38-A030-B7045D8BECF1}"/>
    <cellStyle name="Normal 4 3 2 2 3 2 2 2 3 2" xfId="14076" xr:uid="{95D0407E-AB6D-4315-9ACA-B1711963907C}"/>
    <cellStyle name="Normal 4 3 2 2 3 2 2 2 4" xfId="4969" xr:uid="{295203B9-7BCA-42A1-BE6F-915DEE750980}"/>
    <cellStyle name="Normal 4 3 2 2 3 2 2 2 4 2" xfId="14077" xr:uid="{D521CF98-5F6C-475F-8551-3DFDBC263DB2}"/>
    <cellStyle name="Normal 4 3 2 2 3 2 2 2 5" xfId="4970" xr:uid="{58495420-81A3-49E4-8527-AA92B4A2A90F}"/>
    <cellStyle name="Normal 4 3 2 2 3 2 2 2 5 2" xfId="14078" xr:uid="{DEF7CF2F-0CAE-4E0B-856B-226ACDDB76DD}"/>
    <cellStyle name="Normal 4 3 2 2 3 2 2 2 6" xfId="14072" xr:uid="{11470879-4C49-43DD-B77D-820863956B95}"/>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2 2" xfId="14081" xr:uid="{4413D1CA-5D59-4A9B-9D67-B74F29C29981}"/>
    <cellStyle name="Normal 4 3 2 2 3 2 2 3 2 3" xfId="4974" xr:uid="{3969058F-4EB5-4BD3-80DA-0E18F140A482}"/>
    <cellStyle name="Normal 4 3 2 2 3 2 2 3 2 3 2" xfId="14082" xr:uid="{1ECCB389-0E7F-44F2-A737-EC867911DD7D}"/>
    <cellStyle name="Normal 4 3 2 2 3 2 2 3 2 4" xfId="14080" xr:uid="{84B867E8-9271-4AD7-8AA9-BCC315344FF8}"/>
    <cellStyle name="Normal 4 3 2 2 3 2 2 3 3" xfId="4975" xr:uid="{65B2956B-44F5-423D-963E-87EB33CD1B25}"/>
    <cellStyle name="Normal 4 3 2 2 3 2 2 3 3 2" xfId="14083" xr:uid="{506C0A55-10BA-409D-8035-2E5B545F1368}"/>
    <cellStyle name="Normal 4 3 2 2 3 2 2 3 4" xfId="4976" xr:uid="{98D2B707-8B49-4265-AD60-32C80A815E2A}"/>
    <cellStyle name="Normal 4 3 2 2 3 2 2 3 4 2" xfId="14084" xr:uid="{28224E5F-C4C9-422B-A56A-FE83E2176B19}"/>
    <cellStyle name="Normal 4 3 2 2 3 2 2 3 5" xfId="4977" xr:uid="{B4635A7E-E64D-47F6-9C0A-433D6E186F1C}"/>
    <cellStyle name="Normal 4 3 2 2 3 2 2 3 5 2" xfId="14085" xr:uid="{AE113525-FAE5-4451-A14E-0AFC6903B4C9}"/>
    <cellStyle name="Normal 4 3 2 2 3 2 2 3 6" xfId="14079" xr:uid="{677B8134-4186-4787-BF2E-E8F7AF944802}"/>
    <cellStyle name="Normal 4 3 2 2 3 2 2 4" xfId="4978" xr:uid="{28D1CA9A-89AB-4A89-89B8-AE7DF03F2D62}"/>
    <cellStyle name="Normal 4 3 2 2 3 2 2 4 2" xfId="4979" xr:uid="{E4E378D4-1505-41A0-9D75-E36B9F152537}"/>
    <cellStyle name="Normal 4 3 2 2 3 2 2 4 2 2" xfId="14087" xr:uid="{1899BFED-861E-4648-B8B5-4C0BA2190B5F}"/>
    <cellStyle name="Normal 4 3 2 2 3 2 2 4 3" xfId="4980" xr:uid="{5FEE4EA6-6CB7-467A-8489-12CB11E9CFE2}"/>
    <cellStyle name="Normal 4 3 2 2 3 2 2 4 3 2" xfId="14088" xr:uid="{AB1B44EE-CB54-4AFF-956E-F0FFC6A1DECC}"/>
    <cellStyle name="Normal 4 3 2 2 3 2 2 4 4" xfId="14086" xr:uid="{E16A6123-CE17-410D-9BD0-2E1C397DDCA3}"/>
    <cellStyle name="Normal 4 3 2 2 3 2 2 5" xfId="4981" xr:uid="{63707F59-44FB-4D01-AB8B-A4B48AD600C6}"/>
    <cellStyle name="Normal 4 3 2 2 3 2 2 5 2" xfId="14089" xr:uid="{BE42935C-946C-4EE3-AB01-CF5D7514E594}"/>
    <cellStyle name="Normal 4 3 2 2 3 2 2 6" xfId="4982" xr:uid="{75E13241-76E1-461F-8D49-C9CCE6FBB636}"/>
    <cellStyle name="Normal 4 3 2 2 3 2 2 6 2" xfId="14090" xr:uid="{79FF8386-92E5-47A5-BBED-6C63F212EBCF}"/>
    <cellStyle name="Normal 4 3 2 2 3 2 2 7" xfId="4983" xr:uid="{8E5C3D2C-B23B-4C9D-A00F-2B0338DDCECB}"/>
    <cellStyle name="Normal 4 3 2 2 3 2 2 7 2" xfId="14091" xr:uid="{96177A37-A57A-4B78-98C2-1F2A78142881}"/>
    <cellStyle name="Normal 4 3 2 2 3 2 2 8" xfId="14071" xr:uid="{6504E830-1F19-43AA-B73D-C6C556B87F70}"/>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2 2" xfId="14094" xr:uid="{6119858B-7EE0-48A1-9B02-3BF3FB5FEC2A}"/>
    <cellStyle name="Normal 4 3 2 2 3 2 3 2 3" xfId="4987" xr:uid="{75F0283A-F66A-4E78-AE9F-125730EC40E5}"/>
    <cellStyle name="Normal 4 3 2 2 3 2 3 2 3 2" xfId="14095" xr:uid="{0C168B7D-9AD7-47A9-889E-0BBB276128F2}"/>
    <cellStyle name="Normal 4 3 2 2 3 2 3 2 4" xfId="14093" xr:uid="{44B57628-35D8-4011-A39E-0869F23C5931}"/>
    <cellStyle name="Normal 4 3 2 2 3 2 3 3" xfId="4988" xr:uid="{43B41AA0-A25D-4DB8-AA50-A8BD2EEF76EA}"/>
    <cellStyle name="Normal 4 3 2 2 3 2 3 3 2" xfId="14096" xr:uid="{8A1DCB9B-CEF5-4157-8EF5-AAC8196F0E9C}"/>
    <cellStyle name="Normal 4 3 2 2 3 2 3 4" xfId="4989" xr:uid="{A426D31D-F714-474F-A494-56E0E320F85B}"/>
    <cellStyle name="Normal 4 3 2 2 3 2 3 4 2" xfId="14097" xr:uid="{B21FA715-1B3D-43D1-821C-96E234143366}"/>
    <cellStyle name="Normal 4 3 2 2 3 2 3 5" xfId="4990" xr:uid="{C10F323B-D778-4006-88C9-C2F1DF9775B1}"/>
    <cellStyle name="Normal 4 3 2 2 3 2 3 5 2" xfId="14098" xr:uid="{81A8ADFD-B15D-46AF-8312-AFB22644F302}"/>
    <cellStyle name="Normal 4 3 2 2 3 2 3 6" xfId="14092" xr:uid="{65D0EBDC-0159-42E3-8E4E-1FDF7B3A0922}"/>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2 2" xfId="14101" xr:uid="{B9CDD755-F4D0-495D-A97A-C3FC174FEB0B}"/>
    <cellStyle name="Normal 4 3 2 2 3 2 4 2 3" xfId="4994" xr:uid="{2E45D8E8-B160-4811-B20C-F8B2B4E0EF95}"/>
    <cellStyle name="Normal 4 3 2 2 3 2 4 2 3 2" xfId="14102" xr:uid="{6F02858A-83E0-48A1-99C8-790469D9B771}"/>
    <cellStyle name="Normal 4 3 2 2 3 2 4 2 4" xfId="14100" xr:uid="{9B8C4102-3FC1-4629-A893-82C74AAB5139}"/>
    <cellStyle name="Normal 4 3 2 2 3 2 4 3" xfId="4995" xr:uid="{B3467A56-7B34-415E-96F3-519A13A9549A}"/>
    <cellStyle name="Normal 4 3 2 2 3 2 4 3 2" xfId="14103" xr:uid="{51B32EFE-3C8B-4B08-B96A-51104FF94F3C}"/>
    <cellStyle name="Normal 4 3 2 2 3 2 4 4" xfId="4996" xr:uid="{0C149383-2E75-4BA5-8155-61F92A868CAB}"/>
    <cellStyle name="Normal 4 3 2 2 3 2 4 4 2" xfId="14104" xr:uid="{4D79BFB3-7834-4E38-8329-F6E8669B0B76}"/>
    <cellStyle name="Normal 4 3 2 2 3 2 4 5" xfId="4997" xr:uid="{3A712031-6682-475B-A015-7413A5457FE5}"/>
    <cellStyle name="Normal 4 3 2 2 3 2 4 5 2" xfId="14105" xr:uid="{2AEFC69A-8AC0-40F1-81C4-535F2983A4AC}"/>
    <cellStyle name="Normal 4 3 2 2 3 2 4 6" xfId="14099" xr:uid="{42A5BAC1-3FA1-46C9-92C1-B2CA68D29317}"/>
    <cellStyle name="Normal 4 3 2 2 3 2 5" xfId="4998" xr:uid="{0045BC9F-A997-4A25-A144-206475EF04FF}"/>
    <cellStyle name="Normal 4 3 2 2 3 2 5 2" xfId="4999" xr:uid="{806DAEFD-451A-41C6-9EC9-F66CCBC84665}"/>
    <cellStyle name="Normal 4 3 2 2 3 2 5 2 2" xfId="14107" xr:uid="{A01EB8A4-71D1-4F55-A63F-690E7DC07D23}"/>
    <cellStyle name="Normal 4 3 2 2 3 2 5 3" xfId="5000" xr:uid="{ECC39224-05AD-430A-9E7A-AF85D464CEE9}"/>
    <cellStyle name="Normal 4 3 2 2 3 2 5 3 2" xfId="14108" xr:uid="{CE6F553B-7664-40A9-8272-FE9C14630789}"/>
    <cellStyle name="Normal 4 3 2 2 3 2 5 4" xfId="14106" xr:uid="{D9949C4F-318F-4AAB-91E7-3996449ED2CA}"/>
    <cellStyle name="Normal 4 3 2 2 3 2 6" xfId="5001" xr:uid="{F9761122-F810-46D2-BDF7-E2FD4C1E4B59}"/>
    <cellStyle name="Normal 4 3 2 2 3 2 6 2" xfId="14109" xr:uid="{F3446909-2C93-43FA-8546-2103142B92A4}"/>
    <cellStyle name="Normal 4 3 2 2 3 2 7" xfId="5002" xr:uid="{CF598F5E-8A95-4FB7-AC9F-41D036CBC0C5}"/>
    <cellStyle name="Normal 4 3 2 2 3 2 7 2" xfId="14110" xr:uid="{E197FB1E-9083-4DD1-A826-756D6FDB79E8}"/>
    <cellStyle name="Normal 4 3 2 2 3 2 8" xfId="5003" xr:uid="{85AD6A01-FCB4-45AF-9EFB-E155D5DB8D5B}"/>
    <cellStyle name="Normal 4 3 2 2 3 2 8 2" xfId="14111" xr:uid="{C93C4B82-BCA9-4529-8174-DB6EE1F28ADA}"/>
    <cellStyle name="Normal 4 3 2 2 3 2 9" xfId="14070" xr:uid="{63EBC214-87A9-40F5-BA1E-F96111231C77}"/>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2 2" xfId="14115" xr:uid="{AB4581F2-9A30-432A-82A6-E8C58F88AB6B}"/>
    <cellStyle name="Normal 4 3 2 2 3 3 2 2 3" xfId="5008" xr:uid="{826C2A7C-EA3D-4184-8D4E-B223CB8D0D7D}"/>
    <cellStyle name="Normal 4 3 2 2 3 3 2 2 3 2" xfId="14116" xr:uid="{E3F1CEDA-2F0C-4CE3-84A6-93CD96E26E6B}"/>
    <cellStyle name="Normal 4 3 2 2 3 3 2 2 4" xfId="14114" xr:uid="{C9D8056E-5A12-4B3E-B98F-1F4AD152BA31}"/>
    <cellStyle name="Normal 4 3 2 2 3 3 2 3" xfId="5009" xr:uid="{387E3DAB-077E-4123-B438-0CB8EF484DC7}"/>
    <cellStyle name="Normal 4 3 2 2 3 3 2 3 2" xfId="14117" xr:uid="{1827CFB2-66C2-46CD-B158-99B1EA721408}"/>
    <cellStyle name="Normal 4 3 2 2 3 3 2 4" xfId="5010" xr:uid="{9B622CF5-BDD9-46E7-B627-D328A46E8E89}"/>
    <cellStyle name="Normal 4 3 2 2 3 3 2 4 2" xfId="14118" xr:uid="{1B95711F-755D-4F20-AFE7-4445BDCEEC34}"/>
    <cellStyle name="Normal 4 3 2 2 3 3 2 5" xfId="5011" xr:uid="{3F5D0DC7-D204-49E8-A427-BBBB8608DD23}"/>
    <cellStyle name="Normal 4 3 2 2 3 3 2 5 2" xfId="14119" xr:uid="{58B5156C-BA0E-4745-A40F-1BC9D55F50E4}"/>
    <cellStyle name="Normal 4 3 2 2 3 3 2 6" xfId="14113" xr:uid="{63255911-C554-4FAA-A709-37963CEFF7CD}"/>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2 2" xfId="14122" xr:uid="{8D94E475-8F69-439D-B582-5BDDEEA69980}"/>
    <cellStyle name="Normal 4 3 2 2 3 3 3 2 3" xfId="5015" xr:uid="{D18896A7-3544-46F9-BCC0-21E92ED3FDF1}"/>
    <cellStyle name="Normal 4 3 2 2 3 3 3 2 3 2" xfId="14123" xr:uid="{6448104B-C099-49F4-B83C-BE977286423A}"/>
    <cellStyle name="Normal 4 3 2 2 3 3 3 2 4" xfId="14121" xr:uid="{F8CE4D60-B5C2-4AE9-BB93-0033BF8C66AE}"/>
    <cellStyle name="Normal 4 3 2 2 3 3 3 3" xfId="5016" xr:uid="{A5CF1558-34A3-4F5F-B7A4-BEC0A59010D8}"/>
    <cellStyle name="Normal 4 3 2 2 3 3 3 3 2" xfId="14124" xr:uid="{1EA1CE17-9E09-47F7-9D54-04C19F56AA7A}"/>
    <cellStyle name="Normal 4 3 2 2 3 3 3 4" xfId="5017" xr:uid="{556D3163-2357-4014-B541-5E859900C489}"/>
    <cellStyle name="Normal 4 3 2 2 3 3 3 4 2" xfId="14125" xr:uid="{F60A96E2-D702-4924-980D-CFC909229AD5}"/>
    <cellStyle name="Normal 4 3 2 2 3 3 3 5" xfId="5018" xr:uid="{55A9F5E0-8781-40E8-80F1-B6B6F49F3325}"/>
    <cellStyle name="Normal 4 3 2 2 3 3 3 5 2" xfId="14126" xr:uid="{4F2EC4F4-C102-4B9E-BFD2-691FFC70F435}"/>
    <cellStyle name="Normal 4 3 2 2 3 3 3 6" xfId="14120" xr:uid="{DB8EB402-DBC7-4582-A24B-54976B63D5C4}"/>
    <cellStyle name="Normal 4 3 2 2 3 3 4" xfId="5019" xr:uid="{C781D004-1E55-4574-95EB-5297D976F331}"/>
    <cellStyle name="Normal 4 3 2 2 3 3 4 2" xfId="5020" xr:uid="{0A9B8702-F0C9-4468-B998-8BCC174E802B}"/>
    <cellStyle name="Normal 4 3 2 2 3 3 4 2 2" xfId="14128" xr:uid="{2E4D6F9F-9051-4AAD-8CED-5AF91BE524E8}"/>
    <cellStyle name="Normal 4 3 2 2 3 3 4 3" xfId="5021" xr:uid="{05C3B51A-A298-4E0F-964B-58D32A453C02}"/>
    <cellStyle name="Normal 4 3 2 2 3 3 4 3 2" xfId="14129" xr:uid="{DEF16EA0-3594-450B-84F7-4C6AD39410FE}"/>
    <cellStyle name="Normal 4 3 2 2 3 3 4 4" xfId="14127" xr:uid="{B0226E14-6789-4D96-A7B2-70AAD26DD8ED}"/>
    <cellStyle name="Normal 4 3 2 2 3 3 5" xfId="5022" xr:uid="{F5F53308-09C7-45BE-BC87-7B6D10E70734}"/>
    <cellStyle name="Normal 4 3 2 2 3 3 5 2" xfId="14130" xr:uid="{14137C5E-F062-449A-B56B-9F30DA735D9C}"/>
    <cellStyle name="Normal 4 3 2 2 3 3 6" xfId="5023" xr:uid="{CA795842-2041-40FA-983B-682436D4D7AF}"/>
    <cellStyle name="Normal 4 3 2 2 3 3 6 2" xfId="14131" xr:uid="{C96E1ADA-8475-4FAD-A03C-F076378B4E92}"/>
    <cellStyle name="Normal 4 3 2 2 3 3 7" xfId="5024" xr:uid="{BEEEB49D-4700-4795-BD8F-8B02B3445B3C}"/>
    <cellStyle name="Normal 4 3 2 2 3 3 7 2" xfId="14132" xr:uid="{F4DE0499-7911-48AD-95E5-F369BA712503}"/>
    <cellStyle name="Normal 4 3 2 2 3 3 8" xfId="14112" xr:uid="{D1406B54-3C5D-41DC-841D-DB776311C8F2}"/>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2 2" xfId="14135" xr:uid="{5DB85E7A-5155-46E7-BF52-A2E558B751B0}"/>
    <cellStyle name="Normal 4 3 2 2 3 4 2 3" xfId="5028" xr:uid="{6110600E-5449-45C6-A72C-E9B9AA5C3DCF}"/>
    <cellStyle name="Normal 4 3 2 2 3 4 2 3 2" xfId="14136" xr:uid="{994192B2-EAAD-461A-B619-E86BEF8F55CB}"/>
    <cellStyle name="Normal 4 3 2 2 3 4 2 4" xfId="14134" xr:uid="{D80B3F75-322D-4C43-A272-DC67528F92FA}"/>
    <cellStyle name="Normal 4 3 2 2 3 4 3" xfId="5029" xr:uid="{5093F654-D0B7-4BF9-B366-B0233B00D0D2}"/>
    <cellStyle name="Normal 4 3 2 2 3 4 3 2" xfId="14137" xr:uid="{168FC905-8C00-443A-AB83-54B7B2371332}"/>
    <cellStyle name="Normal 4 3 2 2 3 4 4" xfId="5030" xr:uid="{07E45021-089A-4B0D-A14E-7EC9550B21B8}"/>
    <cellStyle name="Normal 4 3 2 2 3 4 4 2" xfId="14138" xr:uid="{6609D572-748B-4259-B145-5E8D4EE2C3F2}"/>
    <cellStyle name="Normal 4 3 2 2 3 4 5" xfId="5031" xr:uid="{38CA80ED-EEA2-4270-88BA-C1837247869A}"/>
    <cellStyle name="Normal 4 3 2 2 3 4 5 2" xfId="14139" xr:uid="{D38623A9-E47B-4D05-B24D-365EE5FDF535}"/>
    <cellStyle name="Normal 4 3 2 2 3 4 6" xfId="14133" xr:uid="{7180CEEA-E287-484F-B998-12E8B12F7626}"/>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2 2" xfId="14142" xr:uid="{C7F4C62F-01EA-4901-8C57-300B39AA4FA0}"/>
    <cellStyle name="Normal 4 3 2 2 3 5 2 3" xfId="5035" xr:uid="{C51F3731-AFF0-4155-8256-283F6D64314B}"/>
    <cellStyle name="Normal 4 3 2 2 3 5 2 3 2" xfId="14143" xr:uid="{9FF74324-6F05-4A91-A429-AAE857B3D018}"/>
    <cellStyle name="Normal 4 3 2 2 3 5 2 4" xfId="14141" xr:uid="{D0C72470-132B-417E-9F6B-0A9B81214D89}"/>
    <cellStyle name="Normal 4 3 2 2 3 5 3" xfId="5036" xr:uid="{BA88BB21-A6E0-4DCC-BACA-FB6BC9A02F2E}"/>
    <cellStyle name="Normal 4 3 2 2 3 5 3 2" xfId="14144" xr:uid="{F3A357EF-A357-49F0-89F2-1E8B575CDC4F}"/>
    <cellStyle name="Normal 4 3 2 2 3 5 4" xfId="5037" xr:uid="{67F72F79-F306-48C3-8B57-E7BECE9D12FF}"/>
    <cellStyle name="Normal 4 3 2 2 3 5 4 2" xfId="14145" xr:uid="{6753626D-0BC3-4BDC-A8A9-ABC4D29C98D9}"/>
    <cellStyle name="Normal 4 3 2 2 3 5 5" xfId="5038" xr:uid="{8EDD0DFB-A6A5-4D9D-B6B6-19BD40CD9D28}"/>
    <cellStyle name="Normal 4 3 2 2 3 5 5 2" xfId="14146" xr:uid="{24F92446-306C-4CED-8CD4-9AF578E1A8ED}"/>
    <cellStyle name="Normal 4 3 2 2 3 5 6" xfId="14140" xr:uid="{C2E304AA-FAFD-4F25-A424-A0E0BCDCED8D}"/>
    <cellStyle name="Normal 4 3 2 2 3 6" xfId="5039" xr:uid="{4CA2A166-D9D7-4369-BC1E-F05848436216}"/>
    <cellStyle name="Normal 4 3 2 2 3 6 2" xfId="5040" xr:uid="{C3682A7E-AADD-42EA-A135-CADC49CC5476}"/>
    <cellStyle name="Normal 4 3 2 2 3 6 2 2" xfId="14148" xr:uid="{11D35BDA-BCFF-4CDD-815A-B7148C6FCBCB}"/>
    <cellStyle name="Normal 4 3 2 2 3 6 3" xfId="5041" xr:uid="{4DDC9163-F5A6-4896-A047-398D0DCD39B8}"/>
    <cellStyle name="Normal 4 3 2 2 3 6 3 2" xfId="14149" xr:uid="{D476E4F9-3BF6-4714-AE67-B17A5D0B28E3}"/>
    <cellStyle name="Normal 4 3 2 2 3 6 4" xfId="14147" xr:uid="{1D3F1A33-CAFF-4617-BE9F-008578DD6975}"/>
    <cellStyle name="Normal 4 3 2 2 3 7" xfId="5042" xr:uid="{3B4BA1DF-FA2A-41EF-9D82-83981F6D5B38}"/>
    <cellStyle name="Normal 4 3 2 2 3 7 2" xfId="14150" xr:uid="{1E65156E-71DB-453F-BE80-9EBCF31B84EC}"/>
    <cellStyle name="Normal 4 3 2 2 3 8" xfId="5043" xr:uid="{30613FE8-3D27-4AA1-83F3-20BEFD84B8DF}"/>
    <cellStyle name="Normal 4 3 2 2 3 8 2" xfId="14151" xr:uid="{7CBC1928-7470-4620-BB63-B393E67F62F8}"/>
    <cellStyle name="Normal 4 3 2 2 3 9" xfId="5044" xr:uid="{3EDD00DA-3337-4AF4-8D04-98EA33699E54}"/>
    <cellStyle name="Normal 4 3 2 2 3 9 2" xfId="14152" xr:uid="{B9F11139-A39A-4BFC-AD5D-EF8B1ADF4E9D}"/>
    <cellStyle name="Normal 4 3 2 2 4" xfId="5045" xr:uid="{E29050E6-9697-474D-BE6A-084A56A5613F}"/>
    <cellStyle name="Normal 4 3 2 2 4 10" xfId="14153" xr:uid="{07F12755-5965-4B5F-9C3C-A5DA3DBA1B14}"/>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2 2" xfId="14158" xr:uid="{FD587792-B94A-44CA-957B-5F12F6F1AE83}"/>
    <cellStyle name="Normal 4 3 2 2 4 2 2 2 2 3" xfId="5051" xr:uid="{4DE7492B-14C0-4C72-BFEA-AC2EC0B38767}"/>
    <cellStyle name="Normal 4 3 2 2 4 2 2 2 2 3 2" xfId="14159" xr:uid="{AC64718C-A6CE-4124-AF6D-D433409EFDCB}"/>
    <cellStyle name="Normal 4 3 2 2 4 2 2 2 2 4" xfId="14157" xr:uid="{238EF432-8532-4443-89BA-36A5D9D4ECBC}"/>
    <cellStyle name="Normal 4 3 2 2 4 2 2 2 3" xfId="5052" xr:uid="{04EA1E3A-8471-45E3-AF43-08A1BAB763C3}"/>
    <cellStyle name="Normal 4 3 2 2 4 2 2 2 3 2" xfId="14160" xr:uid="{6906B291-6CF2-4E57-A147-128C48CB5753}"/>
    <cellStyle name="Normal 4 3 2 2 4 2 2 2 4" xfId="5053" xr:uid="{9D2B17FA-8B74-49C9-B83C-A97CBBD818FD}"/>
    <cellStyle name="Normal 4 3 2 2 4 2 2 2 4 2" xfId="14161" xr:uid="{07D11A31-DA8E-4435-AA02-1375B7C1113E}"/>
    <cellStyle name="Normal 4 3 2 2 4 2 2 2 5" xfId="5054" xr:uid="{A66AF168-4E41-4839-9814-0CE36F4B9351}"/>
    <cellStyle name="Normal 4 3 2 2 4 2 2 2 5 2" xfId="14162" xr:uid="{253D37D7-A715-4D9D-A546-1480A31AF9CC}"/>
    <cellStyle name="Normal 4 3 2 2 4 2 2 2 6" xfId="14156" xr:uid="{6DA73966-58A7-4427-AED4-4E9AA34BCFB4}"/>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2 2" xfId="14165" xr:uid="{8974D28F-3C4D-4ABD-848F-A172BF0BAB2F}"/>
    <cellStyle name="Normal 4 3 2 2 4 2 2 3 2 3" xfId="5058" xr:uid="{4EB4E253-8DAE-42DD-83AF-4E4187C83256}"/>
    <cellStyle name="Normal 4 3 2 2 4 2 2 3 2 3 2" xfId="14166" xr:uid="{C9F603F4-B99C-4A01-9CF9-BF11A809AABE}"/>
    <cellStyle name="Normal 4 3 2 2 4 2 2 3 2 4" xfId="14164" xr:uid="{97BB7334-5B89-42A4-A807-9EA3317C002C}"/>
    <cellStyle name="Normal 4 3 2 2 4 2 2 3 3" xfId="5059" xr:uid="{1CE64EAF-D6B8-4125-8903-02E650E91CA5}"/>
    <cellStyle name="Normal 4 3 2 2 4 2 2 3 3 2" xfId="14167" xr:uid="{18959C77-EC86-4B4D-B95B-FD8C61AAFB48}"/>
    <cellStyle name="Normal 4 3 2 2 4 2 2 3 4" xfId="5060" xr:uid="{01FC8A91-036B-4F5C-9A7F-A055149AB983}"/>
    <cellStyle name="Normal 4 3 2 2 4 2 2 3 4 2" xfId="14168" xr:uid="{B2ECDF66-2C34-4E9B-9440-023C228036A8}"/>
    <cellStyle name="Normal 4 3 2 2 4 2 2 3 5" xfId="5061" xr:uid="{F630969C-8F92-4F43-960D-CDB723422BCC}"/>
    <cellStyle name="Normal 4 3 2 2 4 2 2 3 5 2" xfId="14169" xr:uid="{59CF3059-D0FC-4F7F-AD9B-1F53CA762F71}"/>
    <cellStyle name="Normal 4 3 2 2 4 2 2 3 6" xfId="14163" xr:uid="{B41B6AA4-B083-4CD7-B641-078A4AB16BCA}"/>
    <cellStyle name="Normal 4 3 2 2 4 2 2 4" xfId="5062" xr:uid="{E7BA1D5E-8378-4712-A6FC-E4A2E754D801}"/>
    <cellStyle name="Normal 4 3 2 2 4 2 2 4 2" xfId="5063" xr:uid="{E7C760B4-701E-4820-9369-1552E306FD49}"/>
    <cellStyle name="Normal 4 3 2 2 4 2 2 4 2 2" xfId="14171" xr:uid="{A76271BC-0042-4825-A8F2-CED66F1BE563}"/>
    <cellStyle name="Normal 4 3 2 2 4 2 2 4 3" xfId="5064" xr:uid="{6C8BF1F1-462B-4B1F-BA38-1A6575C01852}"/>
    <cellStyle name="Normal 4 3 2 2 4 2 2 4 3 2" xfId="14172" xr:uid="{9FA2BA87-F080-465F-A304-DA0D1CE59D17}"/>
    <cellStyle name="Normal 4 3 2 2 4 2 2 4 4" xfId="14170" xr:uid="{2D59109C-7405-4CEA-BCA2-401D6122E272}"/>
    <cellStyle name="Normal 4 3 2 2 4 2 2 5" xfId="5065" xr:uid="{7AB32EEA-9C31-4F5D-8842-146812C118CC}"/>
    <cellStyle name="Normal 4 3 2 2 4 2 2 5 2" xfId="14173" xr:uid="{41976D88-D0E8-4D0F-8006-B97C012FF57E}"/>
    <cellStyle name="Normal 4 3 2 2 4 2 2 6" xfId="5066" xr:uid="{E556A3C1-6132-4991-93EF-1AC21E6BC469}"/>
    <cellStyle name="Normal 4 3 2 2 4 2 2 6 2" xfId="14174" xr:uid="{3197C220-8374-430E-A661-CCC1BA213E57}"/>
    <cellStyle name="Normal 4 3 2 2 4 2 2 7" xfId="5067" xr:uid="{354F31E5-F693-4073-A308-EBAFA48A8707}"/>
    <cellStyle name="Normal 4 3 2 2 4 2 2 7 2" xfId="14175" xr:uid="{BF0F5C71-F3A1-4BB0-84EB-C27AD38A9CF0}"/>
    <cellStyle name="Normal 4 3 2 2 4 2 2 8" xfId="14155" xr:uid="{01045DEB-4589-4831-BD7E-CCC52BE2519B}"/>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2 2" xfId="14178" xr:uid="{C1BE77BA-58B5-45B3-83EF-BED33AC82F38}"/>
    <cellStyle name="Normal 4 3 2 2 4 2 3 2 3" xfId="5071" xr:uid="{5664872A-9B96-4BE9-A39D-614D36F74B5B}"/>
    <cellStyle name="Normal 4 3 2 2 4 2 3 2 3 2" xfId="14179" xr:uid="{02332A39-D67F-4BCC-B467-7C4E9FD6156A}"/>
    <cellStyle name="Normal 4 3 2 2 4 2 3 2 4" xfId="14177" xr:uid="{4659C11C-5372-46C2-A5DE-31E09EF8A29E}"/>
    <cellStyle name="Normal 4 3 2 2 4 2 3 3" xfId="5072" xr:uid="{0ADE6DDB-31DA-433F-B9E2-431FC7A5AF86}"/>
    <cellStyle name="Normal 4 3 2 2 4 2 3 3 2" xfId="14180" xr:uid="{6839E1C0-0C03-4AF5-83DF-0609F026F072}"/>
    <cellStyle name="Normal 4 3 2 2 4 2 3 4" xfId="5073" xr:uid="{93A88013-6E8C-4A92-BC5E-BB65137D8577}"/>
    <cellStyle name="Normal 4 3 2 2 4 2 3 4 2" xfId="14181" xr:uid="{21601EF7-1C02-4D40-A50E-371AD9CD65E9}"/>
    <cellStyle name="Normal 4 3 2 2 4 2 3 5" xfId="5074" xr:uid="{9D6C5440-131F-4754-B4CF-87BDDA0BD752}"/>
    <cellStyle name="Normal 4 3 2 2 4 2 3 5 2" xfId="14182" xr:uid="{75D692C1-B59A-4558-A901-82172958EA75}"/>
    <cellStyle name="Normal 4 3 2 2 4 2 3 6" xfId="14176" xr:uid="{1C7E357A-4AF3-45BB-B06F-648D3F6DA268}"/>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2 2" xfId="14185" xr:uid="{F7C8F841-34A3-4139-8D75-9839E4543CF7}"/>
    <cellStyle name="Normal 4 3 2 2 4 2 4 2 3" xfId="5078" xr:uid="{DB125550-5249-4659-9165-BB9A8B58E216}"/>
    <cellStyle name="Normal 4 3 2 2 4 2 4 2 3 2" xfId="14186" xr:uid="{7ACE173E-6DE8-42F1-B7CE-844B128ED224}"/>
    <cellStyle name="Normal 4 3 2 2 4 2 4 2 4" xfId="14184" xr:uid="{3EF2C949-69D1-4008-82BA-C755FD5C45B6}"/>
    <cellStyle name="Normal 4 3 2 2 4 2 4 3" xfId="5079" xr:uid="{90CA68D9-6397-464A-8122-BDFF106FB1E5}"/>
    <cellStyle name="Normal 4 3 2 2 4 2 4 3 2" xfId="14187" xr:uid="{8FF59961-DAC8-476C-8057-4A9C7A6EA4D9}"/>
    <cellStyle name="Normal 4 3 2 2 4 2 4 4" xfId="5080" xr:uid="{D0ADD448-5E5A-489D-B7B3-5099F338C2B3}"/>
    <cellStyle name="Normal 4 3 2 2 4 2 4 4 2" xfId="14188" xr:uid="{1D80E3C0-ECB0-4B5C-BF8B-E1567160BC4D}"/>
    <cellStyle name="Normal 4 3 2 2 4 2 4 5" xfId="5081" xr:uid="{4B6EDC17-3D9E-4A0B-BE9A-204837C33E59}"/>
    <cellStyle name="Normal 4 3 2 2 4 2 4 5 2" xfId="14189" xr:uid="{E32A9CDB-2BD2-4258-A6B8-79D9C69DAE26}"/>
    <cellStyle name="Normal 4 3 2 2 4 2 4 6" xfId="14183" xr:uid="{9CAF5F9F-5E9F-4DA0-A63C-344756B63A47}"/>
    <cellStyle name="Normal 4 3 2 2 4 2 5" xfId="5082" xr:uid="{FA56275F-EC07-4E62-8035-2395824B24E2}"/>
    <cellStyle name="Normal 4 3 2 2 4 2 5 2" xfId="5083" xr:uid="{BFAC3F27-DE3F-4883-A211-B3E0C9D9F684}"/>
    <cellStyle name="Normal 4 3 2 2 4 2 5 2 2" xfId="14191" xr:uid="{6A8B7692-811E-4B5E-A43D-DC116D051F85}"/>
    <cellStyle name="Normal 4 3 2 2 4 2 5 3" xfId="5084" xr:uid="{7B535B5B-EF44-4BE6-BD07-E948198F0DFE}"/>
    <cellStyle name="Normal 4 3 2 2 4 2 5 3 2" xfId="14192" xr:uid="{E2632431-E13A-49EB-BE87-D76A354CD0F0}"/>
    <cellStyle name="Normal 4 3 2 2 4 2 5 4" xfId="14190" xr:uid="{BFB51454-5C44-471E-8E9A-2F33DDF80023}"/>
    <cellStyle name="Normal 4 3 2 2 4 2 6" xfId="5085" xr:uid="{A5F0433F-CC87-4C71-A298-E1FFAED7F449}"/>
    <cellStyle name="Normal 4 3 2 2 4 2 6 2" xfId="14193" xr:uid="{F2E5A022-CE0C-4BEE-B1A1-A20D8E5006E7}"/>
    <cellStyle name="Normal 4 3 2 2 4 2 7" xfId="5086" xr:uid="{CEF93020-B937-4794-A43D-019BB6CE4716}"/>
    <cellStyle name="Normal 4 3 2 2 4 2 7 2" xfId="14194" xr:uid="{89D2272C-D411-4DC0-884F-F71184B85CD0}"/>
    <cellStyle name="Normal 4 3 2 2 4 2 8" xfId="5087" xr:uid="{ED2A3B5F-3CF1-4B5F-B620-661C765CCBD5}"/>
    <cellStyle name="Normal 4 3 2 2 4 2 8 2" xfId="14195" xr:uid="{659DC304-A5C5-4978-9466-05FE31BB2D26}"/>
    <cellStyle name="Normal 4 3 2 2 4 2 9" xfId="14154" xr:uid="{E2EF20AA-BB07-46FE-906B-7350489E7646}"/>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2 2" xfId="14199" xr:uid="{99544CA6-4BB7-41FF-AD2B-197C09CA87DE}"/>
    <cellStyle name="Normal 4 3 2 2 4 3 2 2 3" xfId="5092" xr:uid="{6F084239-84B7-4C2F-9148-A6D337542DB9}"/>
    <cellStyle name="Normal 4 3 2 2 4 3 2 2 3 2" xfId="14200" xr:uid="{8882BDE5-BCFF-4FE7-887A-12DC43C079BB}"/>
    <cellStyle name="Normal 4 3 2 2 4 3 2 2 4" xfId="14198" xr:uid="{5C580053-8E02-4C7A-9A37-DC18A247BCE2}"/>
    <cellStyle name="Normal 4 3 2 2 4 3 2 3" xfId="5093" xr:uid="{3745D384-91D6-4FC8-89D5-C073DAB66FDF}"/>
    <cellStyle name="Normal 4 3 2 2 4 3 2 3 2" xfId="14201" xr:uid="{C17538CD-F70D-4F10-9A8D-DE91B09D586C}"/>
    <cellStyle name="Normal 4 3 2 2 4 3 2 4" xfId="5094" xr:uid="{9DD5F493-8ECF-45D1-BE31-0A8228B7AD3F}"/>
    <cellStyle name="Normal 4 3 2 2 4 3 2 4 2" xfId="14202" xr:uid="{EE7F2D66-9C24-4D85-B8DF-59607E1284C5}"/>
    <cellStyle name="Normal 4 3 2 2 4 3 2 5" xfId="5095" xr:uid="{FDD16629-3805-40CF-BFA7-CCE20636EDB9}"/>
    <cellStyle name="Normal 4 3 2 2 4 3 2 5 2" xfId="14203" xr:uid="{C016EDDB-AEC0-40D0-B456-C836C6858B09}"/>
    <cellStyle name="Normal 4 3 2 2 4 3 2 6" xfId="14197" xr:uid="{AD211BAB-1200-4A7C-A340-400BA95123B3}"/>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2 2" xfId="14206" xr:uid="{1E2C0980-648C-4ED7-8529-8B915D6CAA22}"/>
    <cellStyle name="Normal 4 3 2 2 4 3 3 2 3" xfId="5099" xr:uid="{6F8767D7-0F47-44E9-BE9A-8218B84C5FDA}"/>
    <cellStyle name="Normal 4 3 2 2 4 3 3 2 3 2" xfId="14207" xr:uid="{F53EB0B2-044B-4904-8A5D-8DD2C3FA5DD3}"/>
    <cellStyle name="Normal 4 3 2 2 4 3 3 2 4" xfId="14205" xr:uid="{D873D69D-5D5F-4D61-AE89-B3296363DDE4}"/>
    <cellStyle name="Normal 4 3 2 2 4 3 3 3" xfId="5100" xr:uid="{67D19649-B1D6-48FF-8881-31E39478D697}"/>
    <cellStyle name="Normal 4 3 2 2 4 3 3 3 2" xfId="14208" xr:uid="{937005D8-D59E-44F9-9789-B529CBC8F480}"/>
    <cellStyle name="Normal 4 3 2 2 4 3 3 4" xfId="5101" xr:uid="{21D79715-816B-4F09-A8AF-585D1A6B74EF}"/>
    <cellStyle name="Normal 4 3 2 2 4 3 3 4 2" xfId="14209" xr:uid="{80083145-D485-4A5E-9682-191A51E5BD64}"/>
    <cellStyle name="Normal 4 3 2 2 4 3 3 5" xfId="5102" xr:uid="{4F4EA885-2E13-4A0C-A855-ACDABF2CDDD1}"/>
    <cellStyle name="Normal 4 3 2 2 4 3 3 5 2" xfId="14210" xr:uid="{A0F75932-31A2-4AF7-BC5E-86F7EB537B80}"/>
    <cellStyle name="Normal 4 3 2 2 4 3 3 6" xfId="14204" xr:uid="{95AB85E9-8B3D-499D-A854-76B999C19E43}"/>
    <cellStyle name="Normal 4 3 2 2 4 3 4" xfId="5103" xr:uid="{28B7AC5E-8126-4756-B2C3-3912263ABB4A}"/>
    <cellStyle name="Normal 4 3 2 2 4 3 4 2" xfId="5104" xr:uid="{1E3491DC-781B-4B33-9A30-4093B85524C2}"/>
    <cellStyle name="Normal 4 3 2 2 4 3 4 2 2" xfId="14212" xr:uid="{893182B1-812E-4122-BAAB-B568B1EF896C}"/>
    <cellStyle name="Normal 4 3 2 2 4 3 4 3" xfId="5105" xr:uid="{0364E342-C31C-49A5-82E4-2FDB52F2AC11}"/>
    <cellStyle name="Normal 4 3 2 2 4 3 4 3 2" xfId="14213" xr:uid="{5BC37467-C18C-4BCA-9661-1DE29AD07CEB}"/>
    <cellStyle name="Normal 4 3 2 2 4 3 4 4" xfId="14211" xr:uid="{16A6B57F-EABF-4C78-B417-FA88E14DFB59}"/>
    <cellStyle name="Normal 4 3 2 2 4 3 5" xfId="5106" xr:uid="{26391818-B83B-41D5-BA93-C73E5051B33A}"/>
    <cellStyle name="Normal 4 3 2 2 4 3 5 2" xfId="14214" xr:uid="{058F1214-BE9D-4BAF-9B26-E02F1DC5432F}"/>
    <cellStyle name="Normal 4 3 2 2 4 3 6" xfId="5107" xr:uid="{D9F627E2-823E-4179-98C6-2D6FF1DB97CD}"/>
    <cellStyle name="Normal 4 3 2 2 4 3 6 2" xfId="14215" xr:uid="{DEDBD646-DEA4-4383-8327-6F312E5CAC65}"/>
    <cellStyle name="Normal 4 3 2 2 4 3 7" xfId="5108" xr:uid="{77C5FC50-2B3E-4061-B641-56F53B740176}"/>
    <cellStyle name="Normal 4 3 2 2 4 3 7 2" xfId="14216" xr:uid="{75A66B30-DA02-4B83-B1BC-00938E7D5EA4}"/>
    <cellStyle name="Normal 4 3 2 2 4 3 8" xfId="14196" xr:uid="{A6FA9292-0FC5-4DB4-943A-4957FCC8EF2B}"/>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2 2" xfId="14219" xr:uid="{F7FD9013-48FD-4FF5-A748-5630497D7FD0}"/>
    <cellStyle name="Normal 4 3 2 2 4 4 2 3" xfId="5112" xr:uid="{4CB11B73-02D2-4671-A2EB-E75A6714629E}"/>
    <cellStyle name="Normal 4 3 2 2 4 4 2 3 2" xfId="14220" xr:uid="{C5418691-90D9-416C-B30A-9F602402ED96}"/>
    <cellStyle name="Normal 4 3 2 2 4 4 2 4" xfId="14218" xr:uid="{F7C38170-59D5-4F71-A1E5-278DC36A89BC}"/>
    <cellStyle name="Normal 4 3 2 2 4 4 3" xfId="5113" xr:uid="{D69C6476-FD48-4A6D-90C9-B2E9EE28E0BC}"/>
    <cellStyle name="Normal 4 3 2 2 4 4 3 2" xfId="14221" xr:uid="{B4541C79-604F-4617-8632-A897CC4414E7}"/>
    <cellStyle name="Normal 4 3 2 2 4 4 4" xfId="5114" xr:uid="{24302645-8B87-461F-94E2-7585DD525E2B}"/>
    <cellStyle name="Normal 4 3 2 2 4 4 4 2" xfId="14222" xr:uid="{D250E3D6-ABB4-4F28-B5DB-50F7EC81F300}"/>
    <cellStyle name="Normal 4 3 2 2 4 4 5" xfId="5115" xr:uid="{F96F670E-B8B6-4F59-8387-3D318BCE4A97}"/>
    <cellStyle name="Normal 4 3 2 2 4 4 5 2" xfId="14223" xr:uid="{B92DF56F-A47A-436F-B515-ED4685628902}"/>
    <cellStyle name="Normal 4 3 2 2 4 4 6" xfId="14217" xr:uid="{36C02D8B-76B1-47B2-B3BF-D7EE0BA4690C}"/>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2 2" xfId="14226" xr:uid="{97F2E435-EE59-46D4-8E73-BFCC63F71DE1}"/>
    <cellStyle name="Normal 4 3 2 2 4 5 2 3" xfId="5119" xr:uid="{7C9E8FAE-E414-43D3-BF19-925A520F730F}"/>
    <cellStyle name="Normal 4 3 2 2 4 5 2 3 2" xfId="14227" xr:uid="{C1CE4E22-D27F-4741-8AB6-9FA7DC51FAC6}"/>
    <cellStyle name="Normal 4 3 2 2 4 5 2 4" xfId="14225" xr:uid="{CD8DF029-F110-4358-94FB-848A3EF44BD9}"/>
    <cellStyle name="Normal 4 3 2 2 4 5 3" xfId="5120" xr:uid="{32FFFB63-AE1A-4AAC-B672-CA9D522E66F9}"/>
    <cellStyle name="Normal 4 3 2 2 4 5 3 2" xfId="14228" xr:uid="{075AAECC-A03A-4344-B075-1AA3D31510D5}"/>
    <cellStyle name="Normal 4 3 2 2 4 5 4" xfId="5121" xr:uid="{D5AD8DC5-7FB5-467E-BD04-A68770A70F9E}"/>
    <cellStyle name="Normal 4 3 2 2 4 5 4 2" xfId="14229" xr:uid="{1AE97A72-9BF5-41E9-856D-E205DB49FAD4}"/>
    <cellStyle name="Normal 4 3 2 2 4 5 5" xfId="5122" xr:uid="{F2D201D9-32D8-46F0-A069-A4CBDD58D7F4}"/>
    <cellStyle name="Normal 4 3 2 2 4 5 5 2" xfId="14230" xr:uid="{80D06F08-8524-44C7-A3B9-ADD47627BFB3}"/>
    <cellStyle name="Normal 4 3 2 2 4 5 6" xfId="14224" xr:uid="{756B51FA-C121-4BD4-B068-9D5E540542DA}"/>
    <cellStyle name="Normal 4 3 2 2 4 6" xfId="5123" xr:uid="{09562674-9267-4AB6-836A-BA25E0B36B55}"/>
    <cellStyle name="Normal 4 3 2 2 4 6 2" xfId="5124" xr:uid="{43DCB9B8-250D-469A-8ABD-9DB973E653D8}"/>
    <cellStyle name="Normal 4 3 2 2 4 6 2 2" xfId="14232" xr:uid="{B853C490-94E9-4B20-9563-0E13F422C976}"/>
    <cellStyle name="Normal 4 3 2 2 4 6 3" xfId="5125" xr:uid="{5DC01F9A-72EE-4AF4-9CFD-9694825697B0}"/>
    <cellStyle name="Normal 4 3 2 2 4 6 3 2" xfId="14233" xr:uid="{41064362-DE73-4403-8813-5DEAB7827005}"/>
    <cellStyle name="Normal 4 3 2 2 4 6 4" xfId="14231" xr:uid="{7AA6EABD-B8DE-4E94-9774-3CCB7B1FE2B6}"/>
    <cellStyle name="Normal 4 3 2 2 4 7" xfId="5126" xr:uid="{2B01ED2A-B628-4A00-A461-F820C6A04724}"/>
    <cellStyle name="Normal 4 3 2 2 4 7 2" xfId="14234" xr:uid="{7F8BE3F5-6547-4010-9A48-CD1A55D56212}"/>
    <cellStyle name="Normal 4 3 2 2 4 8" xfId="5127" xr:uid="{713DF33B-896A-4539-8874-CEFCF47B3F4F}"/>
    <cellStyle name="Normal 4 3 2 2 4 8 2" xfId="14235" xr:uid="{260782AC-2361-4885-B279-6203BB7C7C4B}"/>
    <cellStyle name="Normal 4 3 2 2 4 9" xfId="5128" xr:uid="{7D178B0F-C27E-43E9-9505-5E508601430B}"/>
    <cellStyle name="Normal 4 3 2 2 4 9 2" xfId="14236" xr:uid="{DA11DCC7-6C19-4E53-956E-85F8296E15C7}"/>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2 2" xfId="14241" xr:uid="{4F014186-C57B-4C48-95D8-681632C15C42}"/>
    <cellStyle name="Normal 4 3 2 2 5 2 2 2 3" xfId="5134" xr:uid="{88A4CB43-9E27-47AD-8C97-8744EA00EAD1}"/>
    <cellStyle name="Normal 4 3 2 2 5 2 2 2 3 2" xfId="14242" xr:uid="{F3B41D58-4E2D-4903-B075-54A61A8C1932}"/>
    <cellStyle name="Normal 4 3 2 2 5 2 2 2 4" xfId="14240" xr:uid="{F33EAAE0-2C34-483E-A0B1-D424A4386C91}"/>
    <cellStyle name="Normal 4 3 2 2 5 2 2 3" xfId="5135" xr:uid="{728249C1-7245-46C2-9351-2C14C7D5B831}"/>
    <cellStyle name="Normal 4 3 2 2 5 2 2 3 2" xfId="14243" xr:uid="{384BF8C3-D63C-4B60-B76D-30EF09345EB7}"/>
    <cellStyle name="Normal 4 3 2 2 5 2 2 4" xfId="5136" xr:uid="{F2C90B30-ADC2-49BD-A6FB-4C7754CD60CA}"/>
    <cellStyle name="Normal 4 3 2 2 5 2 2 4 2" xfId="14244" xr:uid="{7B9B3118-6E24-4EFE-B43C-30C569C54B61}"/>
    <cellStyle name="Normal 4 3 2 2 5 2 2 5" xfId="5137" xr:uid="{3EADA839-F138-4941-8F9A-C12161B53786}"/>
    <cellStyle name="Normal 4 3 2 2 5 2 2 5 2" xfId="14245" xr:uid="{7EF791D5-A898-4553-A880-4289AB571267}"/>
    <cellStyle name="Normal 4 3 2 2 5 2 2 6" xfId="14239" xr:uid="{3C7649AB-1E1E-44BF-BBDF-81C501BE9C3C}"/>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2 2" xfId="14248" xr:uid="{2BF13B8A-0A75-4531-8B42-7C04C877F327}"/>
    <cellStyle name="Normal 4 3 2 2 5 2 3 2 3" xfId="5141" xr:uid="{C694D253-79A5-42D5-AEAD-0CD65D226211}"/>
    <cellStyle name="Normal 4 3 2 2 5 2 3 2 3 2" xfId="14249" xr:uid="{FF657F3A-59F6-4D7A-87FD-357F0FFDACB0}"/>
    <cellStyle name="Normal 4 3 2 2 5 2 3 2 4" xfId="14247" xr:uid="{923B955B-17F7-49F6-88C8-7EEC28413B81}"/>
    <cellStyle name="Normal 4 3 2 2 5 2 3 3" xfId="5142" xr:uid="{F78B5542-60C3-4242-8B71-F5B9AF53FD6D}"/>
    <cellStyle name="Normal 4 3 2 2 5 2 3 3 2" xfId="14250" xr:uid="{F251AE88-CF13-4188-887C-7F22E802B547}"/>
    <cellStyle name="Normal 4 3 2 2 5 2 3 4" xfId="5143" xr:uid="{6F71AB35-0162-40AF-A561-70F240FBC699}"/>
    <cellStyle name="Normal 4 3 2 2 5 2 3 4 2" xfId="14251" xr:uid="{A8DCF98E-EED3-45E6-B284-5F59EEFB27E0}"/>
    <cellStyle name="Normal 4 3 2 2 5 2 3 5" xfId="5144" xr:uid="{0672403B-6680-4CAA-A48A-8179BD947B5D}"/>
    <cellStyle name="Normal 4 3 2 2 5 2 3 5 2" xfId="14252" xr:uid="{63D12F2C-8F19-4B5F-BD4C-813F0852A885}"/>
    <cellStyle name="Normal 4 3 2 2 5 2 3 6" xfId="14246" xr:uid="{AB505372-E772-4000-B35E-F3DE0D497BBE}"/>
    <cellStyle name="Normal 4 3 2 2 5 2 4" xfId="5145" xr:uid="{FE2B1DA3-83B0-4003-94DB-B7F2DAD125A4}"/>
    <cellStyle name="Normal 4 3 2 2 5 2 4 2" xfId="5146" xr:uid="{F3B633A6-E54B-4BDF-B606-A2A61F477EB0}"/>
    <cellStyle name="Normal 4 3 2 2 5 2 4 2 2" xfId="14254" xr:uid="{1DF08F63-63F8-4522-9820-BD82ABECA260}"/>
    <cellStyle name="Normal 4 3 2 2 5 2 4 3" xfId="5147" xr:uid="{70E4170D-A00C-49A9-B155-29CFDB24E7E9}"/>
    <cellStyle name="Normal 4 3 2 2 5 2 4 3 2" xfId="14255" xr:uid="{C6C80DC8-9135-42C4-A2A0-89EB65BFCC52}"/>
    <cellStyle name="Normal 4 3 2 2 5 2 4 4" xfId="14253" xr:uid="{2C5E74B5-812D-4C62-890B-51350698BD3C}"/>
    <cellStyle name="Normal 4 3 2 2 5 2 5" xfId="5148" xr:uid="{5A195300-C788-4FA6-893B-02C620067036}"/>
    <cellStyle name="Normal 4 3 2 2 5 2 5 2" xfId="14256" xr:uid="{39BB3AAF-99DD-4061-AD57-9B661FABEF55}"/>
    <cellStyle name="Normal 4 3 2 2 5 2 6" xfId="5149" xr:uid="{E5138FFE-5179-4371-BDE2-A689F8D418BC}"/>
    <cellStyle name="Normal 4 3 2 2 5 2 6 2" xfId="14257" xr:uid="{D86CA926-0840-4402-BACB-4F0DF81EEECD}"/>
    <cellStyle name="Normal 4 3 2 2 5 2 7" xfId="5150" xr:uid="{5177A4A7-39A3-48FD-AD50-90153806578C}"/>
    <cellStyle name="Normal 4 3 2 2 5 2 7 2" xfId="14258" xr:uid="{FD98CFB9-A448-4DF2-94C5-72DC5DFD80DD}"/>
    <cellStyle name="Normal 4 3 2 2 5 2 8" xfId="14238" xr:uid="{BFB0879A-8434-42C6-9C82-741EFFC89819}"/>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2 2" xfId="14261" xr:uid="{46D5BC5B-9EA6-4AB4-AA0A-52F2810B125F}"/>
    <cellStyle name="Normal 4 3 2 2 5 3 2 3" xfId="5154" xr:uid="{8EF7CA9F-1984-4873-B6C4-FB756463F26F}"/>
    <cellStyle name="Normal 4 3 2 2 5 3 2 3 2" xfId="14262" xr:uid="{2D5931CB-5B42-47A7-A80F-CCD683D98E2F}"/>
    <cellStyle name="Normal 4 3 2 2 5 3 2 4" xfId="14260" xr:uid="{89EFD269-1FF0-458E-A115-452B5054C90D}"/>
    <cellStyle name="Normal 4 3 2 2 5 3 3" xfId="5155" xr:uid="{C77A24E5-45CF-4FD9-A4AC-7881CE01CD04}"/>
    <cellStyle name="Normal 4 3 2 2 5 3 3 2" xfId="14263" xr:uid="{210ED9AB-ABAA-4DE5-994E-29FEA8E724FE}"/>
    <cellStyle name="Normal 4 3 2 2 5 3 4" xfId="5156" xr:uid="{F50C1A36-4E86-4637-BCF8-3CB0B321A25C}"/>
    <cellStyle name="Normal 4 3 2 2 5 3 4 2" xfId="14264" xr:uid="{83CEDE50-D54D-43B3-8E18-905E9129522C}"/>
    <cellStyle name="Normal 4 3 2 2 5 3 5" xfId="5157" xr:uid="{834802A0-AE45-4C95-BE5A-8D70E05D5AFC}"/>
    <cellStyle name="Normal 4 3 2 2 5 3 5 2" xfId="14265" xr:uid="{37F8C927-BE82-4508-82E0-098B61D991D4}"/>
    <cellStyle name="Normal 4 3 2 2 5 3 6" xfId="14259" xr:uid="{DD44EA2E-98A6-4408-98DE-AF2614371017}"/>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2 2" xfId="14268" xr:uid="{4F0C3CEB-A3B9-4FE1-9B02-8ADBAF3D447A}"/>
    <cellStyle name="Normal 4 3 2 2 5 4 2 3" xfId="5161" xr:uid="{6162D886-FF88-43B9-86E5-DB1DB0EB91FA}"/>
    <cellStyle name="Normal 4 3 2 2 5 4 2 3 2" xfId="14269" xr:uid="{3A4B91C8-AA70-427C-884D-266911F15326}"/>
    <cellStyle name="Normal 4 3 2 2 5 4 2 4" xfId="14267" xr:uid="{33D29752-A990-48CE-8BBC-5AEBFBADA7F4}"/>
    <cellStyle name="Normal 4 3 2 2 5 4 3" xfId="5162" xr:uid="{299BDD8F-C72B-4E9A-9C61-FD5A13208141}"/>
    <cellStyle name="Normal 4 3 2 2 5 4 3 2" xfId="14270" xr:uid="{8DB10D8E-64BB-4842-A2F1-27D81A668D30}"/>
    <cellStyle name="Normal 4 3 2 2 5 4 4" xfId="5163" xr:uid="{1D2C8D10-AF19-4163-8C42-E45B76A42703}"/>
    <cellStyle name="Normal 4 3 2 2 5 4 4 2" xfId="14271" xr:uid="{D0248972-C0DE-4DCC-A49D-A5A1553205B7}"/>
    <cellStyle name="Normal 4 3 2 2 5 4 5" xfId="5164" xr:uid="{F1AE835E-4990-410F-B188-1014B6EC4A82}"/>
    <cellStyle name="Normal 4 3 2 2 5 4 5 2" xfId="14272" xr:uid="{E11D30FC-70CC-4376-9064-D9BC3F2E55C8}"/>
    <cellStyle name="Normal 4 3 2 2 5 4 6" xfId="14266" xr:uid="{C781BDE6-1793-4E98-804D-EC1283930F87}"/>
    <cellStyle name="Normal 4 3 2 2 5 5" xfId="5165" xr:uid="{DC40A20C-280E-4111-A030-7A833F9C4E90}"/>
    <cellStyle name="Normal 4 3 2 2 5 5 2" xfId="5166" xr:uid="{FF32A84C-98C7-4FE4-9CD8-5176E0FEFED4}"/>
    <cellStyle name="Normal 4 3 2 2 5 5 2 2" xfId="14274" xr:uid="{469ABD03-A3B7-4DD5-B8CD-E90746C17DD6}"/>
    <cellStyle name="Normal 4 3 2 2 5 5 3" xfId="5167" xr:uid="{53FD055F-F53B-4494-893D-1C5015CCC0E2}"/>
    <cellStyle name="Normal 4 3 2 2 5 5 3 2" xfId="14275" xr:uid="{9283CD89-1FD7-41C5-B69E-C276A93BB1A2}"/>
    <cellStyle name="Normal 4 3 2 2 5 5 4" xfId="14273" xr:uid="{CA8B4176-4F77-4278-9BBC-A9ECE1B07EC8}"/>
    <cellStyle name="Normal 4 3 2 2 5 6" xfId="5168" xr:uid="{BAC5CD75-4CF3-46C1-BE03-84BBBAE32CE6}"/>
    <cellStyle name="Normal 4 3 2 2 5 6 2" xfId="14276" xr:uid="{6F0E5749-D72D-4447-924F-31E61D194A12}"/>
    <cellStyle name="Normal 4 3 2 2 5 7" xfId="5169" xr:uid="{A49DACBD-97B2-4253-BC0A-A1F29842E1FD}"/>
    <cellStyle name="Normal 4 3 2 2 5 7 2" xfId="14277" xr:uid="{6A1083A7-3040-4A63-8E75-E958196D3148}"/>
    <cellStyle name="Normal 4 3 2 2 5 8" xfId="5170" xr:uid="{605BF955-E0CD-4A8A-9076-AB3856DB6668}"/>
    <cellStyle name="Normal 4 3 2 2 5 8 2" xfId="14278" xr:uid="{565A1FC3-DE63-4AF4-A750-DF185FF8DDB9}"/>
    <cellStyle name="Normal 4 3 2 2 5 9" xfId="14237" xr:uid="{F2C1CDBC-46F4-4291-A707-45D73FAF5109}"/>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2 2" xfId="14282" xr:uid="{D1FC8C70-7476-4E12-A199-2BF793F84329}"/>
    <cellStyle name="Normal 4 3 2 2 6 2 2 3" xfId="5175" xr:uid="{C57A6B8A-4CEC-47DE-AA0C-77599C10C6A0}"/>
    <cellStyle name="Normal 4 3 2 2 6 2 2 3 2" xfId="14283" xr:uid="{BE7710C2-A45C-42BB-B83A-3F037D7D8339}"/>
    <cellStyle name="Normal 4 3 2 2 6 2 2 4" xfId="14281" xr:uid="{64FF8552-4C3F-42E0-9F78-6320868AE9ED}"/>
    <cellStyle name="Normal 4 3 2 2 6 2 3" xfId="5176" xr:uid="{37C34880-1CB7-4F67-AC93-02FAE054B790}"/>
    <cellStyle name="Normal 4 3 2 2 6 2 3 2" xfId="14284" xr:uid="{728E917D-5DA2-47C2-91A0-96211AA02ACE}"/>
    <cellStyle name="Normal 4 3 2 2 6 2 4" xfId="5177" xr:uid="{9A195E9A-42C1-49FA-9E85-A5F45BA1D706}"/>
    <cellStyle name="Normal 4 3 2 2 6 2 4 2" xfId="14285" xr:uid="{91392CA3-5862-44FD-A78F-09CF427EDBD9}"/>
    <cellStyle name="Normal 4 3 2 2 6 2 5" xfId="5178" xr:uid="{D776FFA5-D6C6-48BE-805D-BC1433958644}"/>
    <cellStyle name="Normal 4 3 2 2 6 2 5 2" xfId="14286" xr:uid="{5013C6E8-9B85-4469-8877-5E08F181328C}"/>
    <cellStyle name="Normal 4 3 2 2 6 2 6" xfId="14280" xr:uid="{8310A7AE-DB23-4D5B-A27A-5D61DFB15002}"/>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2 2" xfId="14289" xr:uid="{DDFA7213-7087-4458-B6E8-67909C1BC882}"/>
    <cellStyle name="Normal 4 3 2 2 6 3 2 3" xfId="5182" xr:uid="{3D26F5D7-02BF-4317-BEAB-4D2ED4E9A7F2}"/>
    <cellStyle name="Normal 4 3 2 2 6 3 2 3 2" xfId="14290" xr:uid="{363F9FBD-AE25-481C-A5C9-EFC744F66BA0}"/>
    <cellStyle name="Normal 4 3 2 2 6 3 2 4" xfId="14288" xr:uid="{D0C02834-E817-44FA-AD6E-2719E33D5411}"/>
    <cellStyle name="Normal 4 3 2 2 6 3 3" xfId="5183" xr:uid="{681507BC-9F9E-43C6-B716-0772D3F84EE4}"/>
    <cellStyle name="Normal 4 3 2 2 6 3 3 2" xfId="14291" xr:uid="{EE8317B4-8131-472C-88BC-6800E2AADD5F}"/>
    <cellStyle name="Normal 4 3 2 2 6 3 4" xfId="5184" xr:uid="{79BDCB43-D6B9-4345-9294-84575400D6BD}"/>
    <cellStyle name="Normal 4 3 2 2 6 3 4 2" xfId="14292" xr:uid="{D76A8E5E-50FB-4A38-94BA-7366D9A70975}"/>
    <cellStyle name="Normal 4 3 2 2 6 3 5" xfId="5185" xr:uid="{50B85188-6234-400E-B51C-814FA0036AF3}"/>
    <cellStyle name="Normal 4 3 2 2 6 3 5 2" xfId="14293" xr:uid="{6DC0C7FA-F24D-493D-A521-DB31AB80BFB1}"/>
    <cellStyle name="Normal 4 3 2 2 6 3 6" xfId="14287" xr:uid="{E5C35740-0AE9-47AC-B306-E4657F911166}"/>
    <cellStyle name="Normal 4 3 2 2 6 4" xfId="5186" xr:uid="{15BBC505-3397-4781-AFFE-61DAF5DBEFD8}"/>
    <cellStyle name="Normal 4 3 2 2 6 4 2" xfId="5187" xr:uid="{17335464-11E0-4932-868D-5034B757D987}"/>
    <cellStyle name="Normal 4 3 2 2 6 4 2 2" xfId="14295" xr:uid="{E4DCEB6D-4DEB-4BEB-B3F6-699023336176}"/>
    <cellStyle name="Normal 4 3 2 2 6 4 3" xfId="5188" xr:uid="{B0462A9A-8F47-412F-9090-611C703E8B6C}"/>
    <cellStyle name="Normal 4 3 2 2 6 4 3 2" xfId="14296" xr:uid="{5C30ACE7-5ED4-4A5F-AE26-9D40413153D3}"/>
    <cellStyle name="Normal 4 3 2 2 6 4 4" xfId="14294" xr:uid="{B62D0E79-F67E-4527-A380-5E01A15ADC47}"/>
    <cellStyle name="Normal 4 3 2 2 6 5" xfId="5189" xr:uid="{6C79FAB9-8B80-4DED-B77E-AD4B51F402D3}"/>
    <cellStyle name="Normal 4 3 2 2 6 5 2" xfId="14297" xr:uid="{6CF34FD7-B119-4FCB-9AD1-96D5569A30F1}"/>
    <cellStyle name="Normal 4 3 2 2 6 6" xfId="5190" xr:uid="{6BB072D0-1756-4A52-8EA0-E2CE4FB3CB48}"/>
    <cellStyle name="Normal 4 3 2 2 6 6 2" xfId="14298" xr:uid="{AC56FC79-9F58-4A35-9665-B1B3EB932236}"/>
    <cellStyle name="Normal 4 3 2 2 6 7" xfId="5191" xr:uid="{3C5093D2-7E0E-462C-9895-BD67AB9400A4}"/>
    <cellStyle name="Normal 4 3 2 2 6 7 2" xfId="14299" xr:uid="{A6C67777-68DB-4979-B663-92EEEB9F2BFA}"/>
    <cellStyle name="Normal 4 3 2 2 6 8" xfId="14279" xr:uid="{C1FB2809-5971-43E9-BE9D-A5D5808FAFB6}"/>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2 2" xfId="14303" xr:uid="{B60E5A8E-617A-47C0-9CB7-A764D8F624DC}"/>
    <cellStyle name="Normal 4 3 2 2 7 2 2 3" xfId="5196" xr:uid="{BAD3B824-D37C-4613-9B3C-B711C5C59712}"/>
    <cellStyle name="Normal 4 3 2 2 7 2 2 3 2" xfId="14304" xr:uid="{030BDB96-5A9A-4546-AF56-73EE0C061554}"/>
    <cellStyle name="Normal 4 3 2 2 7 2 2 4" xfId="14302" xr:uid="{747B9461-E80A-4E57-BCE7-94483A12F1E0}"/>
    <cellStyle name="Normal 4 3 2 2 7 2 3" xfId="5197" xr:uid="{2F3EEA0C-C60C-4946-8B17-23715261AFAB}"/>
    <cellStyle name="Normal 4 3 2 2 7 2 3 2" xfId="14305" xr:uid="{E0D2B1B4-7EEE-4493-8005-80F80E21DDAD}"/>
    <cellStyle name="Normal 4 3 2 2 7 2 4" xfId="5198" xr:uid="{EF21472A-C6E6-4DEC-BDD6-711692BA8D8A}"/>
    <cellStyle name="Normal 4 3 2 2 7 2 4 2" xfId="14306" xr:uid="{67E2BB34-DFFC-442E-BE7F-90F8F0B6D043}"/>
    <cellStyle name="Normal 4 3 2 2 7 2 5" xfId="5199" xr:uid="{39A3AEF9-DB79-45E9-B446-4F63647019FE}"/>
    <cellStyle name="Normal 4 3 2 2 7 2 5 2" xfId="14307" xr:uid="{058C5FDF-19B3-4BC0-8569-2D4367EC23ED}"/>
    <cellStyle name="Normal 4 3 2 2 7 2 6" xfId="14301" xr:uid="{7EF5E7D0-F9A1-4A09-98B5-5968BBB86BD3}"/>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2 2" xfId="14310" xr:uid="{3D1D9043-BF9F-4781-8307-A18FC64C28F1}"/>
    <cellStyle name="Normal 4 3 2 2 7 3 2 3" xfId="5203" xr:uid="{04A4B3BE-C92E-48D4-82D7-489D50E35AF0}"/>
    <cellStyle name="Normal 4 3 2 2 7 3 2 3 2" xfId="14311" xr:uid="{DA02FCE5-56E7-446D-8FC9-122B2EA41563}"/>
    <cellStyle name="Normal 4 3 2 2 7 3 2 4" xfId="14309" xr:uid="{5D74C397-FBE8-4B59-AB94-E469A4E1006E}"/>
    <cellStyle name="Normal 4 3 2 2 7 3 3" xfId="5204" xr:uid="{3BAA2E73-0A5C-4FE1-BD69-5527C3CA7BE7}"/>
    <cellStyle name="Normal 4 3 2 2 7 3 3 2" xfId="14312" xr:uid="{BEAC4164-2A22-49A9-9AC1-5FA415D3CC42}"/>
    <cellStyle name="Normal 4 3 2 2 7 3 4" xfId="5205" xr:uid="{288C9C0B-3F48-452D-966C-200EBD88D61A}"/>
    <cellStyle name="Normal 4 3 2 2 7 3 4 2" xfId="14313" xr:uid="{724A532C-24CC-432F-B07B-2B08308F5A50}"/>
    <cellStyle name="Normal 4 3 2 2 7 3 5" xfId="5206" xr:uid="{C6348028-0DF8-4B2C-857E-68A63F2C0E84}"/>
    <cellStyle name="Normal 4 3 2 2 7 3 5 2" xfId="14314" xr:uid="{1A6F89EE-DBD7-4CB6-A199-22512589BB17}"/>
    <cellStyle name="Normal 4 3 2 2 7 3 6" xfId="14308" xr:uid="{BEFD2D52-449B-4955-85AF-5C4E05AC08AB}"/>
    <cellStyle name="Normal 4 3 2 2 7 4" xfId="5207" xr:uid="{96411CC1-8F2D-472E-B924-A8C69BD8BA54}"/>
    <cellStyle name="Normal 4 3 2 2 7 4 2" xfId="5208" xr:uid="{17F3E439-5550-4BFC-B319-D2DAE7E87AE5}"/>
    <cellStyle name="Normal 4 3 2 2 7 4 2 2" xfId="14316" xr:uid="{BAD04042-B504-4F69-ADE8-41AD370D2E22}"/>
    <cellStyle name="Normal 4 3 2 2 7 4 3" xfId="5209" xr:uid="{10F8C1FF-094B-4ABD-80B8-148418A9F6D3}"/>
    <cellStyle name="Normal 4 3 2 2 7 4 3 2" xfId="14317" xr:uid="{5589045B-EEC3-4D09-8793-36574CE0EE20}"/>
    <cellStyle name="Normal 4 3 2 2 7 4 4" xfId="14315" xr:uid="{DD184673-14EF-44AD-966B-AEB7D7DB45A5}"/>
    <cellStyle name="Normal 4 3 2 2 7 5" xfId="5210" xr:uid="{7155AFEC-48A6-4F82-810E-8A38C06BC84B}"/>
    <cellStyle name="Normal 4 3 2 2 7 5 2" xfId="14318" xr:uid="{905307D4-4288-4F1E-8756-EB63C571C4C7}"/>
    <cellStyle name="Normal 4 3 2 2 7 6" xfId="5211" xr:uid="{38FA9B4B-9006-4834-A3F1-DEB7D54B983F}"/>
    <cellStyle name="Normal 4 3 2 2 7 6 2" xfId="14319" xr:uid="{2F6138D7-8E03-41FF-8A8A-788AF23AB22B}"/>
    <cellStyle name="Normal 4 3 2 2 7 7" xfId="5212" xr:uid="{DEAEE107-71D3-4AC9-8200-72847BAEC6DB}"/>
    <cellStyle name="Normal 4 3 2 2 7 7 2" xfId="14320" xr:uid="{D64684AF-807D-498E-8F6C-7F3BBA430BEF}"/>
    <cellStyle name="Normal 4 3 2 2 7 8" xfId="14300" xr:uid="{EF0BF70B-663C-4F42-B909-636A7C0A4A0F}"/>
    <cellStyle name="Normal 4 3 2 2 8" xfId="5213" xr:uid="{2F41A79E-4CE8-4D0F-AB05-AC4E69881257}"/>
    <cellStyle name="Normal 4 3 2 2 8 2" xfId="5214" xr:uid="{06EBC22D-1190-4F5B-9C3B-82436784DDA6}"/>
    <cellStyle name="Normal 4 3 2 2 8 2 2" xfId="5215" xr:uid="{E6F66571-4335-4A30-85D9-E74E8BE13A33}"/>
    <cellStyle name="Normal 4 3 2 2 8 2 2 2" xfId="14323" xr:uid="{218C563E-7CC1-4EFD-A7E8-7390B6013D82}"/>
    <cellStyle name="Normal 4 3 2 2 8 2 3" xfId="5216" xr:uid="{354B1F0D-9690-4993-807A-52141C62CD3C}"/>
    <cellStyle name="Normal 4 3 2 2 8 2 3 2" xfId="14324" xr:uid="{F1376ACB-A2B7-4E45-9AFA-854A121D825A}"/>
    <cellStyle name="Normal 4 3 2 2 8 2 4" xfId="14322" xr:uid="{F70B97BF-F9B3-47E5-80F9-D9915331E99B}"/>
    <cellStyle name="Normal 4 3 2 2 8 3" xfId="5217" xr:uid="{E2AC66C8-37B9-4A0A-941D-A3588690487B}"/>
    <cellStyle name="Normal 4 3 2 2 8 3 2" xfId="14325" xr:uid="{17BABC62-F0C2-4B89-8494-7916341983DD}"/>
    <cellStyle name="Normal 4 3 2 2 8 4" xfId="5218" xr:uid="{370E4BB9-4941-4EF1-AE3B-33FA1813BFDE}"/>
    <cellStyle name="Normal 4 3 2 2 8 4 2" xfId="14326" xr:uid="{46784095-BD73-4ABD-A4D1-16717DE0394A}"/>
    <cellStyle name="Normal 4 3 2 2 8 5" xfId="5219" xr:uid="{CBC8EBEE-A671-4BCC-BE48-527FAABBDAF3}"/>
    <cellStyle name="Normal 4 3 2 2 8 5 2" xfId="14327" xr:uid="{7DE56CC7-6D52-4A54-81AF-6E1328244822}"/>
    <cellStyle name="Normal 4 3 2 2 8 6" xfId="14321" xr:uid="{D6C81CDE-29F0-49BB-8C53-1E26BADF5FAF}"/>
    <cellStyle name="Normal 4 3 2 2 9" xfId="5220" xr:uid="{5835055C-733D-4191-A210-82EF630DDC7E}"/>
    <cellStyle name="Normal 4 3 2 2 9 2" xfId="5221" xr:uid="{A40FD7B3-08F3-444F-867C-63C4490E8B86}"/>
    <cellStyle name="Normal 4 3 2 2 9 2 2" xfId="5222" xr:uid="{F9AA9AE0-5D9F-4D82-9E4B-7658B5DED94E}"/>
    <cellStyle name="Normal 4 3 2 2 9 2 2 2" xfId="14330" xr:uid="{C8333558-2B25-43F6-9E54-45037969BB0B}"/>
    <cellStyle name="Normal 4 3 2 2 9 2 3" xfId="5223" xr:uid="{98C1511C-7B2C-460B-9FE3-B156C917781E}"/>
    <cellStyle name="Normal 4 3 2 2 9 2 3 2" xfId="14331" xr:uid="{01BF92FF-4802-4344-90C0-5C11B805E4B8}"/>
    <cellStyle name="Normal 4 3 2 2 9 2 4" xfId="14329" xr:uid="{B657D674-8752-4C8C-88E5-E46170A05B6F}"/>
    <cellStyle name="Normal 4 3 2 2 9 3" xfId="5224" xr:uid="{5CF61127-D4B0-4AB4-BE59-12E66AE0066A}"/>
    <cellStyle name="Normal 4 3 2 2 9 3 2" xfId="14332" xr:uid="{D64FDF74-5404-4145-A5E1-FD6663920C85}"/>
    <cellStyle name="Normal 4 3 2 2 9 4" xfId="5225" xr:uid="{9C3D6DD8-988D-46D4-9469-05060295D6AB}"/>
    <cellStyle name="Normal 4 3 2 2 9 4 2" xfId="14333" xr:uid="{85BBAEA8-B8F5-474D-8F90-41203954F6EE}"/>
    <cellStyle name="Normal 4 3 2 2 9 5" xfId="5226" xr:uid="{7B2F5CEE-C76A-4967-83A5-4C191335CF94}"/>
    <cellStyle name="Normal 4 3 2 2 9 5 2" xfId="14334" xr:uid="{417CEB25-36F5-43F5-9ED7-532E2A16D358}"/>
    <cellStyle name="Normal 4 3 2 2 9 6" xfId="14328" xr:uid="{9354A7D2-54D8-4E81-A175-5F9F2A30042D}"/>
    <cellStyle name="Normal 4 3 2 3" xfId="5227" xr:uid="{5A34DCF0-8FC0-4327-9651-91A24828AD69}"/>
    <cellStyle name="Normal 4 3 2 3 10" xfId="14335" xr:uid="{FF7AE1AA-7444-4B46-A343-96F9B83D62CB}"/>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2 2" xfId="14340" xr:uid="{151BF8C1-6404-4321-B3B2-C10D9AC7B422}"/>
    <cellStyle name="Normal 4 3 2 3 2 2 2 2 3" xfId="5233" xr:uid="{BC169184-7404-403E-A7E6-3754FF318F65}"/>
    <cellStyle name="Normal 4 3 2 3 2 2 2 2 3 2" xfId="14341" xr:uid="{4F760B9E-93BA-4C45-AFBF-5322771F1798}"/>
    <cellStyle name="Normal 4 3 2 3 2 2 2 2 4" xfId="14339" xr:uid="{6DB98A91-A475-4E40-A6D8-7C072F30FB5C}"/>
    <cellStyle name="Normal 4 3 2 3 2 2 2 3" xfId="5234" xr:uid="{85A762D9-4BE5-43D1-8C64-0776EDCC318A}"/>
    <cellStyle name="Normal 4 3 2 3 2 2 2 3 2" xfId="14342" xr:uid="{FC9C20B9-504D-4A6C-B362-B74DBB8ECEDC}"/>
    <cellStyle name="Normal 4 3 2 3 2 2 2 4" xfId="5235" xr:uid="{258B6C89-BE43-4E1D-8349-8AE47E3F18B0}"/>
    <cellStyle name="Normal 4 3 2 3 2 2 2 4 2" xfId="14343" xr:uid="{454983DD-5966-425B-A23F-36824CAF44BD}"/>
    <cellStyle name="Normal 4 3 2 3 2 2 2 5" xfId="5236" xr:uid="{BCDE381C-5C1D-4D4D-850E-9FC0C4E2CE66}"/>
    <cellStyle name="Normal 4 3 2 3 2 2 2 5 2" xfId="14344" xr:uid="{3C0640D4-B072-44F3-95C8-D82FCCC411AD}"/>
    <cellStyle name="Normal 4 3 2 3 2 2 2 6" xfId="14338" xr:uid="{A0E48A35-8022-402B-B3AB-21CF29B1ED23}"/>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2 2" xfId="14347" xr:uid="{DFC0BBBA-D805-4F9F-A620-9C6621A62049}"/>
    <cellStyle name="Normal 4 3 2 3 2 2 3 2 3" xfId="5240" xr:uid="{B0E19644-280E-4AAF-A285-475369DAC58F}"/>
    <cellStyle name="Normal 4 3 2 3 2 2 3 2 3 2" xfId="14348" xr:uid="{B70AEEB3-98CD-4408-ABDC-51568DBF3CA9}"/>
    <cellStyle name="Normal 4 3 2 3 2 2 3 2 4" xfId="14346" xr:uid="{D532EC7D-F8E6-4DDF-9DBB-D5D305224DC3}"/>
    <cellStyle name="Normal 4 3 2 3 2 2 3 3" xfId="5241" xr:uid="{90F2F6A8-47F3-400D-8EF1-211E2E7C4480}"/>
    <cellStyle name="Normal 4 3 2 3 2 2 3 3 2" xfId="14349" xr:uid="{EA7D4EF9-E656-432B-8D1A-F62A4085BAAB}"/>
    <cellStyle name="Normal 4 3 2 3 2 2 3 4" xfId="5242" xr:uid="{45947FEC-BDB4-4D70-B74B-6C708263E797}"/>
    <cellStyle name="Normal 4 3 2 3 2 2 3 4 2" xfId="14350" xr:uid="{1BC045E3-3888-4434-A626-47657EAD5584}"/>
    <cellStyle name="Normal 4 3 2 3 2 2 3 5" xfId="5243" xr:uid="{829EF21D-2AFE-41BE-9D88-407941CCDF5F}"/>
    <cellStyle name="Normal 4 3 2 3 2 2 3 5 2" xfId="14351" xr:uid="{92FF0AC5-980B-4C1E-BD41-E74C6751FA05}"/>
    <cellStyle name="Normal 4 3 2 3 2 2 3 6" xfId="14345" xr:uid="{25533F59-525D-4E41-A119-A2F59C72C3F2}"/>
    <cellStyle name="Normal 4 3 2 3 2 2 4" xfId="5244" xr:uid="{EC9E1B78-3C44-43EC-A5FE-D8456839D568}"/>
    <cellStyle name="Normal 4 3 2 3 2 2 4 2" xfId="5245" xr:uid="{E9F3D310-BE88-4562-B6F1-C4761E41C05A}"/>
    <cellStyle name="Normal 4 3 2 3 2 2 4 2 2" xfId="14353" xr:uid="{240E7EDD-BD50-460B-84EC-6C616785214B}"/>
    <cellStyle name="Normal 4 3 2 3 2 2 4 3" xfId="5246" xr:uid="{18CF4494-48B9-42A5-A47F-CA4A7E1B567C}"/>
    <cellStyle name="Normal 4 3 2 3 2 2 4 3 2" xfId="14354" xr:uid="{8B715D0D-8470-4635-81D5-7F1DD5866684}"/>
    <cellStyle name="Normal 4 3 2 3 2 2 4 4" xfId="14352" xr:uid="{9886FE60-99F5-426B-B647-7FBBD4E64A1F}"/>
    <cellStyle name="Normal 4 3 2 3 2 2 5" xfId="5247" xr:uid="{86D700F4-81DF-4DA3-877C-4606CAE9C6B4}"/>
    <cellStyle name="Normal 4 3 2 3 2 2 5 2" xfId="14355" xr:uid="{D2123AB7-79C1-4D7D-AAAD-EBFCFAF9FEC2}"/>
    <cellStyle name="Normal 4 3 2 3 2 2 6" xfId="5248" xr:uid="{231E6D44-632B-4002-8ACE-585857F96083}"/>
    <cellStyle name="Normal 4 3 2 3 2 2 6 2" xfId="14356" xr:uid="{FD7CB4F1-1497-4946-BF87-277FB42701C2}"/>
    <cellStyle name="Normal 4 3 2 3 2 2 7" xfId="5249" xr:uid="{C9258080-2252-41A2-96E2-5852C04FA7A9}"/>
    <cellStyle name="Normal 4 3 2 3 2 2 7 2" xfId="14357" xr:uid="{E92020E1-9924-4594-B116-9260CF2010CC}"/>
    <cellStyle name="Normal 4 3 2 3 2 2 8" xfId="14337" xr:uid="{FE486292-1126-46D9-B90C-F7C072F25796}"/>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2 2" xfId="14360" xr:uid="{9BF592E5-D31B-4790-97B2-1B3CA573EA2C}"/>
    <cellStyle name="Normal 4 3 2 3 2 3 2 3" xfId="5253" xr:uid="{17E2ADB3-C9D1-4A88-9FBC-7EEC3BADD355}"/>
    <cellStyle name="Normal 4 3 2 3 2 3 2 3 2" xfId="14361" xr:uid="{A1F5FD87-8037-4F99-9ECF-C88F23DDFF01}"/>
    <cellStyle name="Normal 4 3 2 3 2 3 2 4" xfId="14359" xr:uid="{E0BB18CE-095E-4123-9C42-70368824C6F5}"/>
    <cellStyle name="Normal 4 3 2 3 2 3 3" xfId="5254" xr:uid="{7906E581-EC34-476A-85F7-66DAA0F0797D}"/>
    <cellStyle name="Normal 4 3 2 3 2 3 3 2" xfId="14362" xr:uid="{DBA0813D-71EB-48CF-A9C4-25925DE8D3C8}"/>
    <cellStyle name="Normal 4 3 2 3 2 3 4" xfId="5255" xr:uid="{303C3E3D-8E43-47E7-9A7C-4882627B3B84}"/>
    <cellStyle name="Normal 4 3 2 3 2 3 4 2" xfId="14363" xr:uid="{AD67A36E-D155-4339-8307-E2D0DC7C0F1D}"/>
    <cellStyle name="Normal 4 3 2 3 2 3 5" xfId="5256" xr:uid="{9324CC99-C9A5-4A85-BA18-88F34AFDAF7E}"/>
    <cellStyle name="Normal 4 3 2 3 2 3 5 2" xfId="14364" xr:uid="{00CE962E-BBDE-469C-B5FD-73F6145514EE}"/>
    <cellStyle name="Normal 4 3 2 3 2 3 6" xfId="14358" xr:uid="{52B089AC-23EF-494B-8630-ABB5EF9A1874}"/>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2 2" xfId="14367" xr:uid="{32869A42-12EE-47D4-95C2-A0ACCB609E6A}"/>
    <cellStyle name="Normal 4 3 2 3 2 4 2 3" xfId="5260" xr:uid="{E6E4EC11-0CC5-4A60-A869-A0F28D7C7366}"/>
    <cellStyle name="Normal 4 3 2 3 2 4 2 3 2" xfId="14368" xr:uid="{BC463B97-5050-41B7-9193-A523D575F69C}"/>
    <cellStyle name="Normal 4 3 2 3 2 4 2 4" xfId="14366" xr:uid="{729BAACC-0E46-4193-AA05-AAA7259B2B76}"/>
    <cellStyle name="Normal 4 3 2 3 2 4 3" xfId="5261" xr:uid="{B56B9819-82DF-493B-86EB-403C8D78F413}"/>
    <cellStyle name="Normal 4 3 2 3 2 4 3 2" xfId="14369" xr:uid="{4BA57670-CE26-48D2-B2E6-1F6597532160}"/>
    <cellStyle name="Normal 4 3 2 3 2 4 4" xfId="5262" xr:uid="{EE885658-0C04-4357-A61C-34423DBFDEB9}"/>
    <cellStyle name="Normal 4 3 2 3 2 4 4 2" xfId="14370" xr:uid="{CB684197-25A1-400C-8180-C7F6D2FDDED9}"/>
    <cellStyle name="Normal 4 3 2 3 2 4 5" xfId="5263" xr:uid="{A95C32A6-3EF2-433D-9F90-77AB4F167C00}"/>
    <cellStyle name="Normal 4 3 2 3 2 4 5 2" xfId="14371" xr:uid="{A6D9F416-E784-4233-BA97-242278A8E6EB}"/>
    <cellStyle name="Normal 4 3 2 3 2 4 6" xfId="14365" xr:uid="{F4A3C347-9BFC-4C9B-A83C-E3D4E485BCF2}"/>
    <cellStyle name="Normal 4 3 2 3 2 5" xfId="5264" xr:uid="{DE965C47-0CC9-4EE8-96AF-226B2ACA5826}"/>
    <cellStyle name="Normal 4 3 2 3 2 5 2" xfId="5265" xr:uid="{15D1A978-2D6D-4B0F-9272-67A06DE633C9}"/>
    <cellStyle name="Normal 4 3 2 3 2 5 2 2" xfId="14373" xr:uid="{A87E9C53-08F4-4385-ACC0-7DE3C9F56FE5}"/>
    <cellStyle name="Normal 4 3 2 3 2 5 3" xfId="5266" xr:uid="{4E180B3C-4608-4348-A1C9-943395110AA0}"/>
    <cellStyle name="Normal 4 3 2 3 2 5 3 2" xfId="14374" xr:uid="{A838399E-8B21-4719-BF1C-A065D1BD447A}"/>
    <cellStyle name="Normal 4 3 2 3 2 5 4" xfId="14372" xr:uid="{C4C4F6FA-4833-4F55-B354-FE50B4491172}"/>
    <cellStyle name="Normal 4 3 2 3 2 6" xfId="5267" xr:uid="{000D00BF-EC06-45D6-8389-5F6C058B6034}"/>
    <cellStyle name="Normal 4 3 2 3 2 6 2" xfId="14375" xr:uid="{7F9B51C7-202F-4497-BF41-E8282258225D}"/>
    <cellStyle name="Normal 4 3 2 3 2 7" xfId="5268" xr:uid="{D01020C2-8D8D-44F1-876D-D733AA1A50AD}"/>
    <cellStyle name="Normal 4 3 2 3 2 7 2" xfId="14376" xr:uid="{5F5298D0-0900-40EB-A75E-919BBD70CC48}"/>
    <cellStyle name="Normal 4 3 2 3 2 8" xfId="5269" xr:uid="{F7119D37-9324-46C7-B47B-6E9DFAC9DE30}"/>
    <cellStyle name="Normal 4 3 2 3 2 8 2" xfId="14377" xr:uid="{A82E3A46-F871-43E7-AE85-9FD86C91F47D}"/>
    <cellStyle name="Normal 4 3 2 3 2 9" xfId="14336" xr:uid="{FFFFEAFE-2944-4B85-8FC6-658B5D7D7E03}"/>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2 2" xfId="14381" xr:uid="{F86A33EC-244C-4176-9218-C72CF0685BAA}"/>
    <cellStyle name="Normal 4 3 2 3 3 2 2 3" xfId="5274" xr:uid="{0776AF51-7535-46EA-93EA-869F5ACE9CD7}"/>
    <cellStyle name="Normal 4 3 2 3 3 2 2 3 2" xfId="14382" xr:uid="{53F0A095-F212-489C-B4E7-E08280AF8EAE}"/>
    <cellStyle name="Normal 4 3 2 3 3 2 2 4" xfId="14380" xr:uid="{A4DED410-8BD0-4ACE-A963-C75ECBA980F8}"/>
    <cellStyle name="Normal 4 3 2 3 3 2 3" xfId="5275" xr:uid="{CD134D37-B69D-4B00-A0D4-EE417E231EB0}"/>
    <cellStyle name="Normal 4 3 2 3 3 2 3 2" xfId="14383" xr:uid="{455487E2-86FE-40E1-A866-9B1204ED5F9D}"/>
    <cellStyle name="Normal 4 3 2 3 3 2 4" xfId="5276" xr:uid="{DC905546-94EF-424D-96F9-4EFF7A597851}"/>
    <cellStyle name="Normal 4 3 2 3 3 2 4 2" xfId="14384" xr:uid="{773096EE-2E74-4DB1-BB71-86FE44FA424E}"/>
    <cellStyle name="Normal 4 3 2 3 3 2 5" xfId="5277" xr:uid="{3E15EE2A-13C4-4A02-B20F-DDEAA2161547}"/>
    <cellStyle name="Normal 4 3 2 3 3 2 5 2" xfId="14385" xr:uid="{9CE828BE-0DFD-4B59-9BAF-F40A22FD31B5}"/>
    <cellStyle name="Normal 4 3 2 3 3 2 6" xfId="14379" xr:uid="{D97C6688-C062-45D1-A047-2E64D871CF72}"/>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2 2" xfId="14388" xr:uid="{A5CA4CB3-83B0-40E6-BC6D-742125D59943}"/>
    <cellStyle name="Normal 4 3 2 3 3 3 2 3" xfId="5281" xr:uid="{BAA6542D-26D0-451D-B88E-E432C4404AC6}"/>
    <cellStyle name="Normal 4 3 2 3 3 3 2 3 2" xfId="14389" xr:uid="{7A095732-D8CC-47F0-A39C-021EE75A3DE1}"/>
    <cellStyle name="Normal 4 3 2 3 3 3 2 4" xfId="14387" xr:uid="{C599EA51-042B-4B03-AFD5-68345F7F9DDF}"/>
    <cellStyle name="Normal 4 3 2 3 3 3 3" xfId="5282" xr:uid="{070010B1-72C4-4397-9A08-97E5B15938B3}"/>
    <cellStyle name="Normal 4 3 2 3 3 3 3 2" xfId="14390" xr:uid="{5835A517-DE1B-4016-8027-F212657B8160}"/>
    <cellStyle name="Normal 4 3 2 3 3 3 4" xfId="5283" xr:uid="{283E3E89-74B2-4A3A-8549-CA731A96F556}"/>
    <cellStyle name="Normal 4 3 2 3 3 3 4 2" xfId="14391" xr:uid="{FC089DFD-D196-4F56-A480-BD4D6ED8F090}"/>
    <cellStyle name="Normal 4 3 2 3 3 3 5" xfId="5284" xr:uid="{464BC893-0589-459D-B54D-2EB15CA9F9EF}"/>
    <cellStyle name="Normal 4 3 2 3 3 3 5 2" xfId="14392" xr:uid="{022FC97A-820F-414D-9D01-1D6E200B947F}"/>
    <cellStyle name="Normal 4 3 2 3 3 3 6" xfId="14386" xr:uid="{6016B1A0-9DE1-4B32-883C-3C86CFEA4E9D}"/>
    <cellStyle name="Normal 4 3 2 3 3 4" xfId="5285" xr:uid="{4F2C59FF-D161-46B5-8626-D37706C23B6E}"/>
    <cellStyle name="Normal 4 3 2 3 3 4 2" xfId="5286" xr:uid="{4DF56EFB-0A01-436A-B8F6-8CCACF3D959E}"/>
    <cellStyle name="Normal 4 3 2 3 3 4 2 2" xfId="14394" xr:uid="{9800B3FD-6C37-42EA-997D-A6369A8165B9}"/>
    <cellStyle name="Normal 4 3 2 3 3 4 3" xfId="5287" xr:uid="{9D1F7BC0-1025-445D-9401-B28BBFC69E60}"/>
    <cellStyle name="Normal 4 3 2 3 3 4 3 2" xfId="14395" xr:uid="{86F01339-D613-4F01-BB31-55FA38783ABE}"/>
    <cellStyle name="Normal 4 3 2 3 3 4 4" xfId="14393" xr:uid="{304D2DDF-87E1-4FBC-8E35-023DB80BB11E}"/>
    <cellStyle name="Normal 4 3 2 3 3 5" xfId="5288" xr:uid="{988B725C-6020-4F9E-A43D-AB7B7CDCAC86}"/>
    <cellStyle name="Normal 4 3 2 3 3 5 2" xfId="14396" xr:uid="{486A2F86-D3FA-4C7A-A278-7DA8B61E2FF3}"/>
    <cellStyle name="Normal 4 3 2 3 3 6" xfId="5289" xr:uid="{FE128E98-9242-47B7-891F-DEFAAB5F5782}"/>
    <cellStyle name="Normal 4 3 2 3 3 6 2" xfId="14397" xr:uid="{183C5CB8-09AC-401A-8AD2-FC976BB1BBD8}"/>
    <cellStyle name="Normal 4 3 2 3 3 7" xfId="5290" xr:uid="{B931BB80-FF11-44E6-8B69-A10132D5C39E}"/>
    <cellStyle name="Normal 4 3 2 3 3 7 2" xfId="14398" xr:uid="{67BFDEDF-D730-4311-9ADC-2CA46B460973}"/>
    <cellStyle name="Normal 4 3 2 3 3 8" xfId="14378" xr:uid="{9BC114D0-B2C1-4F75-A667-D041CB5F8BCB}"/>
    <cellStyle name="Normal 4 3 2 3 4" xfId="5291" xr:uid="{868A61C6-9268-43F9-83FE-484851C0CF55}"/>
    <cellStyle name="Normal 4 3 2 3 4 2" xfId="5292" xr:uid="{5879F1E0-C17B-48E8-B7B3-B237C0491460}"/>
    <cellStyle name="Normal 4 3 2 3 4 2 2" xfId="5293" xr:uid="{03F4AC27-0E0F-47D8-AFCD-710216E1F670}"/>
    <cellStyle name="Normal 4 3 2 3 4 2 2 2" xfId="14401" xr:uid="{2E7D22F0-D2A2-4BBC-AFB7-533984A97C7D}"/>
    <cellStyle name="Normal 4 3 2 3 4 2 3" xfId="5294" xr:uid="{47B4D6A7-2193-4B57-A20F-9261F5E2DD5D}"/>
    <cellStyle name="Normal 4 3 2 3 4 2 3 2" xfId="14402" xr:uid="{25627AA0-E86B-42C1-88C1-06AC9E74EC76}"/>
    <cellStyle name="Normal 4 3 2 3 4 2 4" xfId="14400" xr:uid="{09608D4D-2560-47EF-B710-76171A5B82ED}"/>
    <cellStyle name="Normal 4 3 2 3 4 3" xfId="5295" xr:uid="{90E0CB29-E692-4EEC-95C2-D159F61AABAC}"/>
    <cellStyle name="Normal 4 3 2 3 4 3 2" xfId="14403" xr:uid="{B5126680-0FC4-42FE-B923-08F44DCC22AF}"/>
    <cellStyle name="Normal 4 3 2 3 4 4" xfId="5296" xr:uid="{4779EB13-3F59-4F25-81AB-7B79F82097E5}"/>
    <cellStyle name="Normal 4 3 2 3 4 4 2" xfId="14404" xr:uid="{444AEF1C-93B0-42A0-9BF0-27BF2CD35F61}"/>
    <cellStyle name="Normal 4 3 2 3 4 5" xfId="5297" xr:uid="{974080CD-9208-4874-B4B6-CC8D4F033A17}"/>
    <cellStyle name="Normal 4 3 2 3 4 5 2" xfId="14405" xr:uid="{FB18F81F-64D8-4204-A46E-6D505E04CBDE}"/>
    <cellStyle name="Normal 4 3 2 3 4 6" xfId="14399" xr:uid="{074C1180-618D-47C1-B80D-6860E003BBA7}"/>
    <cellStyle name="Normal 4 3 2 3 5" xfId="5298" xr:uid="{251A438F-02CB-4C1A-8DE1-A0D1FD8CA85E}"/>
    <cellStyle name="Normal 4 3 2 3 5 2" xfId="5299" xr:uid="{8EB6D86D-87B8-4140-9971-06C9F0C65740}"/>
    <cellStyle name="Normal 4 3 2 3 5 2 2" xfId="5300" xr:uid="{E090C1C8-39C7-46D1-9187-B3E02431508E}"/>
    <cellStyle name="Normal 4 3 2 3 5 2 2 2" xfId="14408" xr:uid="{10107C7A-B1FC-4F5D-96D6-F4187783F0C6}"/>
    <cellStyle name="Normal 4 3 2 3 5 2 3" xfId="5301" xr:uid="{0D33F7DE-2CE3-489A-B275-8AAD4BBE9087}"/>
    <cellStyle name="Normal 4 3 2 3 5 2 3 2" xfId="14409" xr:uid="{B5D759D4-F058-4E86-B0A0-2355A54F4DC3}"/>
    <cellStyle name="Normal 4 3 2 3 5 2 4" xfId="14407" xr:uid="{4355D905-7C90-4C21-9080-4F21FD903F85}"/>
    <cellStyle name="Normal 4 3 2 3 5 3" xfId="5302" xr:uid="{EFE539CF-6358-4CA5-9989-90A63AB12E5E}"/>
    <cellStyle name="Normal 4 3 2 3 5 3 2" xfId="14410" xr:uid="{BBB02BF6-5D64-4896-868F-7538BCC2F4B4}"/>
    <cellStyle name="Normal 4 3 2 3 5 4" xfId="5303" xr:uid="{462B0F96-927E-4C84-9C75-F9236E850A9E}"/>
    <cellStyle name="Normal 4 3 2 3 5 4 2" xfId="14411" xr:uid="{C32EA79B-0648-4D40-90A3-F83674E5349E}"/>
    <cellStyle name="Normal 4 3 2 3 5 5" xfId="5304" xr:uid="{8FBF44FE-47AA-4A99-9752-49E9339B9B02}"/>
    <cellStyle name="Normal 4 3 2 3 5 5 2" xfId="14412" xr:uid="{1BC2EFD6-5CF8-4436-A288-6B0C5AB196D6}"/>
    <cellStyle name="Normal 4 3 2 3 5 6" xfId="14406" xr:uid="{4B315F8F-C441-4379-B31C-7838E4FC49F2}"/>
    <cellStyle name="Normal 4 3 2 3 6" xfId="5305" xr:uid="{E8513FF2-1B44-4EC3-AC4E-F73FE706B1EB}"/>
    <cellStyle name="Normal 4 3 2 3 6 2" xfId="5306" xr:uid="{D45B8566-65E0-495C-BC42-2C1C44C5A9C0}"/>
    <cellStyle name="Normal 4 3 2 3 6 2 2" xfId="14414" xr:uid="{9AA0138C-9343-492B-8A45-CF6512772399}"/>
    <cellStyle name="Normal 4 3 2 3 6 3" xfId="5307" xr:uid="{35005E42-E9AC-4113-9437-C8DE160628F0}"/>
    <cellStyle name="Normal 4 3 2 3 6 3 2" xfId="14415" xr:uid="{D5E6A90B-3072-4A46-8498-8710716B6F43}"/>
    <cellStyle name="Normal 4 3 2 3 6 4" xfId="14413" xr:uid="{92277584-A944-4A42-8EE7-749F069FAE89}"/>
    <cellStyle name="Normal 4 3 2 3 7" xfId="5308" xr:uid="{4D976F05-FA63-4848-B230-955BA23FF751}"/>
    <cellStyle name="Normal 4 3 2 3 7 2" xfId="14416" xr:uid="{0C0015C4-F849-48BF-A132-F36A6409EF01}"/>
    <cellStyle name="Normal 4 3 2 3 8" xfId="5309" xr:uid="{02D7EA46-B998-4003-BFEF-F22CA3C69B99}"/>
    <cellStyle name="Normal 4 3 2 3 8 2" xfId="14417" xr:uid="{3510A6CD-33CC-4028-9F23-8A552B04E0C2}"/>
    <cellStyle name="Normal 4 3 2 3 9" xfId="5310" xr:uid="{CD3781B2-E340-43AF-BBE8-1D6A03381D8B}"/>
    <cellStyle name="Normal 4 3 2 3 9 2" xfId="14418" xr:uid="{48D46CBD-4959-45BC-A32B-AFFDAD24A267}"/>
    <cellStyle name="Normal 4 3 2 4" xfId="5311" xr:uid="{49948121-01FA-4278-BA0C-11B31F0E70D2}"/>
    <cellStyle name="Normal 4 3 2 4 10" xfId="14419" xr:uid="{70A40176-F81B-4E45-8DD1-2FE466EDBA23}"/>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2 2" xfId="14424" xr:uid="{B2E1973E-7930-45AB-BD89-9E100F5E0810}"/>
    <cellStyle name="Normal 4 3 2 4 2 2 2 2 3" xfId="5317" xr:uid="{C2C15453-22DB-446F-835E-8609ACAC2F69}"/>
    <cellStyle name="Normal 4 3 2 4 2 2 2 2 3 2" xfId="14425" xr:uid="{EF28E87B-1A7B-428D-AEFE-008E613EFDC3}"/>
    <cellStyle name="Normal 4 3 2 4 2 2 2 2 4" xfId="14423" xr:uid="{6B1D01E5-3F7B-481E-9F8D-7CD3B9B5420D}"/>
    <cellStyle name="Normal 4 3 2 4 2 2 2 3" xfId="5318" xr:uid="{2344C9BC-B267-4DF9-9AEC-156C49E61055}"/>
    <cellStyle name="Normal 4 3 2 4 2 2 2 3 2" xfId="14426" xr:uid="{C0C926B5-CB0F-411C-B069-3AC0624C7C05}"/>
    <cellStyle name="Normal 4 3 2 4 2 2 2 4" xfId="5319" xr:uid="{7AABB612-0C18-4FA2-A99F-0D0BDE69C6F4}"/>
    <cellStyle name="Normal 4 3 2 4 2 2 2 4 2" xfId="14427" xr:uid="{BB70B911-4369-4256-B992-33D1C0ABF693}"/>
    <cellStyle name="Normal 4 3 2 4 2 2 2 5" xfId="5320" xr:uid="{EE710F58-FEBC-4D9F-BA80-05DC316158D9}"/>
    <cellStyle name="Normal 4 3 2 4 2 2 2 5 2" xfId="14428" xr:uid="{CF605841-361A-47BC-9AA8-65E2D54B36EC}"/>
    <cellStyle name="Normal 4 3 2 4 2 2 2 6" xfId="14422" xr:uid="{677DAC65-8823-4466-AB18-CDE5795E5D3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2 2" xfId="14431" xr:uid="{87682496-382E-471C-B997-F9BAD1DBEDC1}"/>
    <cellStyle name="Normal 4 3 2 4 2 2 3 2 3" xfId="5324" xr:uid="{850A76DD-F07A-4177-985B-52B351BC6285}"/>
    <cellStyle name="Normal 4 3 2 4 2 2 3 2 3 2" xfId="14432" xr:uid="{0130B21C-60EC-46BC-9458-8C7672E4FF48}"/>
    <cellStyle name="Normal 4 3 2 4 2 2 3 2 4" xfId="14430" xr:uid="{7A21C15A-9E77-4A98-B3FC-4BFC97A9AF77}"/>
    <cellStyle name="Normal 4 3 2 4 2 2 3 3" xfId="5325" xr:uid="{5A76D9D5-7B1C-45D4-925E-380C87F8A040}"/>
    <cellStyle name="Normal 4 3 2 4 2 2 3 3 2" xfId="14433" xr:uid="{5256814C-0070-4305-8237-DE487F5FE158}"/>
    <cellStyle name="Normal 4 3 2 4 2 2 3 4" xfId="5326" xr:uid="{11AE32D3-8B45-4A47-92CA-E94F9DB44890}"/>
    <cellStyle name="Normal 4 3 2 4 2 2 3 4 2" xfId="14434" xr:uid="{E5234E0A-F889-4DB7-B0A8-AAE09B5C5670}"/>
    <cellStyle name="Normal 4 3 2 4 2 2 3 5" xfId="5327" xr:uid="{B2B91829-8EB2-4835-8F8B-021D6E711BBC}"/>
    <cellStyle name="Normal 4 3 2 4 2 2 3 5 2" xfId="14435" xr:uid="{CEE8B381-878D-4693-AC13-17D4CDE72B58}"/>
    <cellStyle name="Normal 4 3 2 4 2 2 3 6" xfId="14429" xr:uid="{D27B2C14-1E75-4188-B059-B9A768791DF9}"/>
    <cellStyle name="Normal 4 3 2 4 2 2 4" xfId="5328" xr:uid="{7851ECFE-85EB-4C6E-93DE-575D1531693F}"/>
    <cellStyle name="Normal 4 3 2 4 2 2 4 2" xfId="5329" xr:uid="{C4398EBC-02F6-4806-A87D-FCBB2877A48F}"/>
    <cellStyle name="Normal 4 3 2 4 2 2 4 2 2" xfId="14437" xr:uid="{B97340B7-B2AB-46EB-8B02-56AA6ED5D066}"/>
    <cellStyle name="Normal 4 3 2 4 2 2 4 3" xfId="5330" xr:uid="{6D01F89B-5332-41CA-BAD5-FC1DF9D454E1}"/>
    <cellStyle name="Normal 4 3 2 4 2 2 4 3 2" xfId="14438" xr:uid="{6DCED2F2-C97E-4C88-86B1-020F270E3F96}"/>
    <cellStyle name="Normal 4 3 2 4 2 2 4 4" xfId="14436" xr:uid="{30D83491-F5CA-41A8-9A61-C0B4209471C4}"/>
    <cellStyle name="Normal 4 3 2 4 2 2 5" xfId="5331" xr:uid="{8034B0F0-6733-48C6-85F4-B953D4BB801C}"/>
    <cellStyle name="Normal 4 3 2 4 2 2 5 2" xfId="14439" xr:uid="{DD7C7E64-0D95-492A-AAC9-B772461EFE11}"/>
    <cellStyle name="Normal 4 3 2 4 2 2 6" xfId="5332" xr:uid="{7A8C6D9F-3D82-4492-B3C4-E49800B70166}"/>
    <cellStyle name="Normal 4 3 2 4 2 2 6 2" xfId="14440" xr:uid="{05BED798-1E55-4310-86C0-51FDF847A234}"/>
    <cellStyle name="Normal 4 3 2 4 2 2 7" xfId="5333" xr:uid="{9F51C76B-06B3-4875-9D5D-568CC10D2679}"/>
    <cellStyle name="Normal 4 3 2 4 2 2 7 2" xfId="14441" xr:uid="{76BD6A1A-33BD-4E7C-9667-317E3BEB1947}"/>
    <cellStyle name="Normal 4 3 2 4 2 2 8" xfId="14421" xr:uid="{BCE82383-1964-47E1-8995-ABFA7C55CD06}"/>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2 2" xfId="14444" xr:uid="{3833BE24-C46C-4F5C-9C3A-B909062C60CE}"/>
    <cellStyle name="Normal 4 3 2 4 2 3 2 3" xfId="5337" xr:uid="{86E460A8-AF22-4786-BDA5-2DAD4DCD2CE4}"/>
    <cellStyle name="Normal 4 3 2 4 2 3 2 3 2" xfId="14445" xr:uid="{5514AB67-E146-468F-8F40-A80424A22329}"/>
    <cellStyle name="Normal 4 3 2 4 2 3 2 4" xfId="14443" xr:uid="{28D50A5D-6D03-4B23-AA8A-C0CF84164F32}"/>
    <cellStyle name="Normal 4 3 2 4 2 3 3" xfId="5338" xr:uid="{D13E4881-5505-4CCC-8198-DED79C54CE86}"/>
    <cellStyle name="Normal 4 3 2 4 2 3 3 2" xfId="14446" xr:uid="{6C0AC55A-17C5-40A3-94C7-1483CEEB46E1}"/>
    <cellStyle name="Normal 4 3 2 4 2 3 4" xfId="5339" xr:uid="{1683FB6D-59D8-4C3A-9DB3-93D8BAAABA44}"/>
    <cellStyle name="Normal 4 3 2 4 2 3 4 2" xfId="14447" xr:uid="{D6279AB4-5A22-40AF-9DDF-BC26C6EF33A4}"/>
    <cellStyle name="Normal 4 3 2 4 2 3 5" xfId="5340" xr:uid="{33CD5DDD-FF9C-40F3-A135-F413F3E04446}"/>
    <cellStyle name="Normal 4 3 2 4 2 3 5 2" xfId="14448" xr:uid="{3B236602-8185-4F34-8F93-70C0126E95E0}"/>
    <cellStyle name="Normal 4 3 2 4 2 3 6" xfId="14442" xr:uid="{602CDEE6-0778-4520-BB2E-B1DC318D4FF4}"/>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2 2" xfId="14451" xr:uid="{02000FBC-0CBA-4760-AA31-DD7C5F124FF9}"/>
    <cellStyle name="Normal 4 3 2 4 2 4 2 3" xfId="5344" xr:uid="{C75C456F-F98F-414D-B1F4-232F142A88C4}"/>
    <cellStyle name="Normal 4 3 2 4 2 4 2 3 2" xfId="14452" xr:uid="{CE99A1E4-C8BB-4267-BE9D-8DD8B0487B42}"/>
    <cellStyle name="Normal 4 3 2 4 2 4 2 4" xfId="14450" xr:uid="{FFAB8270-45E1-4376-BB97-357673668D06}"/>
    <cellStyle name="Normal 4 3 2 4 2 4 3" xfId="5345" xr:uid="{C7449472-CFAE-4B0E-85E2-D9D79C1B5E88}"/>
    <cellStyle name="Normal 4 3 2 4 2 4 3 2" xfId="14453" xr:uid="{E59E4D6C-D4C3-429D-B489-30D70A403349}"/>
    <cellStyle name="Normal 4 3 2 4 2 4 4" xfId="5346" xr:uid="{ADF2CC0F-5331-415B-A4A9-DBC7FCEE180F}"/>
    <cellStyle name="Normal 4 3 2 4 2 4 4 2" xfId="14454" xr:uid="{526D0B31-C56B-4AE3-8BE4-B6B50D099189}"/>
    <cellStyle name="Normal 4 3 2 4 2 4 5" xfId="5347" xr:uid="{51D3C18C-E107-4318-A77D-7C31D9D785D9}"/>
    <cellStyle name="Normal 4 3 2 4 2 4 5 2" xfId="14455" xr:uid="{9D6CDE96-9854-4123-B405-BBAFD108BA70}"/>
    <cellStyle name="Normal 4 3 2 4 2 4 6" xfId="14449" xr:uid="{7ADFCAF4-E229-46B1-8F0D-F4F0B0B44481}"/>
    <cellStyle name="Normal 4 3 2 4 2 5" xfId="5348" xr:uid="{AC93BA04-045B-45E4-8F20-52C737B10DFA}"/>
    <cellStyle name="Normal 4 3 2 4 2 5 2" xfId="5349" xr:uid="{46E63419-386E-472B-83BA-70E928360D15}"/>
    <cellStyle name="Normal 4 3 2 4 2 5 2 2" xfId="14457" xr:uid="{43803D93-7A02-4AF4-9CC6-81C385F17D69}"/>
    <cellStyle name="Normal 4 3 2 4 2 5 3" xfId="5350" xr:uid="{B2BE7C9C-F7DB-494C-A2C5-99F7ED4277AE}"/>
    <cellStyle name="Normal 4 3 2 4 2 5 3 2" xfId="14458" xr:uid="{790A38C6-DF8C-462F-8C85-00231CD4190C}"/>
    <cellStyle name="Normal 4 3 2 4 2 5 4" xfId="14456" xr:uid="{DCC8D607-7EBD-4A76-93C5-F380176E813B}"/>
    <cellStyle name="Normal 4 3 2 4 2 6" xfId="5351" xr:uid="{94E69A78-5C1E-444A-B953-D4D392A08965}"/>
    <cellStyle name="Normal 4 3 2 4 2 6 2" xfId="14459" xr:uid="{A1ABEDF8-177A-40E4-95BD-FB04C8375A23}"/>
    <cellStyle name="Normal 4 3 2 4 2 7" xfId="5352" xr:uid="{F8E57C6C-AC95-4614-8ECC-143D90E1FD8B}"/>
    <cellStyle name="Normal 4 3 2 4 2 7 2" xfId="14460" xr:uid="{12343051-C55B-4BE9-875A-3314B78AB107}"/>
    <cellStyle name="Normal 4 3 2 4 2 8" xfId="5353" xr:uid="{F7866872-64DC-4E2F-8CC5-C1F6F428EEBE}"/>
    <cellStyle name="Normal 4 3 2 4 2 8 2" xfId="14461" xr:uid="{FE2EEC7F-62BA-4CA3-BD2F-BE38BAB195A3}"/>
    <cellStyle name="Normal 4 3 2 4 2 9" xfId="14420" xr:uid="{7B2C871F-DA89-484D-83D1-BD8DD0F6102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2 2" xfId="14465" xr:uid="{E4ABBF01-5ABC-495F-A274-B3037C90A34B}"/>
    <cellStyle name="Normal 4 3 2 4 3 2 2 3" xfId="5358" xr:uid="{E48E2164-0D74-49A5-8AD7-1CA36AB777C7}"/>
    <cellStyle name="Normal 4 3 2 4 3 2 2 3 2" xfId="14466" xr:uid="{4AAFEFF7-DF78-43F6-BE01-169B295BFF45}"/>
    <cellStyle name="Normal 4 3 2 4 3 2 2 4" xfId="14464" xr:uid="{C90D0C11-566F-4650-B713-E6EFAA301ADF}"/>
    <cellStyle name="Normal 4 3 2 4 3 2 3" xfId="5359" xr:uid="{7C07C968-8508-4A45-B2C1-0D7092B43F4B}"/>
    <cellStyle name="Normal 4 3 2 4 3 2 3 2" xfId="14467" xr:uid="{A953333A-E888-4363-BA1C-C516C2BB8A15}"/>
    <cellStyle name="Normal 4 3 2 4 3 2 4" xfId="5360" xr:uid="{D1CF6851-C60C-4299-BF66-954D07F306AB}"/>
    <cellStyle name="Normal 4 3 2 4 3 2 4 2" xfId="14468" xr:uid="{89868F41-FCBF-41BD-A7C0-E23E18148C4B}"/>
    <cellStyle name="Normal 4 3 2 4 3 2 5" xfId="5361" xr:uid="{AEEF4DDF-44F2-4FA9-ACF8-3D7F3B6A8B0C}"/>
    <cellStyle name="Normal 4 3 2 4 3 2 5 2" xfId="14469" xr:uid="{8BA7B2C9-7215-4597-BD2A-C7DC085335F6}"/>
    <cellStyle name="Normal 4 3 2 4 3 2 6" xfId="14463" xr:uid="{5E3A7710-58D5-4BEE-B68C-A76497AB16AB}"/>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2 2" xfId="14472" xr:uid="{848205BF-88CD-4455-9EFE-811CDF34686D}"/>
    <cellStyle name="Normal 4 3 2 4 3 3 2 3" xfId="5365" xr:uid="{3763C953-10C9-4F39-B7FD-B8155EB727B5}"/>
    <cellStyle name="Normal 4 3 2 4 3 3 2 3 2" xfId="14473" xr:uid="{FC792768-8A8E-4377-A956-0E9155886F33}"/>
    <cellStyle name="Normal 4 3 2 4 3 3 2 4" xfId="14471" xr:uid="{86254F0E-C0C7-4933-91BC-D9C35363ECAB}"/>
    <cellStyle name="Normal 4 3 2 4 3 3 3" xfId="5366" xr:uid="{E04EA366-2F2A-411E-9FC9-4F071C9ED3E9}"/>
    <cellStyle name="Normal 4 3 2 4 3 3 3 2" xfId="14474" xr:uid="{30ED7D42-A9C8-4A99-82FF-57EE9C9701D7}"/>
    <cellStyle name="Normal 4 3 2 4 3 3 4" xfId="5367" xr:uid="{E9CBCDF6-5475-464F-97C1-95BCC6133135}"/>
    <cellStyle name="Normal 4 3 2 4 3 3 4 2" xfId="14475" xr:uid="{ED937030-B8D8-46CF-BF44-A5E4735C50B0}"/>
    <cellStyle name="Normal 4 3 2 4 3 3 5" xfId="5368" xr:uid="{4F69C04F-D4E7-4760-89ED-7DB03AF2FAB0}"/>
    <cellStyle name="Normal 4 3 2 4 3 3 5 2" xfId="14476" xr:uid="{FA7CB143-46D5-4BFA-BB9A-EF088D800D74}"/>
    <cellStyle name="Normal 4 3 2 4 3 3 6" xfId="14470" xr:uid="{9CD03056-7EB9-4CA5-9164-CFBDD14BBE14}"/>
    <cellStyle name="Normal 4 3 2 4 3 4" xfId="5369" xr:uid="{AEF35BAF-C228-4571-ABB3-AACB6174EDEE}"/>
    <cellStyle name="Normal 4 3 2 4 3 4 2" xfId="5370" xr:uid="{D3D642C2-7039-450E-A07F-C6E813FA4E9C}"/>
    <cellStyle name="Normal 4 3 2 4 3 4 2 2" xfId="14478" xr:uid="{5369A14A-660E-473D-91AC-BA49DBA0E7D8}"/>
    <cellStyle name="Normal 4 3 2 4 3 4 3" xfId="5371" xr:uid="{AE79491E-5715-47CA-9439-CF5FA0A6A096}"/>
    <cellStyle name="Normal 4 3 2 4 3 4 3 2" xfId="14479" xr:uid="{1025CD42-8715-48C8-A5BC-801262FFFBF5}"/>
    <cellStyle name="Normal 4 3 2 4 3 4 4" xfId="14477" xr:uid="{867D1928-AEAE-439C-836A-2A6F1FD08F5D}"/>
    <cellStyle name="Normal 4 3 2 4 3 5" xfId="5372" xr:uid="{F99D0F58-1DC5-4068-81A5-D80F5169BA98}"/>
    <cellStyle name="Normal 4 3 2 4 3 5 2" xfId="14480" xr:uid="{90458342-409F-4789-9F93-F932C8B7B4F5}"/>
    <cellStyle name="Normal 4 3 2 4 3 6" xfId="5373" xr:uid="{A03C4DB3-A587-4C7C-BCB8-C2132789EE66}"/>
    <cellStyle name="Normal 4 3 2 4 3 6 2" xfId="14481" xr:uid="{111C30BB-3AD4-4D78-958D-CF900EAF5BC3}"/>
    <cellStyle name="Normal 4 3 2 4 3 7" xfId="5374" xr:uid="{08976410-BDC4-4BE9-8610-5F479997A8AD}"/>
    <cellStyle name="Normal 4 3 2 4 3 7 2" xfId="14482" xr:uid="{3E431482-15F8-41CF-9213-7A7FD14040A9}"/>
    <cellStyle name="Normal 4 3 2 4 3 8" xfId="14462" xr:uid="{740E0B69-67DF-46F3-9FDE-587F75A95485}"/>
    <cellStyle name="Normal 4 3 2 4 4" xfId="5375" xr:uid="{14442633-DF95-4FA2-84E3-DB3760C41A12}"/>
    <cellStyle name="Normal 4 3 2 4 4 2" xfId="5376" xr:uid="{1ED43F3C-03DA-43B7-8C8B-072544CEC0EA}"/>
    <cellStyle name="Normal 4 3 2 4 4 2 2" xfId="5377" xr:uid="{0E05DAD8-6A80-4524-882F-67ACFB0BA792}"/>
    <cellStyle name="Normal 4 3 2 4 4 2 2 2" xfId="14485" xr:uid="{7983FB18-CE79-4AFB-8B32-E03873D70888}"/>
    <cellStyle name="Normal 4 3 2 4 4 2 3" xfId="5378" xr:uid="{F34E0C46-D1E6-4686-BBE7-E51DE54E70EA}"/>
    <cellStyle name="Normal 4 3 2 4 4 2 3 2" xfId="14486" xr:uid="{8FF8F757-D1F0-4C20-8ECA-4EFD4C1E7682}"/>
    <cellStyle name="Normal 4 3 2 4 4 2 4" xfId="14484" xr:uid="{D2F5BE6E-D3A5-4612-A3FA-4094F284442E}"/>
    <cellStyle name="Normal 4 3 2 4 4 3" xfId="5379" xr:uid="{17DD43BE-60E3-432C-A487-F2A6879C7A86}"/>
    <cellStyle name="Normal 4 3 2 4 4 3 2" xfId="14487" xr:uid="{789EB9A3-EDC7-40D1-B17D-3FCA46510552}"/>
    <cellStyle name="Normal 4 3 2 4 4 4" xfId="5380" xr:uid="{63FA3DFB-0EEB-42C2-9C45-929F42BDA90E}"/>
    <cellStyle name="Normal 4 3 2 4 4 4 2" xfId="14488" xr:uid="{436A3198-E984-430C-9104-48F68089C26A}"/>
    <cellStyle name="Normal 4 3 2 4 4 5" xfId="5381" xr:uid="{41FB42A7-AC81-4585-AFFC-5706D7E1FCBE}"/>
    <cellStyle name="Normal 4 3 2 4 4 5 2" xfId="14489" xr:uid="{1BD90587-3300-4271-8DD5-897FD68E9BF4}"/>
    <cellStyle name="Normal 4 3 2 4 4 6" xfId="14483" xr:uid="{3A325017-1175-4AA0-9F98-42926A569F92}"/>
    <cellStyle name="Normal 4 3 2 4 5" xfId="5382" xr:uid="{B6787857-1F79-4CA4-AA1E-1A316B1946F3}"/>
    <cellStyle name="Normal 4 3 2 4 5 2" xfId="5383" xr:uid="{4D1ED33F-4DEC-430A-A256-632EA0712D63}"/>
    <cellStyle name="Normal 4 3 2 4 5 2 2" xfId="5384" xr:uid="{31A989D3-31FB-4C28-9BA7-F0314A1FB066}"/>
    <cellStyle name="Normal 4 3 2 4 5 2 2 2" xfId="14492" xr:uid="{458DF89F-9DE6-49A7-96D6-353B0439EF63}"/>
    <cellStyle name="Normal 4 3 2 4 5 2 3" xfId="5385" xr:uid="{4888B5AA-3468-466F-8420-F55B57DC5173}"/>
    <cellStyle name="Normal 4 3 2 4 5 2 3 2" xfId="14493" xr:uid="{463BCBA4-7540-4A11-92F4-9D9F9B0BD5F4}"/>
    <cellStyle name="Normal 4 3 2 4 5 2 4" xfId="14491" xr:uid="{B72CD18E-48B4-4569-8103-E04796F819DA}"/>
    <cellStyle name="Normal 4 3 2 4 5 3" xfId="5386" xr:uid="{EE51B0FB-E353-4DD4-AF7B-D2EAE706D2D1}"/>
    <cellStyle name="Normal 4 3 2 4 5 3 2" xfId="14494" xr:uid="{A7BC2B34-1A8A-4318-B036-1951B3648020}"/>
    <cellStyle name="Normal 4 3 2 4 5 4" xfId="5387" xr:uid="{F2F4FF0C-283A-4F22-AC82-9679406CEAF3}"/>
    <cellStyle name="Normal 4 3 2 4 5 4 2" xfId="14495" xr:uid="{CF68AC50-F139-4BE5-871F-D32E545BB6A3}"/>
    <cellStyle name="Normal 4 3 2 4 5 5" xfId="5388" xr:uid="{77765D9A-9EEE-4C85-9533-D24792AB48E9}"/>
    <cellStyle name="Normal 4 3 2 4 5 5 2" xfId="14496" xr:uid="{BBF4D63A-19B5-4559-BBEC-2FD1A296B038}"/>
    <cellStyle name="Normal 4 3 2 4 5 6" xfId="14490" xr:uid="{91716FFB-0952-4FF7-9738-ACA85ED42D16}"/>
    <cellStyle name="Normal 4 3 2 4 6" xfId="5389" xr:uid="{2F82B4F1-A8E4-429D-B7A0-036CB1F7F3CC}"/>
    <cellStyle name="Normal 4 3 2 4 6 2" xfId="5390" xr:uid="{6149AD9E-FECB-481C-BD1E-9169EF721A26}"/>
    <cellStyle name="Normal 4 3 2 4 6 2 2" xfId="14498" xr:uid="{4717AB6D-BB15-4D6D-BC7D-323F7A25BE34}"/>
    <cellStyle name="Normal 4 3 2 4 6 3" xfId="5391" xr:uid="{D22D6E59-67A6-4E02-B069-33637246531E}"/>
    <cellStyle name="Normal 4 3 2 4 6 3 2" xfId="14499" xr:uid="{A92163D3-660C-455D-847C-2E429E43E143}"/>
    <cellStyle name="Normal 4 3 2 4 6 4" xfId="14497" xr:uid="{596E2E8C-AD75-4C03-93FD-2A1DD93FBE38}"/>
    <cellStyle name="Normal 4 3 2 4 7" xfId="5392" xr:uid="{65AF6475-7342-4FF0-9C3A-B00F8060FE13}"/>
    <cellStyle name="Normal 4 3 2 4 7 2" xfId="14500" xr:uid="{A7075DFF-40FF-458A-8372-AE1373A679D6}"/>
    <cellStyle name="Normal 4 3 2 4 8" xfId="5393" xr:uid="{1A6FC58C-EEAC-4B11-95CB-C8602C0DB255}"/>
    <cellStyle name="Normal 4 3 2 4 8 2" xfId="14501" xr:uid="{8E7D061B-6165-4B5F-8EFC-9E0A8039ECEA}"/>
    <cellStyle name="Normal 4 3 2 4 9" xfId="5394" xr:uid="{BE30676E-BB39-4CEA-B3FB-1A1C771C84A1}"/>
    <cellStyle name="Normal 4 3 2 4 9 2" xfId="14502" xr:uid="{F97CA33D-9029-46D8-8FEB-B8C5B8178D84}"/>
    <cellStyle name="Normal 4 3 2 5" xfId="5395" xr:uid="{76132385-7AD0-4D58-BF33-9EA2B2C0F9C9}"/>
    <cellStyle name="Normal 4 3 2 5 10" xfId="14503" xr:uid="{D013D7CF-2F62-4506-AEB4-037FA25841F4}"/>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2 2" xfId="14508" xr:uid="{262C9DB7-6C55-4DDD-9962-198AB1C69C09}"/>
    <cellStyle name="Normal 4 3 2 5 2 2 2 2 3" xfId="5401" xr:uid="{B9B87623-0068-4A03-8405-824815662BF2}"/>
    <cellStyle name="Normal 4 3 2 5 2 2 2 2 3 2" xfId="14509" xr:uid="{690BC980-7E30-4808-82D0-1C498370BD74}"/>
    <cellStyle name="Normal 4 3 2 5 2 2 2 2 4" xfId="14507" xr:uid="{90DA10CA-516B-4A9D-B402-16649F25C8E1}"/>
    <cellStyle name="Normal 4 3 2 5 2 2 2 3" xfId="5402" xr:uid="{7FDACD0F-7E37-40B6-9020-0543BE46C4C1}"/>
    <cellStyle name="Normal 4 3 2 5 2 2 2 3 2" xfId="14510" xr:uid="{52D0E66A-BCCE-4C56-9C87-784852920167}"/>
    <cellStyle name="Normal 4 3 2 5 2 2 2 4" xfId="5403" xr:uid="{1BBD31A1-6312-4AC8-A499-3AF2B496BD9C}"/>
    <cellStyle name="Normal 4 3 2 5 2 2 2 4 2" xfId="14511" xr:uid="{7EA82EA4-455E-421F-B5E4-5F848310945D}"/>
    <cellStyle name="Normal 4 3 2 5 2 2 2 5" xfId="5404" xr:uid="{13A60A0F-F852-4005-AE47-799EC7756AED}"/>
    <cellStyle name="Normal 4 3 2 5 2 2 2 5 2" xfId="14512" xr:uid="{6698EBD7-1783-42B5-99A9-A9A3B43981E7}"/>
    <cellStyle name="Normal 4 3 2 5 2 2 2 6" xfId="14506" xr:uid="{E9453A71-3971-4376-B476-A3407AF3A070}"/>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2 2" xfId="14515" xr:uid="{79D5A3FA-7FC2-47B8-9432-432FF3A8304E}"/>
    <cellStyle name="Normal 4 3 2 5 2 2 3 2 3" xfId="5408" xr:uid="{EDCCBF02-24C0-45BC-85CC-DD97DDC19138}"/>
    <cellStyle name="Normal 4 3 2 5 2 2 3 2 3 2" xfId="14516" xr:uid="{45F33781-D742-40CF-B05B-42406C3AEA35}"/>
    <cellStyle name="Normal 4 3 2 5 2 2 3 2 4" xfId="14514" xr:uid="{967560C2-525F-4DC1-8DAC-E9FD59FC07CE}"/>
    <cellStyle name="Normal 4 3 2 5 2 2 3 3" xfId="5409" xr:uid="{15CCBCBD-E17A-4962-A94F-96CD65E76A8C}"/>
    <cellStyle name="Normal 4 3 2 5 2 2 3 3 2" xfId="14517" xr:uid="{F5291681-7C61-49F0-986A-08CF638676F6}"/>
    <cellStyle name="Normal 4 3 2 5 2 2 3 4" xfId="5410" xr:uid="{1FD51DD2-FC0B-4FC6-8DD9-039B5A210FF8}"/>
    <cellStyle name="Normal 4 3 2 5 2 2 3 4 2" xfId="14518" xr:uid="{E583C349-933C-433F-AC1C-61F741061199}"/>
    <cellStyle name="Normal 4 3 2 5 2 2 3 5" xfId="5411" xr:uid="{BEFB4431-20BB-4C80-ADBD-C812AF5E5E13}"/>
    <cellStyle name="Normal 4 3 2 5 2 2 3 5 2" xfId="14519" xr:uid="{A48B3768-7288-4BCF-B7AB-9CB27F7D89D1}"/>
    <cellStyle name="Normal 4 3 2 5 2 2 3 6" xfId="14513" xr:uid="{9A2D45BA-DAE6-43B2-98C3-536F108BD249}"/>
    <cellStyle name="Normal 4 3 2 5 2 2 4" xfId="5412" xr:uid="{10D2E4EA-1E4D-4866-8AC5-394B4234BF47}"/>
    <cellStyle name="Normal 4 3 2 5 2 2 4 2" xfId="5413" xr:uid="{38EEB8DA-E2C0-4BDE-93A4-4A03D08C143A}"/>
    <cellStyle name="Normal 4 3 2 5 2 2 4 2 2" xfId="14521" xr:uid="{809E7A69-F822-450B-9775-905D905929E9}"/>
    <cellStyle name="Normal 4 3 2 5 2 2 4 3" xfId="5414" xr:uid="{66B83ACE-BBD0-4882-9D65-1C9BFCDE7F95}"/>
    <cellStyle name="Normal 4 3 2 5 2 2 4 3 2" xfId="14522" xr:uid="{CB0A57F0-88D0-4FFA-BC3B-00AFEA376E35}"/>
    <cellStyle name="Normal 4 3 2 5 2 2 4 4" xfId="14520" xr:uid="{ECD5DB62-C4B2-4B10-BB45-3D9DCF9833DC}"/>
    <cellStyle name="Normal 4 3 2 5 2 2 5" xfId="5415" xr:uid="{1C4532C9-6A02-45DA-8DF9-56C3EB074327}"/>
    <cellStyle name="Normal 4 3 2 5 2 2 5 2" xfId="14523" xr:uid="{629F4872-2BE3-40FB-A02B-36A39E7CFB21}"/>
    <cellStyle name="Normal 4 3 2 5 2 2 6" xfId="5416" xr:uid="{BB02299F-49D2-4BCC-8C51-1C1FC61551B8}"/>
    <cellStyle name="Normal 4 3 2 5 2 2 6 2" xfId="14524" xr:uid="{B287BBDB-5663-4CB5-87C0-8F5D10522EB4}"/>
    <cellStyle name="Normal 4 3 2 5 2 2 7" xfId="5417" xr:uid="{2CCD6A44-6BBB-4B78-97F5-ECF2ED652D9F}"/>
    <cellStyle name="Normal 4 3 2 5 2 2 7 2" xfId="14525" xr:uid="{A6A7C83F-A751-4FC4-9204-02F3C0051252}"/>
    <cellStyle name="Normal 4 3 2 5 2 2 8" xfId="14505" xr:uid="{4F00E53D-CC47-4367-8488-40B46D7AFE32}"/>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2 2" xfId="14528" xr:uid="{71DB34F5-6EBA-4433-8B22-F5FB0FD08C72}"/>
    <cellStyle name="Normal 4 3 2 5 2 3 2 3" xfId="5421" xr:uid="{A08301B1-126B-4409-854E-EADA12460160}"/>
    <cellStyle name="Normal 4 3 2 5 2 3 2 3 2" xfId="14529" xr:uid="{A01AA09E-AB20-4C98-B7FB-16030BA99254}"/>
    <cellStyle name="Normal 4 3 2 5 2 3 2 4" xfId="14527" xr:uid="{77E0D07A-5ADF-4DED-BA79-70B9409F0E76}"/>
    <cellStyle name="Normal 4 3 2 5 2 3 3" xfId="5422" xr:uid="{D04EE695-FAE0-46B1-B7F6-4A9DA65D9A34}"/>
    <cellStyle name="Normal 4 3 2 5 2 3 3 2" xfId="14530" xr:uid="{785E89C3-7CF2-41A2-B7B6-5E63838B6999}"/>
    <cellStyle name="Normal 4 3 2 5 2 3 4" xfId="5423" xr:uid="{BAB0DA1F-0C4A-4364-A1D0-B9092070C005}"/>
    <cellStyle name="Normal 4 3 2 5 2 3 4 2" xfId="14531" xr:uid="{42F82055-C908-44AA-8209-705718997A8D}"/>
    <cellStyle name="Normal 4 3 2 5 2 3 5" xfId="5424" xr:uid="{E5E86E40-00ED-4ED7-94D9-24B1709022E9}"/>
    <cellStyle name="Normal 4 3 2 5 2 3 5 2" xfId="14532" xr:uid="{52969069-B48A-4540-B964-E125E0BD52B2}"/>
    <cellStyle name="Normal 4 3 2 5 2 3 6" xfId="14526" xr:uid="{39A31271-F725-4DBD-8A88-3F4A9B02591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2 2" xfId="14535" xr:uid="{6F02DA3C-62D1-43A5-9D0C-6C602F1834A3}"/>
    <cellStyle name="Normal 4 3 2 5 2 4 2 3" xfId="5428" xr:uid="{231CC403-8B05-4F2C-BD52-010AB6041F26}"/>
    <cellStyle name="Normal 4 3 2 5 2 4 2 3 2" xfId="14536" xr:uid="{D076AAE5-7D6D-4B17-BBBC-1E937695D9A6}"/>
    <cellStyle name="Normal 4 3 2 5 2 4 2 4" xfId="14534" xr:uid="{CFDC7155-7634-47D9-B7AA-689CEA8A3695}"/>
    <cellStyle name="Normal 4 3 2 5 2 4 3" xfId="5429" xr:uid="{D9B63CA4-3555-4212-BB77-D6510E7B2B8D}"/>
    <cellStyle name="Normal 4 3 2 5 2 4 3 2" xfId="14537" xr:uid="{D29401AE-80AE-4B3F-AB8E-E7B18BA5B08E}"/>
    <cellStyle name="Normal 4 3 2 5 2 4 4" xfId="5430" xr:uid="{DAA1E3D0-1B3E-49F7-9C6E-85AD2314DE87}"/>
    <cellStyle name="Normal 4 3 2 5 2 4 4 2" xfId="14538" xr:uid="{08DE3469-FC55-4AF1-8971-7723DA50CE41}"/>
    <cellStyle name="Normal 4 3 2 5 2 4 5" xfId="5431" xr:uid="{0B804E3C-6490-4756-8888-65DD7E9A4CF7}"/>
    <cellStyle name="Normal 4 3 2 5 2 4 5 2" xfId="14539" xr:uid="{9A1C593E-0DB1-4D2C-9364-75D4B34CB2E3}"/>
    <cellStyle name="Normal 4 3 2 5 2 4 6" xfId="14533" xr:uid="{5B6B2823-35E1-47EC-A088-13D5710B4132}"/>
    <cellStyle name="Normal 4 3 2 5 2 5" xfId="5432" xr:uid="{CC93338D-5A88-43C2-8C42-FDA75D73329D}"/>
    <cellStyle name="Normal 4 3 2 5 2 5 2" xfId="5433" xr:uid="{3BB17355-A4A6-417E-96E4-9608A7FFA2C5}"/>
    <cellStyle name="Normal 4 3 2 5 2 5 2 2" xfId="14541" xr:uid="{6C0691A6-5D0C-4F0D-AAB9-296693C03A54}"/>
    <cellStyle name="Normal 4 3 2 5 2 5 3" xfId="5434" xr:uid="{BE6FC640-5085-4649-AD31-5B662F62AA45}"/>
    <cellStyle name="Normal 4 3 2 5 2 5 3 2" xfId="14542" xr:uid="{C676576F-624E-4F5C-9AC0-085ADDEEC805}"/>
    <cellStyle name="Normal 4 3 2 5 2 5 4" xfId="14540" xr:uid="{AF35D61F-B456-4FFE-8346-3F5E20B4F805}"/>
    <cellStyle name="Normal 4 3 2 5 2 6" xfId="5435" xr:uid="{94953C01-D685-4889-98B1-A8AE0537B71C}"/>
    <cellStyle name="Normal 4 3 2 5 2 6 2" xfId="14543" xr:uid="{61B727E2-F0E6-44EA-BC97-61644E2BFF79}"/>
    <cellStyle name="Normal 4 3 2 5 2 7" xfId="5436" xr:uid="{CBA0CD39-D312-4195-BD4E-8661B2658322}"/>
    <cellStyle name="Normal 4 3 2 5 2 7 2" xfId="14544" xr:uid="{23168BEC-4237-492B-8B4E-EEA4E342B59A}"/>
    <cellStyle name="Normal 4 3 2 5 2 8" xfId="5437" xr:uid="{EDABAEEE-11C8-49C3-A026-E4AF42917B82}"/>
    <cellStyle name="Normal 4 3 2 5 2 8 2" xfId="14545" xr:uid="{68BCFDF8-3614-4CC1-9867-9AE2E1086018}"/>
    <cellStyle name="Normal 4 3 2 5 2 9" xfId="14504" xr:uid="{BDE5FB94-3279-4406-B207-152749A42AE6}"/>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2 2" xfId="14549" xr:uid="{90CC5181-78BE-4784-BB9E-AA724D9B327F}"/>
    <cellStyle name="Normal 4 3 2 5 3 2 2 3" xfId="5442" xr:uid="{99329BD3-C6BA-410D-B32F-FC0B6416C377}"/>
    <cellStyle name="Normal 4 3 2 5 3 2 2 3 2" xfId="14550" xr:uid="{DBDC9671-E307-4BC2-ADE6-01BCDF3D0ECE}"/>
    <cellStyle name="Normal 4 3 2 5 3 2 2 4" xfId="14548" xr:uid="{BBCC3621-14DF-4716-916F-AFB0717A8FA0}"/>
    <cellStyle name="Normal 4 3 2 5 3 2 3" xfId="5443" xr:uid="{5A01DAFC-CD15-41F4-8063-C344FD9E3BBF}"/>
    <cellStyle name="Normal 4 3 2 5 3 2 3 2" xfId="14551" xr:uid="{B7E87CE1-2B9C-40BE-8E88-C167194182FD}"/>
    <cellStyle name="Normal 4 3 2 5 3 2 4" xfId="5444" xr:uid="{4F498E29-4B5E-4CC0-99E4-28210E2C9936}"/>
    <cellStyle name="Normal 4 3 2 5 3 2 4 2" xfId="14552" xr:uid="{C92C61CA-AFEC-4CDF-889D-7A2A2D2A904C}"/>
    <cellStyle name="Normal 4 3 2 5 3 2 5" xfId="5445" xr:uid="{D69870D4-2A87-4195-AA70-CC8D1ACC3A0E}"/>
    <cellStyle name="Normal 4 3 2 5 3 2 5 2" xfId="14553" xr:uid="{1A82F54C-A4F6-4299-A5EB-4BE3ACA4DE1A}"/>
    <cellStyle name="Normal 4 3 2 5 3 2 6" xfId="14547" xr:uid="{261D133C-E625-4B13-B7B6-CA0547518B23}"/>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2 2" xfId="14556" xr:uid="{86AE98FD-3C5A-4891-8C4A-0BC88B6093BC}"/>
    <cellStyle name="Normal 4 3 2 5 3 3 2 3" xfId="5449" xr:uid="{B810AE49-A642-4D75-A432-56CE6B0D2C53}"/>
    <cellStyle name="Normal 4 3 2 5 3 3 2 3 2" xfId="14557" xr:uid="{5271D82E-08A6-4B18-9A35-3E925DCA3C3D}"/>
    <cellStyle name="Normal 4 3 2 5 3 3 2 4" xfId="14555" xr:uid="{5933FEB6-AAC4-4E70-BBE5-7A6275CB6415}"/>
    <cellStyle name="Normal 4 3 2 5 3 3 3" xfId="5450" xr:uid="{EE86DEC3-7A4B-454A-A88F-1747B4907AB5}"/>
    <cellStyle name="Normal 4 3 2 5 3 3 3 2" xfId="14558" xr:uid="{7F0F9232-19B5-4709-943C-74DC652D1F1E}"/>
    <cellStyle name="Normal 4 3 2 5 3 3 4" xfId="5451" xr:uid="{9CF9EA2B-42D0-455A-B453-77967F2B6550}"/>
    <cellStyle name="Normal 4 3 2 5 3 3 4 2" xfId="14559" xr:uid="{4AE35D9B-2FD5-4217-9F8B-4E0049A4F2B3}"/>
    <cellStyle name="Normal 4 3 2 5 3 3 5" xfId="5452" xr:uid="{F7661F26-F2D6-4D11-BF42-F15BDBAF8B67}"/>
    <cellStyle name="Normal 4 3 2 5 3 3 5 2" xfId="14560" xr:uid="{30D60090-96A2-48D8-8E11-1617C15C286F}"/>
    <cellStyle name="Normal 4 3 2 5 3 3 6" xfId="14554" xr:uid="{6DCA6BAC-4434-49A7-9B36-997C5756C935}"/>
    <cellStyle name="Normal 4 3 2 5 3 4" xfId="5453" xr:uid="{445EA058-D9BF-4949-A854-41B8C0004863}"/>
    <cellStyle name="Normal 4 3 2 5 3 4 2" xfId="5454" xr:uid="{977E4F91-B3AC-4BE0-B5A6-A0FAF649A6C9}"/>
    <cellStyle name="Normal 4 3 2 5 3 4 2 2" xfId="14562" xr:uid="{09C94855-E94F-4842-B0DF-E1FCF09720A8}"/>
    <cellStyle name="Normal 4 3 2 5 3 4 3" xfId="5455" xr:uid="{5AABB0A6-5960-49F1-A59E-D3DE6078BF59}"/>
    <cellStyle name="Normal 4 3 2 5 3 4 3 2" xfId="14563" xr:uid="{C2D9911C-2EDD-4B15-AC45-BB8F7A270BBA}"/>
    <cellStyle name="Normal 4 3 2 5 3 4 4" xfId="14561" xr:uid="{140DC679-2135-41A7-8072-8C9F0240F4DB}"/>
    <cellStyle name="Normal 4 3 2 5 3 5" xfId="5456" xr:uid="{DB577591-72AF-4B6A-B9CB-0D0DF76DECC1}"/>
    <cellStyle name="Normal 4 3 2 5 3 5 2" xfId="14564" xr:uid="{F5B478C6-40A2-4253-8DE2-6FBDFA5336B3}"/>
    <cellStyle name="Normal 4 3 2 5 3 6" xfId="5457" xr:uid="{4DED12CA-8082-4CF9-8DC8-BC2EBE0C6168}"/>
    <cellStyle name="Normal 4 3 2 5 3 6 2" xfId="14565" xr:uid="{A906B72E-2E6F-4F7D-9A06-D89A28D85AEC}"/>
    <cellStyle name="Normal 4 3 2 5 3 7" xfId="5458" xr:uid="{55A53067-4A72-4C91-A32B-4AACB69C7885}"/>
    <cellStyle name="Normal 4 3 2 5 3 7 2" xfId="14566" xr:uid="{E9595FC2-9AA8-4025-A327-D8D146E017B0}"/>
    <cellStyle name="Normal 4 3 2 5 3 8" xfId="14546" xr:uid="{A0173108-8654-442A-9EDD-DE2D1A5B1B8B}"/>
    <cellStyle name="Normal 4 3 2 5 4" xfId="5459" xr:uid="{BF26E3E1-4857-47BB-8AD4-E28DB31CEEA3}"/>
    <cellStyle name="Normal 4 3 2 5 4 2" xfId="5460" xr:uid="{3979E009-B91F-42FB-AFB5-EE6530922A16}"/>
    <cellStyle name="Normal 4 3 2 5 4 2 2" xfId="5461" xr:uid="{E9739E98-4659-451B-9C9F-14E615EC94E8}"/>
    <cellStyle name="Normal 4 3 2 5 4 2 2 2" xfId="14569" xr:uid="{E20C441C-59FC-4DA1-BA19-C0B3E767720D}"/>
    <cellStyle name="Normal 4 3 2 5 4 2 3" xfId="5462" xr:uid="{3FDC97B4-39E3-4942-B40D-5C551E1D378D}"/>
    <cellStyle name="Normal 4 3 2 5 4 2 3 2" xfId="14570" xr:uid="{617944B8-E583-4F83-BDC3-D8CACC2A1718}"/>
    <cellStyle name="Normal 4 3 2 5 4 2 4" xfId="14568" xr:uid="{ABE94C4B-5A32-41CA-8C77-5CA1812908C8}"/>
    <cellStyle name="Normal 4 3 2 5 4 3" xfId="5463" xr:uid="{7F12677C-0C0D-47A9-83E5-E263AD271FFA}"/>
    <cellStyle name="Normal 4 3 2 5 4 3 2" xfId="14571" xr:uid="{B3DE8E82-56E1-4EA9-ABED-524D4529B957}"/>
    <cellStyle name="Normal 4 3 2 5 4 4" xfId="5464" xr:uid="{5A36B01C-2C6A-49DC-AE60-CD522A6A666C}"/>
    <cellStyle name="Normal 4 3 2 5 4 4 2" xfId="14572" xr:uid="{2B2D9642-254E-4E9A-8B42-FEF734C1F905}"/>
    <cellStyle name="Normal 4 3 2 5 4 5" xfId="5465" xr:uid="{CE3795CD-B7C1-4D34-B97B-25E261FA751D}"/>
    <cellStyle name="Normal 4 3 2 5 4 5 2" xfId="14573" xr:uid="{1AE5F260-98C1-4834-A036-275492475D32}"/>
    <cellStyle name="Normal 4 3 2 5 4 6" xfId="14567" xr:uid="{3E6E4AE8-C01F-4355-88A4-B7110DB43D34}"/>
    <cellStyle name="Normal 4 3 2 5 5" xfId="5466" xr:uid="{800455C3-D18D-4B4C-ADFA-018ED01CD24E}"/>
    <cellStyle name="Normal 4 3 2 5 5 2" xfId="5467" xr:uid="{AE3C7CD7-923E-4AE6-8EB8-CB57A1F9C9C3}"/>
    <cellStyle name="Normal 4 3 2 5 5 2 2" xfId="5468" xr:uid="{0A84AC92-3CA7-4A11-9EAE-D2004CFBF22C}"/>
    <cellStyle name="Normal 4 3 2 5 5 2 2 2" xfId="14576" xr:uid="{DEE661D8-8E6F-4EC4-A0C0-B8DD01906317}"/>
    <cellStyle name="Normal 4 3 2 5 5 2 3" xfId="5469" xr:uid="{101E7132-DED0-4C53-BE68-6A8AD9ECC681}"/>
    <cellStyle name="Normal 4 3 2 5 5 2 3 2" xfId="14577" xr:uid="{A34B3AC4-375C-4322-B578-2D7A85979466}"/>
    <cellStyle name="Normal 4 3 2 5 5 2 4" xfId="14575" xr:uid="{026468F6-D03B-48C4-B68C-F3A9009F02DC}"/>
    <cellStyle name="Normal 4 3 2 5 5 3" xfId="5470" xr:uid="{4F91B99E-4A41-4CC9-8402-F25C3AEF9458}"/>
    <cellStyle name="Normal 4 3 2 5 5 3 2" xfId="14578" xr:uid="{D9E4F122-4AFA-49F3-A440-879C0531039F}"/>
    <cellStyle name="Normal 4 3 2 5 5 4" xfId="5471" xr:uid="{2E2EF8CA-C3FC-462C-9D3C-28DC07E37BF5}"/>
    <cellStyle name="Normal 4 3 2 5 5 4 2" xfId="14579" xr:uid="{51348DD9-1185-4862-9D90-F3EEB4B494A3}"/>
    <cellStyle name="Normal 4 3 2 5 5 5" xfId="5472" xr:uid="{42A3B727-5E62-48A0-B5A6-487356F0733B}"/>
    <cellStyle name="Normal 4 3 2 5 5 5 2" xfId="14580" xr:uid="{B3C75E0A-C4CB-4B4F-8118-A74465988206}"/>
    <cellStyle name="Normal 4 3 2 5 5 6" xfId="14574" xr:uid="{8818E93A-0E3D-4BF6-A29B-2434B1C9273E}"/>
    <cellStyle name="Normal 4 3 2 5 6" xfId="5473" xr:uid="{EF328952-7A20-4C13-BEAD-BC9C3216E716}"/>
    <cellStyle name="Normal 4 3 2 5 6 2" xfId="5474" xr:uid="{EF0AB97F-5449-4198-8092-3EED00DB333D}"/>
    <cellStyle name="Normal 4 3 2 5 6 2 2" xfId="14582" xr:uid="{9B86CEE3-7F66-444A-A3D2-27EE1DE9D371}"/>
    <cellStyle name="Normal 4 3 2 5 6 3" xfId="5475" xr:uid="{3A9AA6FA-F899-4E7F-A5D8-32C1292E97C8}"/>
    <cellStyle name="Normal 4 3 2 5 6 3 2" xfId="14583" xr:uid="{396340B0-5540-4877-92BF-531A0106F920}"/>
    <cellStyle name="Normal 4 3 2 5 6 4" xfId="14581" xr:uid="{2496B7D9-4954-40FB-AA51-67C5119DA0AF}"/>
    <cellStyle name="Normal 4 3 2 5 7" xfId="5476" xr:uid="{8972FBFE-D238-4738-B510-447DD83CB5A1}"/>
    <cellStyle name="Normal 4 3 2 5 7 2" xfId="14584" xr:uid="{C872CD22-85E2-4CB0-8F94-841AE3F3EB34}"/>
    <cellStyle name="Normal 4 3 2 5 8" xfId="5477" xr:uid="{9A889B72-4F15-4773-8570-480991610EB9}"/>
    <cellStyle name="Normal 4 3 2 5 8 2" xfId="14585" xr:uid="{51DFCCC6-492D-443D-9C4F-A22897F1188D}"/>
    <cellStyle name="Normal 4 3 2 5 9" xfId="5478" xr:uid="{953D08DE-309C-4378-ABB8-6FA928307742}"/>
    <cellStyle name="Normal 4 3 2 5 9 2" xfId="14586" xr:uid="{04E07F07-7646-46F3-82A6-B2FE2FA00F91}"/>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2 2" xfId="14591" xr:uid="{2B322589-6AD7-4ACA-914B-2FF94385D5D9}"/>
    <cellStyle name="Normal 4 3 2 6 2 2 2 3" xfId="5484" xr:uid="{0A2165EF-FBFA-4CE2-B4CC-462D06E687D0}"/>
    <cellStyle name="Normal 4 3 2 6 2 2 2 3 2" xfId="14592" xr:uid="{816FF7D2-A2AA-494B-87F5-7EB82F4D3367}"/>
    <cellStyle name="Normal 4 3 2 6 2 2 2 4" xfId="14590" xr:uid="{4BE237AD-DC23-4985-9C9C-FB624D512DB7}"/>
    <cellStyle name="Normal 4 3 2 6 2 2 3" xfId="5485" xr:uid="{2AE1C53E-D779-4EE4-8210-E7DDB9445747}"/>
    <cellStyle name="Normal 4 3 2 6 2 2 3 2" xfId="14593" xr:uid="{7DF36686-569C-410A-95A5-76A937326543}"/>
    <cellStyle name="Normal 4 3 2 6 2 2 4" xfId="5486" xr:uid="{96CECD9F-7605-415E-A959-D90BD62FDD93}"/>
    <cellStyle name="Normal 4 3 2 6 2 2 4 2" xfId="14594" xr:uid="{57D34BA7-D2BE-4A12-A76B-E493E3D2D46C}"/>
    <cellStyle name="Normal 4 3 2 6 2 2 5" xfId="5487" xr:uid="{21184D94-D738-4792-BD2D-8319DFFBE3FA}"/>
    <cellStyle name="Normal 4 3 2 6 2 2 5 2" xfId="14595" xr:uid="{1837CC04-6EDF-445B-A6B2-7E028DD7E9F7}"/>
    <cellStyle name="Normal 4 3 2 6 2 2 6" xfId="14589" xr:uid="{C22D360D-34FA-4EB0-8DB2-972A5158D5BF}"/>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2 2" xfId="14598" xr:uid="{2280CC39-18E7-4318-962D-4764137E3FE7}"/>
    <cellStyle name="Normal 4 3 2 6 2 3 2 3" xfId="5491" xr:uid="{8B169543-0755-499F-830B-F69BA6616A6C}"/>
    <cellStyle name="Normal 4 3 2 6 2 3 2 3 2" xfId="14599" xr:uid="{0FC88039-41F6-4490-BF4B-653E6B43569B}"/>
    <cellStyle name="Normal 4 3 2 6 2 3 2 4" xfId="14597" xr:uid="{B3E36562-751B-42F8-8C52-64453B783201}"/>
    <cellStyle name="Normal 4 3 2 6 2 3 3" xfId="5492" xr:uid="{289AA170-04DE-4109-8200-4D6BAAB603FF}"/>
    <cellStyle name="Normal 4 3 2 6 2 3 3 2" xfId="14600" xr:uid="{125A28FF-6B7B-4850-83B5-54E138FAD88F}"/>
    <cellStyle name="Normal 4 3 2 6 2 3 4" xfId="5493" xr:uid="{06607854-F2DD-4233-A4B5-3E6CBBB08B1D}"/>
    <cellStyle name="Normal 4 3 2 6 2 3 4 2" xfId="14601" xr:uid="{9A949551-C56D-4D18-B04F-B89A12047DBD}"/>
    <cellStyle name="Normal 4 3 2 6 2 3 5" xfId="5494" xr:uid="{1EDF8A07-72ED-436C-96C1-11F12DA71B6C}"/>
    <cellStyle name="Normal 4 3 2 6 2 3 5 2" xfId="14602" xr:uid="{C3D3F040-FC07-4A24-ACCE-C2501E0C9B8D}"/>
    <cellStyle name="Normal 4 3 2 6 2 3 6" xfId="14596" xr:uid="{E14C4C7A-0FDF-481F-AD03-EB155AFC0C7D}"/>
    <cellStyle name="Normal 4 3 2 6 2 4" xfId="5495" xr:uid="{07B43C7A-5B06-428D-9D27-2ED4A5EDF3AA}"/>
    <cellStyle name="Normal 4 3 2 6 2 4 2" xfId="5496" xr:uid="{FEF434A7-53FF-4C01-A603-2E17B1EAC9B8}"/>
    <cellStyle name="Normal 4 3 2 6 2 4 2 2" xfId="14604" xr:uid="{CDBA010B-D840-4CD2-A4D5-377B20D50130}"/>
    <cellStyle name="Normal 4 3 2 6 2 4 3" xfId="5497" xr:uid="{F1A17320-FC77-4053-B32C-EB3105833328}"/>
    <cellStyle name="Normal 4 3 2 6 2 4 3 2" xfId="14605" xr:uid="{94866527-8A4F-417D-A270-90FDA714AFB5}"/>
    <cellStyle name="Normal 4 3 2 6 2 4 4" xfId="14603" xr:uid="{92BB9AC5-F617-492F-ADEF-95F8ECFD55D1}"/>
    <cellStyle name="Normal 4 3 2 6 2 5" xfId="5498" xr:uid="{DCB5A6B7-DE2F-4D5B-B863-69772241BE40}"/>
    <cellStyle name="Normal 4 3 2 6 2 5 2" xfId="14606" xr:uid="{5C9BD891-9EBA-419E-98E3-B072543A0E51}"/>
    <cellStyle name="Normal 4 3 2 6 2 6" xfId="5499" xr:uid="{FDB3AEAE-7BE7-494F-82C8-B3BDB262E520}"/>
    <cellStyle name="Normal 4 3 2 6 2 6 2" xfId="14607" xr:uid="{B71795FF-5B8E-4666-A4A0-9539F3BA04CC}"/>
    <cellStyle name="Normal 4 3 2 6 2 7" xfId="5500" xr:uid="{4D12CB0A-F933-48D0-8C48-E6F1305F62F1}"/>
    <cellStyle name="Normal 4 3 2 6 2 7 2" xfId="14608" xr:uid="{DD518B3A-284A-4FBA-8BA2-137791658AE3}"/>
    <cellStyle name="Normal 4 3 2 6 2 8" xfId="14588" xr:uid="{71B30BAF-800A-4C3F-AD0D-852D4A3C4D08}"/>
    <cellStyle name="Normal 4 3 2 6 3" xfId="5501" xr:uid="{3209E32F-38A6-4857-BE32-C0687EDEEFCC}"/>
    <cellStyle name="Normal 4 3 2 6 3 2" xfId="5502" xr:uid="{B4A557BA-A8E7-44D3-9D7C-BB03B20118FF}"/>
    <cellStyle name="Normal 4 3 2 6 3 2 2" xfId="5503" xr:uid="{BC741C79-2663-485C-81B0-90852CAC5F8B}"/>
    <cellStyle name="Normal 4 3 2 6 3 2 2 2" xfId="14611" xr:uid="{F43B16ED-FC67-44C1-AB98-268B4B7844CB}"/>
    <cellStyle name="Normal 4 3 2 6 3 2 3" xfId="5504" xr:uid="{90C3B3BB-1C5E-4B56-ABE6-8CDEB5712EF0}"/>
    <cellStyle name="Normal 4 3 2 6 3 2 3 2" xfId="14612" xr:uid="{0AFFEF0E-B50D-4410-8D0B-D6F5D3F76BF7}"/>
    <cellStyle name="Normal 4 3 2 6 3 2 4" xfId="14610" xr:uid="{8A72592B-96A6-4C8E-939C-1E7CA957094C}"/>
    <cellStyle name="Normal 4 3 2 6 3 3" xfId="5505" xr:uid="{CF24FCC8-3994-4FD1-A4D1-62ADFA35B541}"/>
    <cellStyle name="Normal 4 3 2 6 3 3 2" xfId="14613" xr:uid="{413958F8-F98A-40D9-A512-F71B628C233F}"/>
    <cellStyle name="Normal 4 3 2 6 3 4" xfId="5506" xr:uid="{08471398-3E45-4587-B36E-C8FEAB2DFF33}"/>
    <cellStyle name="Normal 4 3 2 6 3 4 2" xfId="14614" xr:uid="{5DBCBC9F-595E-4B2D-A087-6EC4A52F8D24}"/>
    <cellStyle name="Normal 4 3 2 6 3 5" xfId="5507" xr:uid="{5A564688-1832-4EDA-99E9-19754B383679}"/>
    <cellStyle name="Normal 4 3 2 6 3 5 2" xfId="14615" xr:uid="{B78E5707-A8B3-42BA-B1D6-4D1E3D3F0CE5}"/>
    <cellStyle name="Normal 4 3 2 6 3 6" xfId="14609" xr:uid="{19F41731-64A5-409A-B041-90E26838A450}"/>
    <cellStyle name="Normal 4 3 2 6 4" xfId="5508" xr:uid="{752536F8-33AE-445D-B61D-088B72BBD9B5}"/>
    <cellStyle name="Normal 4 3 2 6 4 2" xfId="5509" xr:uid="{49F107FD-2277-48AA-9BFC-EA248CFF502A}"/>
    <cellStyle name="Normal 4 3 2 6 4 2 2" xfId="5510" xr:uid="{0B58F0FE-72D9-4184-A7E4-773F1A79E734}"/>
    <cellStyle name="Normal 4 3 2 6 4 2 2 2" xfId="14618" xr:uid="{EFEA29C3-A6F0-4F7D-A6C9-FB12A47A5E1A}"/>
    <cellStyle name="Normal 4 3 2 6 4 2 3" xfId="5511" xr:uid="{F8A2E39B-C6F7-4361-959C-CB02D9C3C208}"/>
    <cellStyle name="Normal 4 3 2 6 4 2 3 2" xfId="14619" xr:uid="{24C92607-DA8F-409B-9514-5C8DFD2BDD7B}"/>
    <cellStyle name="Normal 4 3 2 6 4 2 4" xfId="14617" xr:uid="{17935F62-0AF5-465D-94E3-17D734D53A62}"/>
    <cellStyle name="Normal 4 3 2 6 4 3" xfId="5512" xr:uid="{D2E6C9C4-4510-42EF-A544-879B5A61B0F8}"/>
    <cellStyle name="Normal 4 3 2 6 4 3 2" xfId="14620" xr:uid="{CF0785F5-4B61-4E7D-97D0-DDDB1050FD8D}"/>
    <cellStyle name="Normal 4 3 2 6 4 4" xfId="5513" xr:uid="{B5000392-0605-44E5-A61B-C73FA92CF93B}"/>
    <cellStyle name="Normal 4 3 2 6 4 4 2" xfId="14621" xr:uid="{B36F42D7-ED9A-4B4C-A6C2-23FCE199B5AB}"/>
    <cellStyle name="Normal 4 3 2 6 4 5" xfId="5514" xr:uid="{5611BB9C-F3B7-461D-B12D-5C775E877384}"/>
    <cellStyle name="Normal 4 3 2 6 4 5 2" xfId="14622" xr:uid="{80AB4221-3CCE-495F-9873-1F46533DEF66}"/>
    <cellStyle name="Normal 4 3 2 6 4 6" xfId="14616" xr:uid="{A488EEA4-901C-4F9F-B09E-3E65B059B7D6}"/>
    <cellStyle name="Normal 4 3 2 6 5" xfId="5515" xr:uid="{6035891F-0A5D-42B9-BA05-204670FC762E}"/>
    <cellStyle name="Normal 4 3 2 6 5 2" xfId="5516" xr:uid="{7323C955-9067-4B69-9532-BEFF72305E49}"/>
    <cellStyle name="Normal 4 3 2 6 5 2 2" xfId="14624" xr:uid="{4D1705CF-0711-41F7-9184-9F69074BA3C2}"/>
    <cellStyle name="Normal 4 3 2 6 5 3" xfId="5517" xr:uid="{226266E3-878D-4D05-94A0-16EA4CFADA0C}"/>
    <cellStyle name="Normal 4 3 2 6 5 3 2" xfId="14625" xr:uid="{F06F9467-5844-40AC-996A-B9F54F68ABE6}"/>
    <cellStyle name="Normal 4 3 2 6 5 4" xfId="14623" xr:uid="{F3FA072E-5E9B-4D8A-8B35-5E687272AEE3}"/>
    <cellStyle name="Normal 4 3 2 6 6" xfId="5518" xr:uid="{7FB7A373-04D2-44E2-B6FE-C5E8F6B4D3AA}"/>
    <cellStyle name="Normal 4 3 2 6 6 2" xfId="14626" xr:uid="{6C992B44-F915-4042-A00B-62C89837D0DF}"/>
    <cellStyle name="Normal 4 3 2 6 7" xfId="5519" xr:uid="{42260211-49CD-409E-87C1-634CF5BB6748}"/>
    <cellStyle name="Normal 4 3 2 6 7 2" xfId="14627" xr:uid="{8EB4B819-505D-4F57-BF36-3AE4CBDF2890}"/>
    <cellStyle name="Normal 4 3 2 6 8" xfId="5520" xr:uid="{A7076778-65DA-47C4-9E0A-BBAA50D59262}"/>
    <cellStyle name="Normal 4 3 2 6 8 2" xfId="14628" xr:uid="{53082899-7AA5-4562-9A96-353285811593}"/>
    <cellStyle name="Normal 4 3 2 6 9" xfId="14587" xr:uid="{895DAA12-01C9-440B-BC1A-736BECDDA029}"/>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2 2" xfId="14632" xr:uid="{09EA3FEE-26C1-449D-A1E0-97B2BFD53DA8}"/>
    <cellStyle name="Normal 4 3 2 7 2 2 3" xfId="5525" xr:uid="{5F6AD319-FCDE-4FBE-A839-14A1AEF821B6}"/>
    <cellStyle name="Normal 4 3 2 7 2 2 3 2" xfId="14633" xr:uid="{D7DE3206-2085-433C-A475-15CFA44E71C6}"/>
    <cellStyle name="Normal 4 3 2 7 2 2 4" xfId="14631" xr:uid="{31563E42-858D-4339-AE6B-3ABDE06B5C9A}"/>
    <cellStyle name="Normal 4 3 2 7 2 3" xfId="5526" xr:uid="{4D88D1F1-2092-4415-B99D-20931548E647}"/>
    <cellStyle name="Normal 4 3 2 7 2 3 2" xfId="14634" xr:uid="{05EAA743-B470-44FF-955F-ADF9D198E051}"/>
    <cellStyle name="Normal 4 3 2 7 2 4" xfId="5527" xr:uid="{C9789E58-13DE-47D0-945C-BE0BC32EB158}"/>
    <cellStyle name="Normal 4 3 2 7 2 4 2" xfId="14635" xr:uid="{F6243342-7C42-4EB2-B889-A1C0172D4DB8}"/>
    <cellStyle name="Normal 4 3 2 7 2 5" xfId="5528" xr:uid="{BCCCEC57-4525-4F67-AE5E-8155FF4CC06C}"/>
    <cellStyle name="Normal 4 3 2 7 2 5 2" xfId="14636" xr:uid="{4B15FFAA-2FBA-4DD5-A65B-A7525E8DC1D0}"/>
    <cellStyle name="Normal 4 3 2 7 2 6" xfId="14630" xr:uid="{EB3B150F-BF40-47AF-8A89-B5AE47DDBD47}"/>
    <cellStyle name="Normal 4 3 2 7 3" xfId="5529" xr:uid="{DCFD7BCF-F238-45DA-A9EB-F9A3444CE294}"/>
    <cellStyle name="Normal 4 3 2 7 3 2" xfId="5530" xr:uid="{2B1DF8AF-851E-41F0-B166-74302BEA673B}"/>
    <cellStyle name="Normal 4 3 2 7 3 2 2" xfId="5531" xr:uid="{20DB1FCD-D77A-4B7D-8114-D31ECB3A756E}"/>
    <cellStyle name="Normal 4 3 2 7 3 2 2 2" xfId="14639" xr:uid="{8E9DBAB1-4F4F-41A2-B55E-76DAD124AD73}"/>
    <cellStyle name="Normal 4 3 2 7 3 2 3" xfId="5532" xr:uid="{0E4C545E-8490-444C-8E3C-8D903DC584C2}"/>
    <cellStyle name="Normal 4 3 2 7 3 2 3 2" xfId="14640" xr:uid="{0F803AD5-53A7-46C1-82A8-D2F44BE87A63}"/>
    <cellStyle name="Normal 4 3 2 7 3 2 4" xfId="14638" xr:uid="{8F77B579-0B01-42E4-B60F-918B02963A71}"/>
    <cellStyle name="Normal 4 3 2 7 3 3" xfId="5533" xr:uid="{9B4E9967-E376-404F-B791-EE09F513F853}"/>
    <cellStyle name="Normal 4 3 2 7 3 3 2" xfId="14641" xr:uid="{72A28B50-D841-407B-93FE-BE5927DE617B}"/>
    <cellStyle name="Normal 4 3 2 7 3 4" xfId="5534" xr:uid="{13A19ACE-7961-4D32-86D0-EB87AEA312B6}"/>
    <cellStyle name="Normal 4 3 2 7 3 4 2" xfId="14642" xr:uid="{696CFAF5-5AE4-4127-BF87-CF0D5770B269}"/>
    <cellStyle name="Normal 4 3 2 7 3 5" xfId="5535" xr:uid="{3115501E-049B-4B0E-BD33-5C81692FFE01}"/>
    <cellStyle name="Normal 4 3 2 7 3 5 2" xfId="14643" xr:uid="{70820DE1-A3D0-47FE-AB14-B2FCD417B30B}"/>
    <cellStyle name="Normal 4 3 2 7 3 6" xfId="14637" xr:uid="{430CF4CF-DFFF-4439-84D0-2573E84F3C4F}"/>
    <cellStyle name="Normal 4 3 2 7 4" xfId="5536" xr:uid="{F0690203-01C6-4821-9BDD-B56660646DE7}"/>
    <cellStyle name="Normal 4 3 2 7 4 2" xfId="5537" xr:uid="{A2DCE18F-8CE7-4068-81DA-811BCE696D4E}"/>
    <cellStyle name="Normal 4 3 2 7 4 2 2" xfId="14645" xr:uid="{4533219B-AFFD-4BC2-BB53-A9147E051CB8}"/>
    <cellStyle name="Normal 4 3 2 7 4 3" xfId="5538" xr:uid="{AEFA0C1B-A9B2-42DF-9FE5-0EEDFDD49DDF}"/>
    <cellStyle name="Normal 4 3 2 7 4 3 2" xfId="14646" xr:uid="{BE32348F-5221-41C1-964A-0668A25B83F7}"/>
    <cellStyle name="Normal 4 3 2 7 4 4" xfId="14644" xr:uid="{E845686E-1A67-43DB-AAEA-2A65CE9FAEF8}"/>
    <cellStyle name="Normal 4 3 2 7 5" xfId="5539" xr:uid="{5D460CF9-4371-48CB-82C5-F94099571423}"/>
    <cellStyle name="Normal 4 3 2 7 5 2" xfId="14647" xr:uid="{E9DF4965-FCF1-4CEA-B08C-85FD88859771}"/>
    <cellStyle name="Normal 4 3 2 7 6" xfId="5540" xr:uid="{5B72E8D6-6280-4248-A3F6-6887E199F4A7}"/>
    <cellStyle name="Normal 4 3 2 7 6 2" xfId="14648" xr:uid="{96AD020C-5931-4848-8E44-73D8C3827CC0}"/>
    <cellStyle name="Normal 4 3 2 7 7" xfId="5541" xr:uid="{120E9710-89AB-4E36-9642-DDF48AB17507}"/>
    <cellStyle name="Normal 4 3 2 7 7 2" xfId="14649" xr:uid="{F32996A0-78C0-4233-8888-AE9499255618}"/>
    <cellStyle name="Normal 4 3 2 7 8" xfId="14629" xr:uid="{F80209F0-C9CA-482E-98A3-6FD422A380CF}"/>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2 2" xfId="14653" xr:uid="{CCD0DFDD-BD3F-4FA2-8A4E-CBEC4B5C77A8}"/>
    <cellStyle name="Normal 4 3 2 8 2 2 3" xfId="5546" xr:uid="{39A6FB07-0944-4C10-BE10-9B04B8CB21E4}"/>
    <cellStyle name="Normal 4 3 2 8 2 2 3 2" xfId="14654" xr:uid="{9F73436A-982A-4C11-84F4-5EE0EA247FA8}"/>
    <cellStyle name="Normal 4 3 2 8 2 2 4" xfId="14652" xr:uid="{7ADBCA26-62A1-44F1-B6CE-0E50CB552085}"/>
    <cellStyle name="Normal 4 3 2 8 2 3" xfId="5547" xr:uid="{B86D0DC8-0E43-45B5-9BBE-E2B302395D7C}"/>
    <cellStyle name="Normal 4 3 2 8 2 3 2" xfId="14655" xr:uid="{B209F912-607C-42CF-9C8B-DB7784112113}"/>
    <cellStyle name="Normal 4 3 2 8 2 4" xfId="5548" xr:uid="{2C16037E-7E08-47DF-AF69-16BCDC359F91}"/>
    <cellStyle name="Normal 4 3 2 8 2 4 2" xfId="14656" xr:uid="{178B9423-DAEB-422F-84AB-0CE4E917A36D}"/>
    <cellStyle name="Normal 4 3 2 8 2 5" xfId="5549" xr:uid="{FC0E65E9-1256-4C5A-8C8B-4A559FC64053}"/>
    <cellStyle name="Normal 4 3 2 8 2 5 2" xfId="14657" xr:uid="{83AA9FCB-831D-4B77-8E33-437A8DFF2B5B}"/>
    <cellStyle name="Normal 4 3 2 8 2 6" xfId="14651" xr:uid="{7477577B-4828-4B30-A1FC-B65622AA7BD5}"/>
    <cellStyle name="Normal 4 3 2 8 3" xfId="5550" xr:uid="{98462AF0-1DB8-48FF-8645-1E1B8F7503C7}"/>
    <cellStyle name="Normal 4 3 2 8 3 2" xfId="5551" xr:uid="{538A9B94-2DD4-4156-BA54-3D2DE7BAAC94}"/>
    <cellStyle name="Normal 4 3 2 8 3 2 2" xfId="5552" xr:uid="{763BF218-CB8D-4B8D-A807-081E6418EBA8}"/>
    <cellStyle name="Normal 4 3 2 8 3 2 2 2" xfId="14660" xr:uid="{686E8A18-91A4-4810-B059-846A6E24538D}"/>
    <cellStyle name="Normal 4 3 2 8 3 2 3" xfId="5553" xr:uid="{5399881A-ED75-4804-9776-B87BFEA7F6D5}"/>
    <cellStyle name="Normal 4 3 2 8 3 2 3 2" xfId="14661" xr:uid="{C4264A9E-A99C-4428-A9CA-81514F02B119}"/>
    <cellStyle name="Normal 4 3 2 8 3 2 4" xfId="14659" xr:uid="{18E7701F-AA10-4743-ACFF-3E714627663B}"/>
    <cellStyle name="Normal 4 3 2 8 3 3" xfId="5554" xr:uid="{81E8703F-567C-4D04-AC9A-55FF9C0EBB68}"/>
    <cellStyle name="Normal 4 3 2 8 3 3 2" xfId="14662" xr:uid="{315EFB87-B8FA-4254-847A-9310ECE0E79A}"/>
    <cellStyle name="Normal 4 3 2 8 3 4" xfId="5555" xr:uid="{D187DD50-63F5-439A-BE97-A7E09F10C792}"/>
    <cellStyle name="Normal 4 3 2 8 3 4 2" xfId="14663" xr:uid="{B5B8BA7B-7893-4A2E-AE32-79EDE86AD4D4}"/>
    <cellStyle name="Normal 4 3 2 8 3 5" xfId="5556" xr:uid="{73B6A862-F070-4D08-967F-257915237C32}"/>
    <cellStyle name="Normal 4 3 2 8 3 5 2" xfId="14664" xr:uid="{CCE63DD9-C32F-4E02-867F-1144F7E730C3}"/>
    <cellStyle name="Normal 4 3 2 8 3 6" xfId="14658" xr:uid="{01DFE774-01F3-4D68-8467-00D6DEBAACD6}"/>
    <cellStyle name="Normal 4 3 2 8 4" xfId="5557" xr:uid="{9F2471F1-4952-4B36-B4C5-BDBCB8CE3B0F}"/>
    <cellStyle name="Normal 4 3 2 8 4 2" xfId="5558" xr:uid="{F1997523-CD74-49D6-AA29-78B4E4C62E6C}"/>
    <cellStyle name="Normal 4 3 2 8 4 2 2" xfId="14666" xr:uid="{220ABF25-6DB1-4420-ADFC-A2CCD021726F}"/>
    <cellStyle name="Normal 4 3 2 8 4 3" xfId="5559" xr:uid="{CB68809C-91E8-4436-BEB7-F462704BDF45}"/>
    <cellStyle name="Normal 4 3 2 8 4 3 2" xfId="14667" xr:uid="{8E491373-9715-4DF8-8520-98A18059F5A6}"/>
    <cellStyle name="Normal 4 3 2 8 4 4" xfId="14665" xr:uid="{F1199EA5-63F6-45A6-AFEA-B4DFED0C0618}"/>
    <cellStyle name="Normal 4 3 2 8 5" xfId="5560" xr:uid="{A6C58BB2-9909-4131-832E-64EC6E7E2902}"/>
    <cellStyle name="Normal 4 3 2 8 5 2" xfId="14668" xr:uid="{E72DD9B5-9A14-4EC0-A0EE-6ABDB502A942}"/>
    <cellStyle name="Normal 4 3 2 8 6" xfId="5561" xr:uid="{8FBA2C12-83F9-4D9D-9BAD-6D695BE8328B}"/>
    <cellStyle name="Normal 4 3 2 8 6 2" xfId="14669" xr:uid="{65C1BDF2-F326-4D73-B138-B82E355AB653}"/>
    <cellStyle name="Normal 4 3 2 8 7" xfId="5562" xr:uid="{C918CE99-52FD-447A-B72B-7A418DA9C179}"/>
    <cellStyle name="Normal 4 3 2 8 7 2" xfId="14670" xr:uid="{8159E126-5251-4D6C-AF80-471B8BCDDBE3}"/>
    <cellStyle name="Normal 4 3 2 8 8" xfId="14650" xr:uid="{729B9349-4F44-4918-8A0C-3F6AABA11DA5}"/>
    <cellStyle name="Normal 4 3 2 9" xfId="5563" xr:uid="{41B446E5-BFFB-4C3B-B0F1-F129F963D287}"/>
    <cellStyle name="Normal 4 3 2 9 2" xfId="5564" xr:uid="{77790E2A-08B9-4BA7-A4EF-6BFE1541EC8C}"/>
    <cellStyle name="Normal 4 3 2 9 2 2" xfId="5565" xr:uid="{A564041E-EE87-4B1D-A12A-556CE68874B0}"/>
    <cellStyle name="Normal 4 3 2 9 2 2 2" xfId="14673" xr:uid="{053A6E5F-41AA-4F38-830F-6BC768C97307}"/>
    <cellStyle name="Normal 4 3 2 9 2 3" xfId="5566" xr:uid="{18091A2A-38A4-47A2-AC19-AAF23EEBF9B1}"/>
    <cellStyle name="Normal 4 3 2 9 2 3 2" xfId="14674" xr:uid="{5E900302-A277-4550-A2E7-65732F87B324}"/>
    <cellStyle name="Normal 4 3 2 9 2 4" xfId="14672" xr:uid="{654878C2-663C-4793-BFB1-FFFDA36CB949}"/>
    <cellStyle name="Normal 4 3 2 9 3" xfId="5567" xr:uid="{52FCCBDC-E3CC-4F7A-AA6A-0392A7B9E50E}"/>
    <cellStyle name="Normal 4 3 2 9 3 2" xfId="14675" xr:uid="{31A30249-3D57-4A9A-BFB4-39A859BBF6B6}"/>
    <cellStyle name="Normal 4 3 2 9 4" xfId="5568" xr:uid="{04099BDC-891F-4699-8748-FAA6B3350759}"/>
    <cellStyle name="Normal 4 3 2 9 4 2" xfId="14676" xr:uid="{90A37958-5C59-463D-80B5-331F962E58C1}"/>
    <cellStyle name="Normal 4 3 2 9 5" xfId="5569" xr:uid="{AD491E86-446A-4A1C-8A64-D58A47153A5D}"/>
    <cellStyle name="Normal 4 3 2 9 5 2" xfId="14677" xr:uid="{951F2D9F-9343-473B-B0E8-49A60DF8C724}"/>
    <cellStyle name="Normal 4 3 2 9 6" xfId="14671" xr:uid="{1171AD6E-050C-422B-A8E7-F0905702E1C0}"/>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2 2" xfId="14681" xr:uid="{D9E21E2D-9645-4B13-AD3A-EB2E6DA447E4}"/>
    <cellStyle name="Normal 4 3 3 10 2 3" xfId="5574" xr:uid="{49A4CA6A-A703-406C-BC26-EFDE4E3175E8}"/>
    <cellStyle name="Normal 4 3 3 10 2 3 2" xfId="14682" xr:uid="{5D02D182-3823-4E90-AFF1-3E39D82A2D17}"/>
    <cellStyle name="Normal 4 3 3 10 2 4" xfId="14680" xr:uid="{57C1EB88-8476-4A76-A288-D2E8CAE7C463}"/>
    <cellStyle name="Normal 4 3 3 10 3" xfId="5575" xr:uid="{A0732B50-EBE5-4B5B-AB8B-7D29ABDBEEB7}"/>
    <cellStyle name="Normal 4 3 3 10 3 2" xfId="14683" xr:uid="{49D04F5E-9FAC-462B-B25A-14E0B25945B5}"/>
    <cellStyle name="Normal 4 3 3 10 4" xfId="5576" xr:uid="{A1987A70-0E78-472C-BC3F-F9467B2290E0}"/>
    <cellStyle name="Normal 4 3 3 10 4 2" xfId="14684" xr:uid="{5454520F-58C0-4AF7-9F2B-D26A355D9BD1}"/>
    <cellStyle name="Normal 4 3 3 10 5" xfId="5577" xr:uid="{4B60E4A2-BC9D-456C-9C4D-9F1F8737A6A0}"/>
    <cellStyle name="Normal 4 3 3 10 5 2" xfId="14685" xr:uid="{07EEA6B7-A595-4FC2-AA34-E91996D1536B}"/>
    <cellStyle name="Normal 4 3 3 10 6" xfId="14679" xr:uid="{DB64C57A-B5F8-4413-A3B6-EA064BCB4C74}"/>
    <cellStyle name="Normal 4 3 3 11" xfId="5578" xr:uid="{19919938-BDF4-4BEF-8001-68957E325159}"/>
    <cellStyle name="Normal 4 3 3 11 2" xfId="5579" xr:uid="{C2D45781-7F23-48F1-9F6F-056AB45F7B58}"/>
    <cellStyle name="Normal 4 3 3 11 2 2" xfId="14687" xr:uid="{E40AEB7D-D388-4341-8765-F673CDB87E2A}"/>
    <cellStyle name="Normal 4 3 3 11 3" xfId="5580" xr:uid="{76CB086A-214A-4A9E-85F5-7F853738ED9C}"/>
    <cellStyle name="Normal 4 3 3 11 3 2" xfId="14688" xr:uid="{5150495E-0FB8-413E-8C11-3002899D520A}"/>
    <cellStyle name="Normal 4 3 3 11 4" xfId="14686" xr:uid="{31A64723-4A91-4185-80A4-05FD9C0AAF85}"/>
    <cellStyle name="Normal 4 3 3 12" xfId="5581" xr:uid="{0464A022-EFB6-4566-9341-A228EA9A5226}"/>
    <cellStyle name="Normal 4 3 3 12 2" xfId="14689" xr:uid="{A76B38F4-A57E-458A-968A-0BFAA9512545}"/>
    <cellStyle name="Normal 4 3 3 13" xfId="5582" xr:uid="{134968B7-2EDF-4C0C-8030-5A8EF05C9CF1}"/>
    <cellStyle name="Normal 4 3 3 13 2" xfId="14690" xr:uid="{C37CA45F-7CB6-45D2-9867-3A1A076DC691}"/>
    <cellStyle name="Normal 4 3 3 14" xfId="5583" xr:uid="{B5FF5243-F650-49A4-8F77-D3EC067B0291}"/>
    <cellStyle name="Normal 4 3 3 14 2" xfId="14691" xr:uid="{E8517889-69AC-49C9-B602-6C6AA1575556}"/>
    <cellStyle name="Normal 4 3 3 15" xfId="14678" xr:uid="{7EB836D7-CA09-499E-AB23-FFFC15BC48F1}"/>
    <cellStyle name="Normal 4 3 3 2" xfId="5584" xr:uid="{9FAF1EF2-B3A4-4018-AF6F-7B65446D7A68}"/>
    <cellStyle name="Normal 4 3 3 2 10" xfId="5585" xr:uid="{B69D18EF-0785-4F0B-93B8-C610582DFBCA}"/>
    <cellStyle name="Normal 4 3 3 2 10 2" xfId="14693" xr:uid="{112AD931-D50B-4DC5-8C5C-2407E93B0DD9}"/>
    <cellStyle name="Normal 4 3 3 2 11" xfId="5586" xr:uid="{714B0107-3459-4886-9712-196889514C15}"/>
    <cellStyle name="Normal 4 3 3 2 11 2" xfId="14694" xr:uid="{2CC3703E-C5FA-4D69-85C3-E69F46D25BC2}"/>
    <cellStyle name="Normal 4 3 3 2 12" xfId="5587" xr:uid="{2068B312-1439-437A-9A62-1659DFA61C49}"/>
    <cellStyle name="Normal 4 3 3 2 12 2" xfId="14695" xr:uid="{8D17DA30-B609-4F05-9291-FA0882895125}"/>
    <cellStyle name="Normal 4 3 3 2 13" xfId="14692" xr:uid="{B41614B7-B940-4166-9B7C-E35866F69FED}"/>
    <cellStyle name="Normal 4 3 3 2 2" xfId="5588" xr:uid="{948E46E9-124B-4550-870E-7E2536E228AB}"/>
    <cellStyle name="Normal 4 3 3 2 2 10" xfId="14696" xr:uid="{5F3F268E-F81D-4B49-BC62-80CBA4994BA6}"/>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2 2" xfId="14701" xr:uid="{DAAA0962-FD31-42F4-8315-BD7A9EC7DF27}"/>
    <cellStyle name="Normal 4 3 3 2 2 2 2 2 2 3" xfId="5594" xr:uid="{DD95F5E6-1F40-4019-82EA-E48ECF471095}"/>
    <cellStyle name="Normal 4 3 3 2 2 2 2 2 2 3 2" xfId="14702" xr:uid="{B33CDD18-1136-4916-B7CF-BED1FFB9B0AD}"/>
    <cellStyle name="Normal 4 3 3 2 2 2 2 2 2 4" xfId="14700" xr:uid="{E9799DDD-DF0E-481D-A0BA-4789AE8B381B}"/>
    <cellStyle name="Normal 4 3 3 2 2 2 2 2 3" xfId="5595" xr:uid="{540578D6-0ED3-4EE4-A7FB-59115092A3F2}"/>
    <cellStyle name="Normal 4 3 3 2 2 2 2 2 3 2" xfId="14703" xr:uid="{19534603-5563-49B2-A697-B231032F4E18}"/>
    <cellStyle name="Normal 4 3 3 2 2 2 2 2 4" xfId="5596" xr:uid="{3EB0AF16-B92A-4977-AB8E-9F85E1465F77}"/>
    <cellStyle name="Normal 4 3 3 2 2 2 2 2 4 2" xfId="14704" xr:uid="{46B1CC01-2900-47DE-BE3F-51C25282F910}"/>
    <cellStyle name="Normal 4 3 3 2 2 2 2 2 5" xfId="5597" xr:uid="{EBD33438-6210-4ED3-AB35-678600D077E0}"/>
    <cellStyle name="Normal 4 3 3 2 2 2 2 2 5 2" xfId="14705" xr:uid="{CF002886-132E-45AC-84D1-FAFB346FD1C7}"/>
    <cellStyle name="Normal 4 3 3 2 2 2 2 2 6" xfId="14699" xr:uid="{C0073D65-A961-4B4C-887B-F78BA5E10758}"/>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2 2" xfId="14708" xr:uid="{6FCA37C6-6CE5-4D96-A642-2312E870E544}"/>
    <cellStyle name="Normal 4 3 3 2 2 2 2 3 2 3" xfId="5601" xr:uid="{1EB23B6B-553C-4185-8021-1DF1D0B641E1}"/>
    <cellStyle name="Normal 4 3 3 2 2 2 2 3 2 3 2" xfId="14709" xr:uid="{2B7FAA76-E895-41F2-B5E2-463F7B30D56B}"/>
    <cellStyle name="Normal 4 3 3 2 2 2 2 3 2 4" xfId="14707" xr:uid="{FA3581C0-8735-46AF-AB3F-8BB6C49C779B}"/>
    <cellStyle name="Normal 4 3 3 2 2 2 2 3 3" xfId="5602" xr:uid="{E1C9967B-AEC0-49C5-A6C6-81248563ED84}"/>
    <cellStyle name="Normal 4 3 3 2 2 2 2 3 3 2" xfId="14710" xr:uid="{CC03FB14-A97D-4C5F-99D0-A182D3ACEADC}"/>
    <cellStyle name="Normal 4 3 3 2 2 2 2 3 4" xfId="5603" xr:uid="{F26C5329-8C8C-4FC0-BB4D-E6CA98A1EFA9}"/>
    <cellStyle name="Normal 4 3 3 2 2 2 2 3 4 2" xfId="14711" xr:uid="{0128891C-19FB-4DAF-9A5B-32B7CE3D2721}"/>
    <cellStyle name="Normal 4 3 3 2 2 2 2 3 5" xfId="5604" xr:uid="{C068F463-0E59-4C1B-8E83-0DE7A7E11432}"/>
    <cellStyle name="Normal 4 3 3 2 2 2 2 3 5 2" xfId="14712" xr:uid="{DF7EA1C0-E998-40B9-98E1-A910BC7ED8D0}"/>
    <cellStyle name="Normal 4 3 3 2 2 2 2 3 6" xfId="14706" xr:uid="{E7609EF7-4432-48C7-BEDF-004303505DE2}"/>
    <cellStyle name="Normal 4 3 3 2 2 2 2 4" xfId="5605" xr:uid="{3814CF36-3D21-4B33-98DC-D4A29AE41469}"/>
    <cellStyle name="Normal 4 3 3 2 2 2 2 4 2" xfId="5606" xr:uid="{579C1417-5F48-435D-B7EB-5A12B8892CD7}"/>
    <cellStyle name="Normal 4 3 3 2 2 2 2 4 2 2" xfId="14714" xr:uid="{342D4792-BEB4-41B3-82AD-22FA25D0BA7C}"/>
    <cellStyle name="Normal 4 3 3 2 2 2 2 4 3" xfId="5607" xr:uid="{103BAC0C-FCBA-4D5A-827B-FAED5611865E}"/>
    <cellStyle name="Normal 4 3 3 2 2 2 2 4 3 2" xfId="14715" xr:uid="{DE40DE76-7991-4634-821E-CA69D25797FF}"/>
    <cellStyle name="Normal 4 3 3 2 2 2 2 4 4" xfId="14713" xr:uid="{6CAD4C33-100C-4A31-B753-D0F7AA3B878D}"/>
    <cellStyle name="Normal 4 3 3 2 2 2 2 5" xfId="5608" xr:uid="{06F9F596-80D6-452F-A819-5CB9A9D4294D}"/>
    <cellStyle name="Normal 4 3 3 2 2 2 2 5 2" xfId="14716" xr:uid="{1A259118-BFEE-48AD-B444-434BA4DEC5D3}"/>
    <cellStyle name="Normal 4 3 3 2 2 2 2 6" xfId="5609" xr:uid="{22503BCF-FA09-4D4E-AF3A-40FE6A969717}"/>
    <cellStyle name="Normal 4 3 3 2 2 2 2 6 2" xfId="14717" xr:uid="{62CE9C3E-FD4A-4D50-A8D0-E44910463585}"/>
    <cellStyle name="Normal 4 3 3 2 2 2 2 7" xfId="5610" xr:uid="{5055A639-83BA-4F66-B4ED-ECF368103CD7}"/>
    <cellStyle name="Normal 4 3 3 2 2 2 2 7 2" xfId="14718" xr:uid="{BD4876BC-8336-4D3B-9117-36DDF0948D3A}"/>
    <cellStyle name="Normal 4 3 3 2 2 2 2 8" xfId="14698" xr:uid="{5AA5C3DE-8394-467E-8735-EB5DF9804160}"/>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2 2" xfId="14721" xr:uid="{D82D0B41-1669-488C-9FB3-3FFF9E6878D2}"/>
    <cellStyle name="Normal 4 3 3 2 2 2 3 2 3" xfId="5614" xr:uid="{B14AC232-0976-486D-A350-E239A7C94115}"/>
    <cellStyle name="Normal 4 3 3 2 2 2 3 2 3 2" xfId="14722" xr:uid="{AF757528-4371-4E7D-A8A3-0090B297FDA3}"/>
    <cellStyle name="Normal 4 3 3 2 2 2 3 2 4" xfId="14720" xr:uid="{E3CA25B4-73DF-4342-B5FE-035992893950}"/>
    <cellStyle name="Normal 4 3 3 2 2 2 3 3" xfId="5615" xr:uid="{40A960E1-F051-4893-9038-B7B0F6AED61D}"/>
    <cellStyle name="Normal 4 3 3 2 2 2 3 3 2" xfId="14723" xr:uid="{36482E8B-E2F8-4573-84A7-77E89ECE1C27}"/>
    <cellStyle name="Normal 4 3 3 2 2 2 3 4" xfId="5616" xr:uid="{EA7BDAA3-A98E-463A-AA1F-EF7900455107}"/>
    <cellStyle name="Normal 4 3 3 2 2 2 3 4 2" xfId="14724" xr:uid="{16F3B318-D121-40C3-9501-8FDEBA1E28B7}"/>
    <cellStyle name="Normal 4 3 3 2 2 2 3 5" xfId="5617" xr:uid="{2982FC06-8FA1-4622-98D5-4AF0E2E5FD9F}"/>
    <cellStyle name="Normal 4 3 3 2 2 2 3 5 2" xfId="14725" xr:uid="{A0AB0254-C0B6-425B-A108-806BED9FA822}"/>
    <cellStyle name="Normal 4 3 3 2 2 2 3 6" xfId="14719" xr:uid="{0BA4D8AF-D3CA-4E94-A6F9-A4B1DEA92597}"/>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2 2" xfId="14728" xr:uid="{844010D1-49DA-4347-8157-B4200201DEB4}"/>
    <cellStyle name="Normal 4 3 3 2 2 2 4 2 3" xfId="5621" xr:uid="{BB6823F5-65C4-4800-8358-4D6780CA230D}"/>
    <cellStyle name="Normal 4 3 3 2 2 2 4 2 3 2" xfId="14729" xr:uid="{4BB7BE40-53F2-4405-AD20-C52DA9B522E1}"/>
    <cellStyle name="Normal 4 3 3 2 2 2 4 2 4" xfId="14727" xr:uid="{FD4313D6-10B5-4735-B507-0A0231304BDC}"/>
    <cellStyle name="Normal 4 3 3 2 2 2 4 3" xfId="5622" xr:uid="{D1D808C7-3231-480E-B917-513689C626B9}"/>
    <cellStyle name="Normal 4 3 3 2 2 2 4 3 2" xfId="14730" xr:uid="{04B03A2F-D831-45E4-8264-D8184A638304}"/>
    <cellStyle name="Normal 4 3 3 2 2 2 4 4" xfId="5623" xr:uid="{E0223E31-C6AA-46B6-8B69-B873A305B00D}"/>
    <cellStyle name="Normal 4 3 3 2 2 2 4 4 2" xfId="14731" xr:uid="{51DD375A-BADB-4B90-B017-F0588A0E7CD1}"/>
    <cellStyle name="Normal 4 3 3 2 2 2 4 5" xfId="5624" xr:uid="{A23E832E-ACE1-411F-A945-D9394BA44292}"/>
    <cellStyle name="Normal 4 3 3 2 2 2 4 5 2" xfId="14732" xr:uid="{E1C5143E-6490-4778-BB12-E4DC28569DB5}"/>
    <cellStyle name="Normal 4 3 3 2 2 2 4 6" xfId="14726" xr:uid="{526FA0CD-EE60-4AA9-8330-D4990CEF0C66}"/>
    <cellStyle name="Normal 4 3 3 2 2 2 5" xfId="5625" xr:uid="{BBFBB74C-B907-4166-8215-1B034DC06E9D}"/>
    <cellStyle name="Normal 4 3 3 2 2 2 5 2" xfId="5626" xr:uid="{BDBB19AB-AA02-4B21-9659-DF659F9BD293}"/>
    <cellStyle name="Normal 4 3 3 2 2 2 5 2 2" xfId="14734" xr:uid="{1F1F15E1-8ED3-4A4C-AB04-55DF2FD17DA2}"/>
    <cellStyle name="Normal 4 3 3 2 2 2 5 3" xfId="5627" xr:uid="{30AE438D-81A0-40EC-9EF1-2C3E1A390AF4}"/>
    <cellStyle name="Normal 4 3 3 2 2 2 5 3 2" xfId="14735" xr:uid="{D78BBFB1-4862-4C12-857E-C75CFA2CA562}"/>
    <cellStyle name="Normal 4 3 3 2 2 2 5 4" xfId="14733" xr:uid="{EE3E92CD-78E8-425F-964B-5C5786EF26F8}"/>
    <cellStyle name="Normal 4 3 3 2 2 2 6" xfId="5628" xr:uid="{8431784A-478E-44BD-A95A-7AF52E8927F7}"/>
    <cellStyle name="Normal 4 3 3 2 2 2 6 2" xfId="14736" xr:uid="{27DEAE4D-207E-41AF-9F8B-FDE5A88B65AB}"/>
    <cellStyle name="Normal 4 3 3 2 2 2 7" xfId="5629" xr:uid="{EB1B30EF-0300-4F02-B6B2-03C76877B854}"/>
    <cellStyle name="Normal 4 3 3 2 2 2 7 2" xfId="14737" xr:uid="{7DFE0DCE-2CA1-45F3-AFCF-FB2AE240FF8A}"/>
    <cellStyle name="Normal 4 3 3 2 2 2 8" xfId="5630" xr:uid="{542A82BC-6618-42FF-9291-62D52A3497E7}"/>
    <cellStyle name="Normal 4 3 3 2 2 2 8 2" xfId="14738" xr:uid="{B9815B2B-0924-4A0A-86EB-447CCD03E9F1}"/>
    <cellStyle name="Normal 4 3 3 2 2 2 9" xfId="14697" xr:uid="{017F035D-4A19-4216-A891-BBBF11F909B6}"/>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2 2" xfId="14742" xr:uid="{0D3A93FA-D0C3-4E01-A66E-1EA4AA30003A}"/>
    <cellStyle name="Normal 4 3 3 2 2 3 2 2 3" xfId="5635" xr:uid="{32165C86-68BA-4780-9189-42C418F70D11}"/>
    <cellStyle name="Normal 4 3 3 2 2 3 2 2 3 2" xfId="14743" xr:uid="{0A7EBF93-1955-4EBE-920C-802F67E55800}"/>
    <cellStyle name="Normal 4 3 3 2 2 3 2 2 4" xfId="14741" xr:uid="{9D80434F-BEC0-4C46-84FF-231671AA976F}"/>
    <cellStyle name="Normal 4 3 3 2 2 3 2 3" xfId="5636" xr:uid="{9E8182A1-6567-47BA-B78E-09D52EAB2991}"/>
    <cellStyle name="Normal 4 3 3 2 2 3 2 3 2" xfId="14744" xr:uid="{94666634-A11C-45F2-BB19-9DB6AC3F8E26}"/>
    <cellStyle name="Normal 4 3 3 2 2 3 2 4" xfId="5637" xr:uid="{28915DF2-CB21-4AFA-807A-6065763F287D}"/>
    <cellStyle name="Normal 4 3 3 2 2 3 2 4 2" xfId="14745" xr:uid="{F7A3B487-59DC-4254-8038-382023B0C0E6}"/>
    <cellStyle name="Normal 4 3 3 2 2 3 2 5" xfId="5638" xr:uid="{C665B06F-7040-44BE-9973-9357F2076B84}"/>
    <cellStyle name="Normal 4 3 3 2 2 3 2 5 2" xfId="14746" xr:uid="{C27F3437-1D07-45B0-89C0-67E9BC912884}"/>
    <cellStyle name="Normal 4 3 3 2 2 3 2 6" xfId="14740" xr:uid="{4F1D0267-FAE2-4BB5-BCE7-29EE06BE1B4B}"/>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2 2" xfId="14749" xr:uid="{C5582550-E46A-4BCD-A49F-232E49640C28}"/>
    <cellStyle name="Normal 4 3 3 2 2 3 3 2 3" xfId="5642" xr:uid="{6F4ECF9F-6516-4248-8A6D-A606B6752182}"/>
    <cellStyle name="Normal 4 3 3 2 2 3 3 2 3 2" xfId="14750" xr:uid="{CEA73271-A8F1-46E5-8F8B-F16839146FC3}"/>
    <cellStyle name="Normal 4 3 3 2 2 3 3 2 4" xfId="14748" xr:uid="{AB48A616-A3C9-4BCE-A2B7-98C2ADE70C47}"/>
    <cellStyle name="Normal 4 3 3 2 2 3 3 3" xfId="5643" xr:uid="{196A60ED-29F3-4039-BA44-CDF1E7CA39F9}"/>
    <cellStyle name="Normal 4 3 3 2 2 3 3 3 2" xfId="14751" xr:uid="{653D1A92-5A06-47E3-9322-A80AEF221962}"/>
    <cellStyle name="Normal 4 3 3 2 2 3 3 4" xfId="5644" xr:uid="{DE459523-CC32-40CD-A2E7-CCB6C8DED14A}"/>
    <cellStyle name="Normal 4 3 3 2 2 3 3 4 2" xfId="14752" xr:uid="{67FE8103-E1FD-4D26-84D8-46C3EDE83B6A}"/>
    <cellStyle name="Normal 4 3 3 2 2 3 3 5" xfId="5645" xr:uid="{5725BF37-728E-455C-8052-165957B36E4F}"/>
    <cellStyle name="Normal 4 3 3 2 2 3 3 5 2" xfId="14753" xr:uid="{248A681A-FA89-4C9A-9453-4FCAA6A7EBB5}"/>
    <cellStyle name="Normal 4 3 3 2 2 3 3 6" xfId="14747" xr:uid="{A9E624DD-963D-407D-A7C3-320268B624D2}"/>
    <cellStyle name="Normal 4 3 3 2 2 3 4" xfId="5646" xr:uid="{E37EFB92-4E4F-4A63-B068-435372BF319D}"/>
    <cellStyle name="Normal 4 3 3 2 2 3 4 2" xfId="5647" xr:uid="{EC5B3156-35F8-40B0-83B4-177D63B95C2C}"/>
    <cellStyle name="Normal 4 3 3 2 2 3 4 2 2" xfId="14755" xr:uid="{D64F27C7-2477-44E9-BB12-5AECB90E7AB3}"/>
    <cellStyle name="Normal 4 3 3 2 2 3 4 3" xfId="5648" xr:uid="{8B1D8976-A187-4DDD-90D2-7FBE25887C38}"/>
    <cellStyle name="Normal 4 3 3 2 2 3 4 3 2" xfId="14756" xr:uid="{5C34A00F-7208-4F41-B197-47401FC2405C}"/>
    <cellStyle name="Normal 4 3 3 2 2 3 4 4" xfId="14754" xr:uid="{1346FF6E-A786-4DA3-8257-5417E2426289}"/>
    <cellStyle name="Normal 4 3 3 2 2 3 5" xfId="5649" xr:uid="{DA1F93B6-9CEE-4912-B6EE-B9C40CE8E671}"/>
    <cellStyle name="Normal 4 3 3 2 2 3 5 2" xfId="14757" xr:uid="{28E88589-7786-462E-8234-1F2F8E0B16E5}"/>
    <cellStyle name="Normal 4 3 3 2 2 3 6" xfId="5650" xr:uid="{D76377DE-80D3-4795-9AB4-991126D60E9C}"/>
    <cellStyle name="Normal 4 3 3 2 2 3 6 2" xfId="14758" xr:uid="{B1AC6CBA-68CB-47D7-8113-E04DBD74DBC6}"/>
    <cellStyle name="Normal 4 3 3 2 2 3 7" xfId="5651" xr:uid="{97EACB45-21D3-4862-9241-EC96F50DB5E9}"/>
    <cellStyle name="Normal 4 3 3 2 2 3 7 2" xfId="14759" xr:uid="{B0A5D5B1-FCA7-4297-A779-73523D2BA972}"/>
    <cellStyle name="Normal 4 3 3 2 2 3 8" xfId="14739" xr:uid="{D1CB2F0C-D2F1-4066-B54E-27BB7D546DDC}"/>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2 2" xfId="14762" xr:uid="{620A5686-DD78-46CF-A846-0AA8ACF057A3}"/>
    <cellStyle name="Normal 4 3 3 2 2 4 2 3" xfId="5655" xr:uid="{1FC3099E-76C8-47FC-B780-5917D517EA9B}"/>
    <cellStyle name="Normal 4 3 3 2 2 4 2 3 2" xfId="14763" xr:uid="{CA6BC7F4-ADCA-479B-AEDD-D68F6A4DBBE6}"/>
    <cellStyle name="Normal 4 3 3 2 2 4 2 4" xfId="14761" xr:uid="{44E6E540-E681-450F-9009-94CB73196E3E}"/>
    <cellStyle name="Normal 4 3 3 2 2 4 3" xfId="5656" xr:uid="{D2793AF2-7458-48A2-A3CD-5C6A5345FCCF}"/>
    <cellStyle name="Normal 4 3 3 2 2 4 3 2" xfId="14764" xr:uid="{09D867C1-7896-44E5-8549-68A3FDB47433}"/>
    <cellStyle name="Normal 4 3 3 2 2 4 4" xfId="5657" xr:uid="{F4CB5C43-7F29-404C-8C5C-D48034353E0D}"/>
    <cellStyle name="Normal 4 3 3 2 2 4 4 2" xfId="14765" xr:uid="{2CB50938-C6B1-4225-B40C-AD1066BB7E1B}"/>
    <cellStyle name="Normal 4 3 3 2 2 4 5" xfId="5658" xr:uid="{7D194284-1D0D-47EE-B815-A423F00BF397}"/>
    <cellStyle name="Normal 4 3 3 2 2 4 5 2" xfId="14766" xr:uid="{FA090181-966A-4665-BE58-15425DA3A87F}"/>
    <cellStyle name="Normal 4 3 3 2 2 4 6" xfId="14760" xr:uid="{CDF67E24-0E55-416E-B5D1-EE5775006C30}"/>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2 2" xfId="14769" xr:uid="{9C6D6269-8501-4EA3-ADD4-1C1685FA81BF}"/>
    <cellStyle name="Normal 4 3 3 2 2 5 2 3" xfId="5662" xr:uid="{6A41AC59-E282-4186-B683-02AA441633E6}"/>
    <cellStyle name="Normal 4 3 3 2 2 5 2 3 2" xfId="14770" xr:uid="{497778F3-A799-444B-98D3-31917FCE6F33}"/>
    <cellStyle name="Normal 4 3 3 2 2 5 2 4" xfId="14768" xr:uid="{93164584-4563-4C7B-BFE7-A89396AC2E30}"/>
    <cellStyle name="Normal 4 3 3 2 2 5 3" xfId="5663" xr:uid="{15222AF2-0588-47CF-A6A9-4ED1B67F3D39}"/>
    <cellStyle name="Normal 4 3 3 2 2 5 3 2" xfId="14771" xr:uid="{48E06D0F-218D-4F22-AFB3-2674245E5F7B}"/>
    <cellStyle name="Normal 4 3 3 2 2 5 4" xfId="5664" xr:uid="{ADEC48E2-8549-4BF9-96C9-36B16EBE3CAA}"/>
    <cellStyle name="Normal 4 3 3 2 2 5 4 2" xfId="14772" xr:uid="{1CAB6434-4DE8-463D-98D1-67724229814B}"/>
    <cellStyle name="Normal 4 3 3 2 2 5 5" xfId="5665" xr:uid="{8A63366D-4DFD-48CC-AC8C-6ECF54B5DC06}"/>
    <cellStyle name="Normal 4 3 3 2 2 5 5 2" xfId="14773" xr:uid="{9DC324DF-1256-4010-A482-88A7C986934A}"/>
    <cellStyle name="Normal 4 3 3 2 2 5 6" xfId="14767" xr:uid="{2B5BFC14-7EFE-425D-AF7E-CE6ECAC63E8C}"/>
    <cellStyle name="Normal 4 3 3 2 2 6" xfId="5666" xr:uid="{40CDD821-7356-407F-88DB-F7B8E69461E4}"/>
    <cellStyle name="Normal 4 3 3 2 2 6 2" xfId="5667" xr:uid="{EF366A1B-59AF-4590-9193-FD6EAFA40A54}"/>
    <cellStyle name="Normal 4 3 3 2 2 6 2 2" xfId="14775" xr:uid="{13D99EED-A03D-403E-A5DA-18202F6602F5}"/>
    <cellStyle name="Normal 4 3 3 2 2 6 3" xfId="5668" xr:uid="{0F839D66-3863-4F12-AD72-265A74BB772D}"/>
    <cellStyle name="Normal 4 3 3 2 2 6 3 2" xfId="14776" xr:uid="{8170370D-347A-487E-AA57-6ED1A16431D3}"/>
    <cellStyle name="Normal 4 3 3 2 2 6 4" xfId="14774" xr:uid="{27EA9776-D986-4671-9A49-3D40AEBE55DC}"/>
    <cellStyle name="Normal 4 3 3 2 2 7" xfId="5669" xr:uid="{A8576AA5-789A-430B-9806-2106FF171D9B}"/>
    <cellStyle name="Normal 4 3 3 2 2 7 2" xfId="14777" xr:uid="{BDC43101-06FE-46B7-8B57-7E416A28BED8}"/>
    <cellStyle name="Normal 4 3 3 2 2 8" xfId="5670" xr:uid="{F69CAEC6-8303-424C-A025-B786A67B428E}"/>
    <cellStyle name="Normal 4 3 3 2 2 8 2" xfId="14778" xr:uid="{ABDCDFD9-8782-4CF0-8A65-7BD4F70A2EA1}"/>
    <cellStyle name="Normal 4 3 3 2 2 9" xfId="5671" xr:uid="{6DD96BB9-F40D-445D-B2C0-0DEE8CAFD5B1}"/>
    <cellStyle name="Normal 4 3 3 2 2 9 2" xfId="14779" xr:uid="{81E1DC1E-F7BC-49E3-801F-0C1FD1EDA7BA}"/>
    <cellStyle name="Normal 4 3 3 2 3" xfId="5672" xr:uid="{CB07440F-8FBB-4F06-B97D-9B9D5B01AD07}"/>
    <cellStyle name="Normal 4 3 3 2 3 10" xfId="14780" xr:uid="{CF78BD8E-CE9A-45BE-8F59-64B33FE54BF2}"/>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2 2" xfId="14785" xr:uid="{0C718E05-305D-4560-A178-014A9E11FB31}"/>
    <cellStyle name="Normal 4 3 3 2 3 2 2 2 2 3" xfId="5678" xr:uid="{A045E04B-0FD4-4B5F-8C16-A687694138F7}"/>
    <cellStyle name="Normal 4 3 3 2 3 2 2 2 2 3 2" xfId="14786" xr:uid="{87882CC1-8244-4D8A-95B8-1C735E712CAC}"/>
    <cellStyle name="Normal 4 3 3 2 3 2 2 2 2 4" xfId="14784" xr:uid="{23405BD9-7793-49F6-AB7B-B6FF5FD98CFB}"/>
    <cellStyle name="Normal 4 3 3 2 3 2 2 2 3" xfId="5679" xr:uid="{C356A88F-D9E4-4C0D-81B4-D346C3B9D122}"/>
    <cellStyle name="Normal 4 3 3 2 3 2 2 2 3 2" xfId="14787" xr:uid="{E4393D6B-EFB8-4C39-B046-C7BF12EEF5D7}"/>
    <cellStyle name="Normal 4 3 3 2 3 2 2 2 4" xfId="5680" xr:uid="{99B76F25-A601-47CE-B22B-593AF454EDD6}"/>
    <cellStyle name="Normal 4 3 3 2 3 2 2 2 4 2" xfId="14788" xr:uid="{70FA330E-1192-47B5-A886-849F5D91B868}"/>
    <cellStyle name="Normal 4 3 3 2 3 2 2 2 5" xfId="5681" xr:uid="{B6F96FC8-3CA1-4F52-93A7-C452F0FD2BFF}"/>
    <cellStyle name="Normal 4 3 3 2 3 2 2 2 5 2" xfId="14789" xr:uid="{E50168C9-DE1C-4447-B4F3-713950549FD7}"/>
    <cellStyle name="Normal 4 3 3 2 3 2 2 2 6" xfId="14783" xr:uid="{81FDDD09-8AC4-4A09-8180-1AD56F5FA550}"/>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2 2" xfId="14792" xr:uid="{36CFB5B7-0BA9-4AAC-ABF3-6C0EBA983687}"/>
    <cellStyle name="Normal 4 3 3 2 3 2 2 3 2 3" xfId="5685" xr:uid="{0EB52009-61B9-448A-9AE2-7B19645A1D4C}"/>
    <cellStyle name="Normal 4 3 3 2 3 2 2 3 2 3 2" xfId="14793" xr:uid="{3D1CB2A4-39F7-43F4-837B-BF450EF7E971}"/>
    <cellStyle name="Normal 4 3 3 2 3 2 2 3 2 4" xfId="14791" xr:uid="{B1E6B41B-BA72-4E84-AC5F-E7526A38BBB0}"/>
    <cellStyle name="Normal 4 3 3 2 3 2 2 3 3" xfId="5686" xr:uid="{8E09D0A3-D812-47F9-A9B5-38E01FC09196}"/>
    <cellStyle name="Normal 4 3 3 2 3 2 2 3 3 2" xfId="14794" xr:uid="{B32C7AE2-40AE-43AE-A07D-DB90E869ED2B}"/>
    <cellStyle name="Normal 4 3 3 2 3 2 2 3 4" xfId="5687" xr:uid="{37819F41-B9A0-4987-BB04-4604CDC3F691}"/>
    <cellStyle name="Normal 4 3 3 2 3 2 2 3 4 2" xfId="14795" xr:uid="{E1EFBBDD-6381-4070-B8E8-C3E0D55BF56D}"/>
    <cellStyle name="Normal 4 3 3 2 3 2 2 3 5" xfId="5688" xr:uid="{09552154-6718-40F0-9A38-10FEDA6DDC46}"/>
    <cellStyle name="Normal 4 3 3 2 3 2 2 3 5 2" xfId="14796" xr:uid="{974BCD0F-C347-4170-A4D9-47D2982380B7}"/>
    <cellStyle name="Normal 4 3 3 2 3 2 2 3 6" xfId="14790" xr:uid="{46B21D1F-4107-4A10-91CA-042FD1631CC8}"/>
    <cellStyle name="Normal 4 3 3 2 3 2 2 4" xfId="5689" xr:uid="{E660CE31-C034-4931-89A9-6928DC4602BE}"/>
    <cellStyle name="Normal 4 3 3 2 3 2 2 4 2" xfId="5690" xr:uid="{EE085F02-F8C0-41A5-8838-361690FB5C00}"/>
    <cellStyle name="Normal 4 3 3 2 3 2 2 4 2 2" xfId="14798" xr:uid="{A5F6BD45-CA88-41BD-B2ED-CCE3E433AEA1}"/>
    <cellStyle name="Normal 4 3 3 2 3 2 2 4 3" xfId="5691" xr:uid="{6F8EA86A-F7B1-471D-9248-C26B82CF00E6}"/>
    <cellStyle name="Normal 4 3 3 2 3 2 2 4 3 2" xfId="14799" xr:uid="{134D0710-30C4-42E9-AAB4-E1E3236BA3CF}"/>
    <cellStyle name="Normal 4 3 3 2 3 2 2 4 4" xfId="14797" xr:uid="{87C56619-1DDE-4626-8B78-71138880E0CC}"/>
    <cellStyle name="Normal 4 3 3 2 3 2 2 5" xfId="5692" xr:uid="{ABB0C152-68D1-4EF0-B527-8BA60CCAD663}"/>
    <cellStyle name="Normal 4 3 3 2 3 2 2 5 2" xfId="14800" xr:uid="{ABA9A089-A3FE-4B6B-A72B-E9593324619B}"/>
    <cellStyle name="Normal 4 3 3 2 3 2 2 6" xfId="5693" xr:uid="{8CCED102-52D5-4B33-9402-A9A4A80B9DE8}"/>
    <cellStyle name="Normal 4 3 3 2 3 2 2 6 2" xfId="14801" xr:uid="{7B123812-B753-477D-8F65-6710149F0533}"/>
    <cellStyle name="Normal 4 3 3 2 3 2 2 7" xfId="5694" xr:uid="{4D8DA35C-D329-4D23-9D6A-15E8A79F31B1}"/>
    <cellStyle name="Normal 4 3 3 2 3 2 2 7 2" xfId="14802" xr:uid="{759131B4-EB49-4ED1-8237-4003D93F76D4}"/>
    <cellStyle name="Normal 4 3 3 2 3 2 2 8" xfId="14782" xr:uid="{FBC5DE2E-BDD7-44C8-A3B6-424746081996}"/>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2 2" xfId="14805" xr:uid="{CD94B93A-7BE0-4375-BB25-31891070455D}"/>
    <cellStyle name="Normal 4 3 3 2 3 2 3 2 3" xfId="5698" xr:uid="{D0262398-9153-4AE6-86BF-934A71BA3299}"/>
    <cellStyle name="Normal 4 3 3 2 3 2 3 2 3 2" xfId="14806" xr:uid="{56119C14-1DE3-44A3-999A-52DE6A4B1D9F}"/>
    <cellStyle name="Normal 4 3 3 2 3 2 3 2 4" xfId="14804" xr:uid="{F1455C8C-840B-4BDF-9CB8-960BF67C6337}"/>
    <cellStyle name="Normal 4 3 3 2 3 2 3 3" xfId="5699" xr:uid="{13D882EC-CD9C-442C-9EFD-115CCB429327}"/>
    <cellStyle name="Normal 4 3 3 2 3 2 3 3 2" xfId="14807" xr:uid="{B28D3E5C-2DBA-4EC2-A5F5-833FA5A33E66}"/>
    <cellStyle name="Normal 4 3 3 2 3 2 3 4" xfId="5700" xr:uid="{272CDA76-0D6E-4DD2-9E35-0A10CF10D3E0}"/>
    <cellStyle name="Normal 4 3 3 2 3 2 3 4 2" xfId="14808" xr:uid="{2F8C14DF-E029-4CE5-A74D-F3425B63E15B}"/>
    <cellStyle name="Normal 4 3 3 2 3 2 3 5" xfId="5701" xr:uid="{E97F6F1F-398C-4061-8A56-1BB43C5852B0}"/>
    <cellStyle name="Normal 4 3 3 2 3 2 3 5 2" xfId="14809" xr:uid="{C3C02814-8A18-4874-B181-738007B0F1C9}"/>
    <cellStyle name="Normal 4 3 3 2 3 2 3 6" xfId="14803" xr:uid="{50D68EEA-2B45-402F-8FBA-5FCBBADD49E2}"/>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2 2" xfId="14812" xr:uid="{F9A647D3-4DC0-4AC8-91AD-D95262C44928}"/>
    <cellStyle name="Normal 4 3 3 2 3 2 4 2 3" xfId="5705" xr:uid="{5E61D081-9B87-4812-A52F-46EA7BBE4899}"/>
    <cellStyle name="Normal 4 3 3 2 3 2 4 2 3 2" xfId="14813" xr:uid="{0F3D5960-BE32-47B7-A37D-7299A832F78C}"/>
    <cellStyle name="Normal 4 3 3 2 3 2 4 2 4" xfId="14811" xr:uid="{D06C9D71-9B06-4E36-BC66-AF1001B090DE}"/>
    <cellStyle name="Normal 4 3 3 2 3 2 4 3" xfId="5706" xr:uid="{E7BE7943-7DB2-4F40-A08B-5CC7E22752FE}"/>
    <cellStyle name="Normal 4 3 3 2 3 2 4 3 2" xfId="14814" xr:uid="{12399C5E-EC50-4BFF-AD4A-72FC60F48088}"/>
    <cellStyle name="Normal 4 3 3 2 3 2 4 4" xfId="5707" xr:uid="{A1B05C3B-B0A8-4913-B87A-E63CF4D9756B}"/>
    <cellStyle name="Normal 4 3 3 2 3 2 4 4 2" xfId="14815" xr:uid="{FEDCC739-BA8F-4B49-A81A-916BD86C558C}"/>
    <cellStyle name="Normal 4 3 3 2 3 2 4 5" xfId="5708" xr:uid="{27769A4E-2F4A-4BE8-A179-CBD66FEB1DB5}"/>
    <cellStyle name="Normal 4 3 3 2 3 2 4 5 2" xfId="14816" xr:uid="{C4989B8F-136E-4724-AD66-3DDBFD5A3E89}"/>
    <cellStyle name="Normal 4 3 3 2 3 2 4 6" xfId="14810" xr:uid="{5ADE2E42-35B6-4E50-AA10-9CC7DE393F15}"/>
    <cellStyle name="Normal 4 3 3 2 3 2 5" xfId="5709" xr:uid="{10240EA2-F980-4921-AF21-5CA78F2EDE99}"/>
    <cellStyle name="Normal 4 3 3 2 3 2 5 2" xfId="5710" xr:uid="{65E33CEC-D797-42AD-B2D7-702BEE77A020}"/>
    <cellStyle name="Normal 4 3 3 2 3 2 5 2 2" xfId="14818" xr:uid="{81622D55-2A0B-4E2C-BCAF-20107E238202}"/>
    <cellStyle name="Normal 4 3 3 2 3 2 5 3" xfId="5711" xr:uid="{3F791E7A-68AC-4644-B8B9-FFBBAC9763E7}"/>
    <cellStyle name="Normal 4 3 3 2 3 2 5 3 2" xfId="14819" xr:uid="{47DEDA55-7A65-4797-9C48-41D58CC4DBA0}"/>
    <cellStyle name="Normal 4 3 3 2 3 2 5 4" xfId="14817" xr:uid="{BCC6B12F-41B1-4245-AFF6-613AC0129730}"/>
    <cellStyle name="Normal 4 3 3 2 3 2 6" xfId="5712" xr:uid="{E9AA1628-FAA8-49D7-B776-BAC90A777756}"/>
    <cellStyle name="Normal 4 3 3 2 3 2 6 2" xfId="14820" xr:uid="{D03FE426-2897-47C6-BBDD-FD859C1636CF}"/>
    <cellStyle name="Normal 4 3 3 2 3 2 7" xfId="5713" xr:uid="{523155F7-7208-4210-90FF-868818AA2ABA}"/>
    <cellStyle name="Normal 4 3 3 2 3 2 7 2" xfId="14821" xr:uid="{F67409E8-4C99-405A-876A-35825B65A32D}"/>
    <cellStyle name="Normal 4 3 3 2 3 2 8" xfId="5714" xr:uid="{583694F3-2110-4951-8D15-E5690424D224}"/>
    <cellStyle name="Normal 4 3 3 2 3 2 8 2" xfId="14822" xr:uid="{5DFA26EB-8B53-4787-8747-BCB3E695C715}"/>
    <cellStyle name="Normal 4 3 3 2 3 2 9" xfId="14781" xr:uid="{FA1FFF52-DDB9-496F-A8DD-EB9C11BD6A1D}"/>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2 2" xfId="14826" xr:uid="{16E2979A-B92D-4705-9F78-8CA543B22E82}"/>
    <cellStyle name="Normal 4 3 3 2 3 3 2 2 3" xfId="5719" xr:uid="{BCB0BBB0-A99E-47BC-992D-382BC9E4BAF7}"/>
    <cellStyle name="Normal 4 3 3 2 3 3 2 2 3 2" xfId="14827" xr:uid="{AEF7C96F-AF6A-4446-B5E1-5841A202C0A5}"/>
    <cellStyle name="Normal 4 3 3 2 3 3 2 2 4" xfId="14825" xr:uid="{E96CBB19-7B1E-417D-9784-2747F3350E88}"/>
    <cellStyle name="Normal 4 3 3 2 3 3 2 3" xfId="5720" xr:uid="{4EE9EC52-9318-4D2D-94C7-66F3AC2DD45B}"/>
    <cellStyle name="Normal 4 3 3 2 3 3 2 3 2" xfId="14828" xr:uid="{73CAEDBC-F054-4993-ABAF-0133827C0C1E}"/>
    <cellStyle name="Normal 4 3 3 2 3 3 2 4" xfId="5721" xr:uid="{B1DF7EAC-DA1A-4A26-A7FA-BAD186071B4D}"/>
    <cellStyle name="Normal 4 3 3 2 3 3 2 4 2" xfId="14829" xr:uid="{2F3EEC43-4A9D-4A57-825E-B7484643FAAF}"/>
    <cellStyle name="Normal 4 3 3 2 3 3 2 5" xfId="5722" xr:uid="{4F5B2A85-1FD9-4D73-943B-DFCEBE04C44E}"/>
    <cellStyle name="Normal 4 3 3 2 3 3 2 5 2" xfId="14830" xr:uid="{056D09FC-18C5-457E-95D8-22A757EC7A1F}"/>
    <cellStyle name="Normal 4 3 3 2 3 3 2 6" xfId="14824" xr:uid="{7568BF6E-8E23-4414-A412-0ED4BDAACC39}"/>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2 2" xfId="14833" xr:uid="{89F736AD-FBCA-48D6-9FE1-40FCCC70A07D}"/>
    <cellStyle name="Normal 4 3 3 2 3 3 3 2 3" xfId="5726" xr:uid="{D9D456C0-E018-41BE-BCF1-CA4D14202176}"/>
    <cellStyle name="Normal 4 3 3 2 3 3 3 2 3 2" xfId="14834" xr:uid="{9744058B-90C3-47F8-8573-157635617C6B}"/>
    <cellStyle name="Normal 4 3 3 2 3 3 3 2 4" xfId="14832" xr:uid="{431DDEFB-839E-476E-AF2C-352810EBF6C0}"/>
    <cellStyle name="Normal 4 3 3 2 3 3 3 3" xfId="5727" xr:uid="{7520CBC5-F955-4CBB-AEF9-4E4FF2B1C3A6}"/>
    <cellStyle name="Normal 4 3 3 2 3 3 3 3 2" xfId="14835" xr:uid="{7EE1B6E0-5BE8-47DB-B83A-4C815194BECC}"/>
    <cellStyle name="Normal 4 3 3 2 3 3 3 4" xfId="5728" xr:uid="{FED6A786-2B0F-48C4-B1BE-A6D3BBE36F17}"/>
    <cellStyle name="Normal 4 3 3 2 3 3 3 4 2" xfId="14836" xr:uid="{0F2DFBA8-C651-43CD-B294-D2B4BC9D9560}"/>
    <cellStyle name="Normal 4 3 3 2 3 3 3 5" xfId="5729" xr:uid="{F774DB8B-EC82-40D1-A540-F68A4AE724B2}"/>
    <cellStyle name="Normal 4 3 3 2 3 3 3 5 2" xfId="14837" xr:uid="{567E78D3-ECBD-42F1-8A88-8329F237ABD3}"/>
    <cellStyle name="Normal 4 3 3 2 3 3 3 6" xfId="14831" xr:uid="{DC9AD41C-2476-4735-BC76-36AD45FFE900}"/>
    <cellStyle name="Normal 4 3 3 2 3 3 4" xfId="5730" xr:uid="{167C0349-566E-4AEA-BD04-FFA14B2C150E}"/>
    <cellStyle name="Normal 4 3 3 2 3 3 4 2" xfId="5731" xr:uid="{9390A192-7839-4402-BCEA-59F5B5AFCFB7}"/>
    <cellStyle name="Normal 4 3 3 2 3 3 4 2 2" xfId="14839" xr:uid="{7850951A-F367-442B-A66B-F6AEDC44F9FB}"/>
    <cellStyle name="Normal 4 3 3 2 3 3 4 3" xfId="5732" xr:uid="{4B2BFB94-4610-432A-8D90-9D4C68FF5AF3}"/>
    <cellStyle name="Normal 4 3 3 2 3 3 4 3 2" xfId="14840" xr:uid="{B8964EFB-F1B4-40C5-A335-7E138A88B1B3}"/>
    <cellStyle name="Normal 4 3 3 2 3 3 4 4" xfId="14838" xr:uid="{81BD118A-C886-4CEB-AA2D-1E4AD25467E2}"/>
    <cellStyle name="Normal 4 3 3 2 3 3 5" xfId="5733" xr:uid="{86C26992-39E5-4E37-9DE2-73D73D96CFC0}"/>
    <cellStyle name="Normal 4 3 3 2 3 3 5 2" xfId="14841" xr:uid="{35F9E20D-5BC7-42E4-9983-D8074E53D0E7}"/>
    <cellStyle name="Normal 4 3 3 2 3 3 6" xfId="5734" xr:uid="{642C9359-58CB-4113-B773-EDC8FA001B38}"/>
    <cellStyle name="Normal 4 3 3 2 3 3 6 2" xfId="14842" xr:uid="{9CEFA8D0-8802-44C0-BD6D-FC82A0C23383}"/>
    <cellStyle name="Normal 4 3 3 2 3 3 7" xfId="5735" xr:uid="{19DCBEB1-0DF7-49B7-9FEF-D9019EB25FDA}"/>
    <cellStyle name="Normal 4 3 3 2 3 3 7 2" xfId="14843" xr:uid="{21D771CE-A3FB-458D-B829-11B448B02977}"/>
    <cellStyle name="Normal 4 3 3 2 3 3 8" xfId="14823" xr:uid="{61FC1A97-E87D-4767-A8A0-4B1931300965}"/>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2 2" xfId="14846" xr:uid="{E60ADBE9-5A31-40A8-9BF4-35C1E1AF8710}"/>
    <cellStyle name="Normal 4 3 3 2 3 4 2 3" xfId="5739" xr:uid="{D8320834-B4D1-4A10-9A0E-6E4A29107BEE}"/>
    <cellStyle name="Normal 4 3 3 2 3 4 2 3 2" xfId="14847" xr:uid="{C48F8F15-05C1-4C56-81FD-5DF4B6BBE3EA}"/>
    <cellStyle name="Normal 4 3 3 2 3 4 2 4" xfId="14845" xr:uid="{7E982407-8358-41D9-873E-112C4CE7D622}"/>
    <cellStyle name="Normal 4 3 3 2 3 4 3" xfId="5740" xr:uid="{9C29A2F3-277E-46FA-B312-19216BC8F61D}"/>
    <cellStyle name="Normal 4 3 3 2 3 4 3 2" xfId="14848" xr:uid="{A4019434-CC1B-435E-B7DD-A0927A3FBD65}"/>
    <cellStyle name="Normal 4 3 3 2 3 4 4" xfId="5741" xr:uid="{346F110D-F1CB-413E-9976-955D3FABDFC0}"/>
    <cellStyle name="Normal 4 3 3 2 3 4 4 2" xfId="14849" xr:uid="{1D7F7E09-914D-4336-BE6F-37494A736ECA}"/>
    <cellStyle name="Normal 4 3 3 2 3 4 5" xfId="5742" xr:uid="{B0C705BC-7877-4C5A-953B-53DD687B0357}"/>
    <cellStyle name="Normal 4 3 3 2 3 4 5 2" xfId="14850" xr:uid="{D1601312-439B-4B19-900F-1383CBA02D33}"/>
    <cellStyle name="Normal 4 3 3 2 3 4 6" xfId="14844" xr:uid="{C4EE85B9-D765-4CB1-B0E2-B35486FB618D}"/>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2 2" xfId="14853" xr:uid="{71FA20D8-9E91-420E-AC8F-C851DAB5B3D8}"/>
    <cellStyle name="Normal 4 3 3 2 3 5 2 3" xfId="5746" xr:uid="{FFADADC1-1D02-4693-9C85-ADB7988D3648}"/>
    <cellStyle name="Normal 4 3 3 2 3 5 2 3 2" xfId="14854" xr:uid="{861F08CA-842C-42BE-94C9-78377291D404}"/>
    <cellStyle name="Normal 4 3 3 2 3 5 2 4" xfId="14852" xr:uid="{5E297890-0AEE-472F-A29E-7D71ACA28A94}"/>
    <cellStyle name="Normal 4 3 3 2 3 5 3" xfId="5747" xr:uid="{E27948C2-2DC8-4336-9F59-F34E07892CE9}"/>
    <cellStyle name="Normal 4 3 3 2 3 5 3 2" xfId="14855" xr:uid="{C9EEB82A-FDD9-4AE6-B42F-DCD5683D31B4}"/>
    <cellStyle name="Normal 4 3 3 2 3 5 4" xfId="5748" xr:uid="{E793EC15-FB54-4D09-80AB-F67332FE7B0F}"/>
    <cellStyle name="Normal 4 3 3 2 3 5 4 2" xfId="14856" xr:uid="{6EC8C7A7-6F8C-4206-9FD1-57BD24904652}"/>
    <cellStyle name="Normal 4 3 3 2 3 5 5" xfId="5749" xr:uid="{5D5997DD-517A-4F52-BB46-0465E707AC65}"/>
    <cellStyle name="Normal 4 3 3 2 3 5 5 2" xfId="14857" xr:uid="{D5B62226-B78B-4D98-A39A-DEB213BC3379}"/>
    <cellStyle name="Normal 4 3 3 2 3 5 6" xfId="14851" xr:uid="{50C0080D-CA88-441D-B4FA-5901BFC2D87C}"/>
    <cellStyle name="Normal 4 3 3 2 3 6" xfId="5750" xr:uid="{BED71DC8-E8C8-45D5-8F69-6F060757EA91}"/>
    <cellStyle name="Normal 4 3 3 2 3 6 2" xfId="5751" xr:uid="{1DBDDD1F-8936-4184-AF7F-2AB7F8048689}"/>
    <cellStyle name="Normal 4 3 3 2 3 6 2 2" xfId="14859" xr:uid="{6E2D6B88-F24A-4A59-AC30-549DF652FA59}"/>
    <cellStyle name="Normal 4 3 3 2 3 6 3" xfId="5752" xr:uid="{6D385B83-585A-43A1-A1DA-1DB6245A087B}"/>
    <cellStyle name="Normal 4 3 3 2 3 6 3 2" xfId="14860" xr:uid="{5B5E76ED-D476-45ED-9C0B-B3DC3B9D09DE}"/>
    <cellStyle name="Normal 4 3 3 2 3 6 4" xfId="14858" xr:uid="{82423A0E-614E-4A19-ACF2-99FFE3FFB91F}"/>
    <cellStyle name="Normal 4 3 3 2 3 7" xfId="5753" xr:uid="{DD0F05C0-B30E-4F8E-883C-A994393BECE1}"/>
    <cellStyle name="Normal 4 3 3 2 3 7 2" xfId="14861" xr:uid="{09027E98-F112-48B0-840F-AD89B034FBDC}"/>
    <cellStyle name="Normal 4 3 3 2 3 8" xfId="5754" xr:uid="{9D00031C-0C91-44D2-8899-0945238A4A5C}"/>
    <cellStyle name="Normal 4 3 3 2 3 8 2" xfId="14862" xr:uid="{7CE12CE1-6D21-487D-863B-0837251464B1}"/>
    <cellStyle name="Normal 4 3 3 2 3 9" xfId="5755" xr:uid="{FB47C782-3EC9-4FB6-AAA6-B78DE5D19621}"/>
    <cellStyle name="Normal 4 3 3 2 3 9 2" xfId="14863" xr:uid="{BDE53BAB-2D47-41B0-86DD-2264362F3530}"/>
    <cellStyle name="Normal 4 3 3 2 4" xfId="5756" xr:uid="{A6EEDA50-F841-4EAD-BC71-B9337DA7B7E6}"/>
    <cellStyle name="Normal 4 3 3 2 4 10" xfId="14864" xr:uid="{1BF5E631-E6A7-4D06-A981-655A0F08CED8}"/>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2 2" xfId="14869" xr:uid="{E0162511-2FE4-4B76-918C-47F53FC8C82F}"/>
    <cellStyle name="Normal 4 3 3 2 4 2 2 2 2 3" xfId="5762" xr:uid="{9F2CB517-E209-4EC5-94FE-80BD68C1391C}"/>
    <cellStyle name="Normal 4 3 3 2 4 2 2 2 2 3 2" xfId="14870" xr:uid="{A94A5CAB-E034-4A18-864E-5FF601914D5B}"/>
    <cellStyle name="Normal 4 3 3 2 4 2 2 2 2 4" xfId="14868" xr:uid="{31183655-5400-4ECA-8AEC-5B26EF7B2BF0}"/>
    <cellStyle name="Normal 4 3 3 2 4 2 2 2 3" xfId="5763" xr:uid="{2F6F3A4B-87E0-4790-B84D-F780245713BB}"/>
    <cellStyle name="Normal 4 3 3 2 4 2 2 2 3 2" xfId="14871" xr:uid="{32734595-EA23-40D5-95CC-4CA64DEBDDCC}"/>
    <cellStyle name="Normal 4 3 3 2 4 2 2 2 4" xfId="5764" xr:uid="{2DB5B15E-365E-46A9-9045-A0DCC5BEBC86}"/>
    <cellStyle name="Normal 4 3 3 2 4 2 2 2 4 2" xfId="14872" xr:uid="{0674FAA2-E878-4C51-B1FD-D81B3F1E4764}"/>
    <cellStyle name="Normal 4 3 3 2 4 2 2 2 5" xfId="5765" xr:uid="{2A1E3677-BD35-49EC-9ACE-8398B967CE95}"/>
    <cellStyle name="Normal 4 3 3 2 4 2 2 2 5 2" xfId="14873" xr:uid="{FD266190-BE4C-4F9C-BD26-D41685CB4329}"/>
    <cellStyle name="Normal 4 3 3 2 4 2 2 2 6" xfId="14867" xr:uid="{A066DC2D-6AE1-44EB-950D-485D515E211F}"/>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2 2" xfId="14876" xr:uid="{7E7826DC-B646-4FC5-A878-50D15E3C4105}"/>
    <cellStyle name="Normal 4 3 3 2 4 2 2 3 2 3" xfId="5769" xr:uid="{B91740AB-3124-4AA3-8E2F-9CB1E4046887}"/>
    <cellStyle name="Normal 4 3 3 2 4 2 2 3 2 3 2" xfId="14877" xr:uid="{06E6FF95-8520-4945-9205-FB080FC7293E}"/>
    <cellStyle name="Normal 4 3 3 2 4 2 2 3 2 4" xfId="14875" xr:uid="{7A8BB815-9F28-4B3B-BFC3-416543400069}"/>
    <cellStyle name="Normal 4 3 3 2 4 2 2 3 3" xfId="5770" xr:uid="{A1457131-E040-4DED-A062-11E7327ED44E}"/>
    <cellStyle name="Normal 4 3 3 2 4 2 2 3 3 2" xfId="14878" xr:uid="{CFD46C85-1096-4FEA-A925-9C7458DA021F}"/>
    <cellStyle name="Normal 4 3 3 2 4 2 2 3 4" xfId="5771" xr:uid="{A42194E6-E786-4499-B5A2-2152DFE7706B}"/>
    <cellStyle name="Normal 4 3 3 2 4 2 2 3 4 2" xfId="14879" xr:uid="{B81CA243-A311-4E6F-86CA-025EF7CA64E2}"/>
    <cellStyle name="Normal 4 3 3 2 4 2 2 3 5" xfId="5772" xr:uid="{4EDD118F-E158-4E60-ABE2-200B1471DEF5}"/>
    <cellStyle name="Normal 4 3 3 2 4 2 2 3 5 2" xfId="14880" xr:uid="{AAFB301E-3B45-4FA5-A298-7089B75DEA51}"/>
    <cellStyle name="Normal 4 3 3 2 4 2 2 3 6" xfId="14874" xr:uid="{B1A3C633-7231-4CAF-9F4D-C021F3540780}"/>
    <cellStyle name="Normal 4 3 3 2 4 2 2 4" xfId="5773" xr:uid="{5CECF6BF-6DD5-497A-9773-F85D624F0CA0}"/>
    <cellStyle name="Normal 4 3 3 2 4 2 2 4 2" xfId="5774" xr:uid="{4FAD281C-8544-43BC-95FC-FECF338044EF}"/>
    <cellStyle name="Normal 4 3 3 2 4 2 2 4 2 2" xfId="14882" xr:uid="{663B8549-B808-4E91-B4A4-7C9E273197D0}"/>
    <cellStyle name="Normal 4 3 3 2 4 2 2 4 3" xfId="5775" xr:uid="{B814232C-53DB-4D84-B85E-5DFAD98994FF}"/>
    <cellStyle name="Normal 4 3 3 2 4 2 2 4 3 2" xfId="14883" xr:uid="{E5674289-CAA7-4EFD-B9A4-4EF31355AE08}"/>
    <cellStyle name="Normal 4 3 3 2 4 2 2 4 4" xfId="14881" xr:uid="{35A00E78-8B42-4001-A7B1-9C68E8E24A18}"/>
    <cellStyle name="Normal 4 3 3 2 4 2 2 5" xfId="5776" xr:uid="{33D431BC-2A59-44DA-8964-007D2D94733B}"/>
    <cellStyle name="Normal 4 3 3 2 4 2 2 5 2" xfId="14884" xr:uid="{F3950425-5060-4CD7-9F7E-A08E6ABD361D}"/>
    <cellStyle name="Normal 4 3 3 2 4 2 2 6" xfId="5777" xr:uid="{56B707AE-3609-4357-BD36-40AAB4BCEA86}"/>
    <cellStyle name="Normal 4 3 3 2 4 2 2 6 2" xfId="14885" xr:uid="{E966231E-DC24-4B3A-8FA7-3D78374C7A24}"/>
    <cellStyle name="Normal 4 3 3 2 4 2 2 7" xfId="5778" xr:uid="{ECC41815-4C7F-462D-908C-CD4881CFF99A}"/>
    <cellStyle name="Normal 4 3 3 2 4 2 2 7 2" xfId="14886" xr:uid="{3D3F10E8-42D0-476F-BB36-72EAED6E5C5E}"/>
    <cellStyle name="Normal 4 3 3 2 4 2 2 8" xfId="14866" xr:uid="{E42025F1-0934-46A6-B585-7BBDF685DEB9}"/>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2 2" xfId="14889" xr:uid="{FEC8F2A4-A1FC-44A2-AC2E-B2D2E372EF82}"/>
    <cellStyle name="Normal 4 3 3 2 4 2 3 2 3" xfId="5782" xr:uid="{E21854FE-FB51-4FE5-9CB9-5531C05059C4}"/>
    <cellStyle name="Normal 4 3 3 2 4 2 3 2 3 2" xfId="14890" xr:uid="{07678692-2776-415B-8FFE-45A006B031A9}"/>
    <cellStyle name="Normal 4 3 3 2 4 2 3 2 4" xfId="14888" xr:uid="{B1C3C419-60CE-4450-AB38-EE7F20723B5F}"/>
    <cellStyle name="Normal 4 3 3 2 4 2 3 3" xfId="5783" xr:uid="{3A3EAB69-F0BC-4828-AA21-3932144D2D50}"/>
    <cellStyle name="Normal 4 3 3 2 4 2 3 3 2" xfId="14891" xr:uid="{605E4CA9-ABFC-4B8E-9E26-57B0A6C5C45D}"/>
    <cellStyle name="Normal 4 3 3 2 4 2 3 4" xfId="5784" xr:uid="{FC18F6CF-0D30-4153-862A-FE0C5588B69F}"/>
    <cellStyle name="Normal 4 3 3 2 4 2 3 4 2" xfId="14892" xr:uid="{64478C9D-D6EE-41D9-AC4F-430FBA48D49E}"/>
    <cellStyle name="Normal 4 3 3 2 4 2 3 5" xfId="5785" xr:uid="{37697427-7BA1-4608-8A8F-5E2A960CAB01}"/>
    <cellStyle name="Normal 4 3 3 2 4 2 3 5 2" xfId="14893" xr:uid="{B92752FD-0E55-44FE-B9C1-8E2196125DC1}"/>
    <cellStyle name="Normal 4 3 3 2 4 2 3 6" xfId="14887" xr:uid="{BB8FFD4C-91A3-4651-AF2C-177B91439125}"/>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2 2" xfId="14896" xr:uid="{820C02A2-B436-4285-91A0-50B4F2E92AC8}"/>
    <cellStyle name="Normal 4 3 3 2 4 2 4 2 3" xfId="5789" xr:uid="{DFAE64E0-0586-4E88-9105-F6C0A5B35BAE}"/>
    <cellStyle name="Normal 4 3 3 2 4 2 4 2 3 2" xfId="14897" xr:uid="{A1C9B118-AD02-4B58-9EA8-9449D9CE55DC}"/>
    <cellStyle name="Normal 4 3 3 2 4 2 4 2 4" xfId="14895" xr:uid="{A90F3E9A-9693-43E4-872A-C6D029990FEA}"/>
    <cellStyle name="Normal 4 3 3 2 4 2 4 3" xfId="5790" xr:uid="{5B0328BE-B676-4AA6-B0D1-A33B22B351D2}"/>
    <cellStyle name="Normal 4 3 3 2 4 2 4 3 2" xfId="14898" xr:uid="{EF264F06-94F1-4F43-A627-FF1BA18D1F3F}"/>
    <cellStyle name="Normal 4 3 3 2 4 2 4 4" xfId="5791" xr:uid="{FA6FA633-3D02-4D9B-A21D-7BB46374733A}"/>
    <cellStyle name="Normal 4 3 3 2 4 2 4 4 2" xfId="14899" xr:uid="{B31575C3-760E-464B-A7A7-77B198509A5C}"/>
    <cellStyle name="Normal 4 3 3 2 4 2 4 5" xfId="5792" xr:uid="{75ACF48A-3BE9-421B-A649-60017122CCE9}"/>
    <cellStyle name="Normal 4 3 3 2 4 2 4 5 2" xfId="14900" xr:uid="{AE9F8664-41F3-4C9E-848E-ECE52D3D81B2}"/>
    <cellStyle name="Normal 4 3 3 2 4 2 4 6" xfId="14894" xr:uid="{BEDB3F08-789F-44AA-88D4-9C88E147DEFF}"/>
    <cellStyle name="Normal 4 3 3 2 4 2 5" xfId="5793" xr:uid="{795B68DC-F663-47FA-ABEE-742CC858F339}"/>
    <cellStyle name="Normal 4 3 3 2 4 2 5 2" xfId="5794" xr:uid="{D180FCFB-F2D0-4E4C-8569-E6DA2E2E6669}"/>
    <cellStyle name="Normal 4 3 3 2 4 2 5 2 2" xfId="14902" xr:uid="{315735A7-1202-4A65-81EB-CA3AE7AD7563}"/>
    <cellStyle name="Normal 4 3 3 2 4 2 5 3" xfId="5795" xr:uid="{155A79F9-E58B-445F-941F-8D37689B2553}"/>
    <cellStyle name="Normal 4 3 3 2 4 2 5 3 2" xfId="14903" xr:uid="{72FB923B-C35A-40F2-B2C0-8B82A7F3F87F}"/>
    <cellStyle name="Normal 4 3 3 2 4 2 5 4" xfId="14901" xr:uid="{AD5A4C45-B06B-4778-9F9E-EFBECFC35D82}"/>
    <cellStyle name="Normal 4 3 3 2 4 2 6" xfId="5796" xr:uid="{D2ABCDC1-167D-4514-A1D4-84DD87F0E125}"/>
    <cellStyle name="Normal 4 3 3 2 4 2 6 2" xfId="14904" xr:uid="{1B6A5DB6-9B23-46B9-8EF7-3FFE245365E2}"/>
    <cellStyle name="Normal 4 3 3 2 4 2 7" xfId="5797" xr:uid="{934F7BD2-449C-4A69-838D-5EBCE17A21BF}"/>
    <cellStyle name="Normal 4 3 3 2 4 2 7 2" xfId="14905" xr:uid="{D6D24DA2-5360-46A2-9761-BF05687AE6B5}"/>
    <cellStyle name="Normal 4 3 3 2 4 2 8" xfId="5798" xr:uid="{B7D0774B-7ACB-40F0-BBCB-A39134F6F74E}"/>
    <cellStyle name="Normal 4 3 3 2 4 2 8 2" xfId="14906" xr:uid="{8D471647-5E55-4A0F-879B-41686B54B816}"/>
    <cellStyle name="Normal 4 3 3 2 4 2 9" xfId="14865" xr:uid="{D93C83B2-AF04-43FD-B2EF-98061BE27AE2}"/>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2 2" xfId="14910" xr:uid="{DDD426E4-3B0B-4BCD-A79B-2331FC459B40}"/>
    <cellStyle name="Normal 4 3 3 2 4 3 2 2 3" xfId="5803" xr:uid="{0CA5200A-9D34-46A6-B806-0ADFEEAB7E6B}"/>
    <cellStyle name="Normal 4 3 3 2 4 3 2 2 3 2" xfId="14911" xr:uid="{C6BDACE6-0C36-4A87-B153-5104C443EE95}"/>
    <cellStyle name="Normal 4 3 3 2 4 3 2 2 4" xfId="14909" xr:uid="{9D05AF67-3FD1-4AFD-BB0A-3E46EDE38030}"/>
    <cellStyle name="Normal 4 3 3 2 4 3 2 3" xfId="5804" xr:uid="{72CEE18D-0DFD-4256-94DA-A4879F0198EA}"/>
    <cellStyle name="Normal 4 3 3 2 4 3 2 3 2" xfId="14912" xr:uid="{78A36D57-5EEA-4442-B241-4AC2757FDF4E}"/>
    <cellStyle name="Normal 4 3 3 2 4 3 2 4" xfId="5805" xr:uid="{D06F2FB2-0EC7-4F84-9CEE-6A1FE2752D7F}"/>
    <cellStyle name="Normal 4 3 3 2 4 3 2 4 2" xfId="14913" xr:uid="{3789E0EC-6562-4B2E-A5EB-C52DF865B780}"/>
    <cellStyle name="Normal 4 3 3 2 4 3 2 5" xfId="5806" xr:uid="{973FE268-451E-4444-A079-9CA4BF2AE563}"/>
    <cellStyle name="Normal 4 3 3 2 4 3 2 5 2" xfId="14914" xr:uid="{9AE18A5F-CA12-4BDB-B0D7-95BFE788424F}"/>
    <cellStyle name="Normal 4 3 3 2 4 3 2 6" xfId="14908" xr:uid="{7ED50B1F-A0BF-4143-A322-E244638DE935}"/>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2 2" xfId="14917" xr:uid="{5E7FE044-5CD2-4A2A-BAA7-4A10655FFDF3}"/>
    <cellStyle name="Normal 4 3 3 2 4 3 3 2 3" xfId="5810" xr:uid="{F040C26D-68C9-4638-B49F-EE70993B6B94}"/>
    <cellStyle name="Normal 4 3 3 2 4 3 3 2 3 2" xfId="14918" xr:uid="{BD4E2290-8A0A-45C9-8622-5564883D5415}"/>
    <cellStyle name="Normal 4 3 3 2 4 3 3 2 4" xfId="14916" xr:uid="{F1E5686C-982E-4D54-AAE1-CB7D61EDA503}"/>
    <cellStyle name="Normal 4 3 3 2 4 3 3 3" xfId="5811" xr:uid="{564A1B7A-A1E2-492D-AEC1-B6AE5EEA8707}"/>
    <cellStyle name="Normal 4 3 3 2 4 3 3 3 2" xfId="14919" xr:uid="{121FC257-D595-4E04-B3B7-F87964505954}"/>
    <cellStyle name="Normal 4 3 3 2 4 3 3 4" xfId="5812" xr:uid="{259501D1-17FA-497B-B782-3FCFFC9D9997}"/>
    <cellStyle name="Normal 4 3 3 2 4 3 3 4 2" xfId="14920" xr:uid="{ED2EA547-867E-4E76-90A6-62D8C3A8750F}"/>
    <cellStyle name="Normal 4 3 3 2 4 3 3 5" xfId="5813" xr:uid="{E9E16EE1-EC51-4C3E-90AA-DFAB4DEABC00}"/>
    <cellStyle name="Normal 4 3 3 2 4 3 3 5 2" xfId="14921" xr:uid="{8EF5BE97-BC2C-43E9-8C1C-F8C302AD79AC}"/>
    <cellStyle name="Normal 4 3 3 2 4 3 3 6" xfId="14915" xr:uid="{5C384224-0B8A-4D5C-B678-AC3C12CC4BE3}"/>
    <cellStyle name="Normal 4 3 3 2 4 3 4" xfId="5814" xr:uid="{A32239F6-C50F-4ED4-BBEE-EEA157189536}"/>
    <cellStyle name="Normal 4 3 3 2 4 3 4 2" xfId="5815" xr:uid="{F775872A-B4EA-4A0D-B98F-357C1D8B26B1}"/>
    <cellStyle name="Normal 4 3 3 2 4 3 4 2 2" xfId="14923" xr:uid="{2BD16154-FC58-46D8-A0EC-56BC25B0CF9C}"/>
    <cellStyle name="Normal 4 3 3 2 4 3 4 3" xfId="5816" xr:uid="{A4A3AFB8-B399-49D7-B499-6E06A13B68D9}"/>
    <cellStyle name="Normal 4 3 3 2 4 3 4 3 2" xfId="14924" xr:uid="{1BCE8911-1BEE-444C-8AAD-48F118636B72}"/>
    <cellStyle name="Normal 4 3 3 2 4 3 4 4" xfId="14922" xr:uid="{AB8A7ABE-87FF-41FA-8A32-FF54FDA586DB}"/>
    <cellStyle name="Normal 4 3 3 2 4 3 5" xfId="5817" xr:uid="{55B0DE8F-AE38-46F3-9C5E-7C68E79C1672}"/>
    <cellStyle name="Normal 4 3 3 2 4 3 5 2" xfId="14925" xr:uid="{E89B28E1-C54B-4437-880A-AA30FE278C49}"/>
    <cellStyle name="Normal 4 3 3 2 4 3 6" xfId="5818" xr:uid="{FD929AD7-26D0-41B8-9EC0-04363097B529}"/>
    <cellStyle name="Normal 4 3 3 2 4 3 6 2" xfId="14926" xr:uid="{33495CA1-D22F-4FA2-B0A2-26DC78CF505A}"/>
    <cellStyle name="Normal 4 3 3 2 4 3 7" xfId="5819" xr:uid="{90B3BB18-ED66-4197-BFF4-6739142EA702}"/>
    <cellStyle name="Normal 4 3 3 2 4 3 7 2" xfId="14927" xr:uid="{A783FF75-7279-4E8E-9443-70579ECAA69F}"/>
    <cellStyle name="Normal 4 3 3 2 4 3 8" xfId="14907" xr:uid="{A75525C8-8354-4652-B22F-4B313007CDFF}"/>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2 2" xfId="14930" xr:uid="{2F5F9E69-3DC6-44DD-B822-528DF081B6C4}"/>
    <cellStyle name="Normal 4 3 3 2 4 4 2 3" xfId="5823" xr:uid="{13BB47D6-01E4-400E-8F60-36A07B448BE9}"/>
    <cellStyle name="Normal 4 3 3 2 4 4 2 3 2" xfId="14931" xr:uid="{76BFCE71-8A89-4CED-A918-01D14B595C1F}"/>
    <cellStyle name="Normal 4 3 3 2 4 4 2 4" xfId="14929" xr:uid="{B263035B-678E-4E93-A254-F9C962D0CB4E}"/>
    <cellStyle name="Normal 4 3 3 2 4 4 3" xfId="5824" xr:uid="{16F9A9CF-B864-405B-B9C4-7BB8F7A836B0}"/>
    <cellStyle name="Normal 4 3 3 2 4 4 3 2" xfId="14932" xr:uid="{1543260A-B8B7-4C10-89AA-248ACC4B0CCA}"/>
    <cellStyle name="Normal 4 3 3 2 4 4 4" xfId="5825" xr:uid="{329F5BCE-3D81-4E16-9282-27CA5D16DFD8}"/>
    <cellStyle name="Normal 4 3 3 2 4 4 4 2" xfId="14933" xr:uid="{5FA6C1FC-139F-4646-9ACF-E7D5A2BFB968}"/>
    <cellStyle name="Normal 4 3 3 2 4 4 5" xfId="5826" xr:uid="{4C3F2619-1E07-40C2-82D4-FA8643D3C89B}"/>
    <cellStyle name="Normal 4 3 3 2 4 4 5 2" xfId="14934" xr:uid="{39FEFD33-2EE0-415E-952C-D4EB6318923C}"/>
    <cellStyle name="Normal 4 3 3 2 4 4 6" xfId="14928" xr:uid="{0A5B6873-7E12-44AE-8347-F81B664EDD89}"/>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2 2" xfId="14937" xr:uid="{033C4379-7FC2-4299-B22B-4B80BAC34AD1}"/>
    <cellStyle name="Normal 4 3 3 2 4 5 2 3" xfId="5830" xr:uid="{F29265EE-FAFB-4553-A081-4E366DDBD3A2}"/>
    <cellStyle name="Normal 4 3 3 2 4 5 2 3 2" xfId="14938" xr:uid="{5E62CDD0-09EA-4E31-8749-C0967326747E}"/>
    <cellStyle name="Normal 4 3 3 2 4 5 2 4" xfId="14936" xr:uid="{DF3D6A74-4B30-4948-A708-5A2A7D32547D}"/>
    <cellStyle name="Normal 4 3 3 2 4 5 3" xfId="5831" xr:uid="{F336E52C-9F5F-4A73-B064-DDD6D284F560}"/>
    <cellStyle name="Normal 4 3 3 2 4 5 3 2" xfId="14939" xr:uid="{5918F284-4603-473F-8C9C-6E6EEBA7DC90}"/>
    <cellStyle name="Normal 4 3 3 2 4 5 4" xfId="5832" xr:uid="{3440B91C-8F0B-4157-9879-5E2868AE5092}"/>
    <cellStyle name="Normal 4 3 3 2 4 5 4 2" xfId="14940" xr:uid="{4F2E515B-ACF9-4CAF-82BA-3937EA0FBE7A}"/>
    <cellStyle name="Normal 4 3 3 2 4 5 5" xfId="5833" xr:uid="{EC527A03-3508-4F7F-AE89-3CF0B017FF50}"/>
    <cellStyle name="Normal 4 3 3 2 4 5 5 2" xfId="14941" xr:uid="{A4C439FC-3A4D-461B-8A3D-AB055B8C5C30}"/>
    <cellStyle name="Normal 4 3 3 2 4 5 6" xfId="14935" xr:uid="{D829B685-76B9-4207-998F-3352ADE7B0E0}"/>
    <cellStyle name="Normal 4 3 3 2 4 6" xfId="5834" xr:uid="{C669FD6A-5DE2-4D83-8CBA-55083C518B1D}"/>
    <cellStyle name="Normal 4 3 3 2 4 6 2" xfId="5835" xr:uid="{09CEF4B6-5C12-45BA-B5AC-39D7FCB5945E}"/>
    <cellStyle name="Normal 4 3 3 2 4 6 2 2" xfId="14943" xr:uid="{042E0C7C-134B-43B9-A248-84B1C7E04AF2}"/>
    <cellStyle name="Normal 4 3 3 2 4 6 3" xfId="5836" xr:uid="{15EF061A-D31C-42E5-A9D6-AC4704EB7C90}"/>
    <cellStyle name="Normal 4 3 3 2 4 6 3 2" xfId="14944" xr:uid="{22DAE04F-E73D-419E-839C-8F423512EDE2}"/>
    <cellStyle name="Normal 4 3 3 2 4 6 4" xfId="14942" xr:uid="{B0E30006-1C4B-44B2-A017-A82E6F150875}"/>
    <cellStyle name="Normal 4 3 3 2 4 7" xfId="5837" xr:uid="{0386C10D-2404-45C7-BEC1-AF0287B0CE6C}"/>
    <cellStyle name="Normal 4 3 3 2 4 7 2" xfId="14945" xr:uid="{1F81F9C9-535E-4340-8C42-598EA9235979}"/>
    <cellStyle name="Normal 4 3 3 2 4 8" xfId="5838" xr:uid="{0AF8CF4F-0D45-4F2A-8F34-B2253F8B0525}"/>
    <cellStyle name="Normal 4 3 3 2 4 8 2" xfId="14946" xr:uid="{7F8F5415-7FF9-436E-AF72-A67A02D262C5}"/>
    <cellStyle name="Normal 4 3 3 2 4 9" xfId="5839" xr:uid="{B2391ED1-7859-44E0-AE13-EB2B17687EFB}"/>
    <cellStyle name="Normal 4 3 3 2 4 9 2" xfId="14947" xr:uid="{535FA1E3-5FF2-4463-A5AF-868436CF4074}"/>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2 2" xfId="14952" xr:uid="{A9E3AED2-A71C-4865-8B80-A512519C601F}"/>
    <cellStyle name="Normal 4 3 3 2 5 2 2 2 3" xfId="5845" xr:uid="{6AC75933-C44E-4D84-9A2D-CB4ABB683099}"/>
    <cellStyle name="Normal 4 3 3 2 5 2 2 2 3 2" xfId="14953" xr:uid="{5C034CDF-2525-444C-8CB6-9A8A479BF851}"/>
    <cellStyle name="Normal 4 3 3 2 5 2 2 2 4" xfId="14951" xr:uid="{3F17C42E-F719-43DF-846A-90B18AE47E41}"/>
    <cellStyle name="Normal 4 3 3 2 5 2 2 3" xfId="5846" xr:uid="{EBCAA2CB-D028-4BE9-A7F7-1C043BE08CCE}"/>
    <cellStyle name="Normal 4 3 3 2 5 2 2 3 2" xfId="14954" xr:uid="{109F0315-0F9D-4231-8692-26E5B7E8A5AA}"/>
    <cellStyle name="Normal 4 3 3 2 5 2 2 4" xfId="5847" xr:uid="{9AA75B2B-F698-4659-8C2F-3E01250CC06F}"/>
    <cellStyle name="Normal 4 3 3 2 5 2 2 4 2" xfId="14955" xr:uid="{B32EA835-1182-4B83-B47E-5F5FD752E81E}"/>
    <cellStyle name="Normal 4 3 3 2 5 2 2 5" xfId="5848" xr:uid="{743C7F9F-7A79-402A-8E8E-F59AF65D2479}"/>
    <cellStyle name="Normal 4 3 3 2 5 2 2 5 2" xfId="14956" xr:uid="{7B28E146-E410-43DA-8874-83AAE3D7E3D2}"/>
    <cellStyle name="Normal 4 3 3 2 5 2 2 6" xfId="14950" xr:uid="{FD882AB6-B9A3-4486-AE7B-572C2C2B0A65}"/>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2 2" xfId="14959" xr:uid="{5C110F53-A346-430D-BE28-90B6CA9308D4}"/>
    <cellStyle name="Normal 4 3 3 2 5 2 3 2 3" xfId="5852" xr:uid="{8C4EAE12-3401-4D44-954D-71917011A160}"/>
    <cellStyle name="Normal 4 3 3 2 5 2 3 2 3 2" xfId="14960" xr:uid="{5FCFDA5E-D9E2-4B4D-8615-DEA795797199}"/>
    <cellStyle name="Normal 4 3 3 2 5 2 3 2 4" xfId="14958" xr:uid="{A5665AB6-CA67-4259-A1CE-6DA0C11869F1}"/>
    <cellStyle name="Normal 4 3 3 2 5 2 3 3" xfId="5853" xr:uid="{3893F3C3-FDDC-4F95-BF3C-2E66A0DF1596}"/>
    <cellStyle name="Normal 4 3 3 2 5 2 3 3 2" xfId="14961" xr:uid="{1BBF186F-6CBC-4C69-9EC5-BCD74FCECA9F}"/>
    <cellStyle name="Normal 4 3 3 2 5 2 3 4" xfId="5854" xr:uid="{0A87667E-7420-49BA-9C24-2E5A827E009A}"/>
    <cellStyle name="Normal 4 3 3 2 5 2 3 4 2" xfId="14962" xr:uid="{82FD3AC7-11BE-4DFF-860F-847BC512CA7D}"/>
    <cellStyle name="Normal 4 3 3 2 5 2 3 5" xfId="5855" xr:uid="{5D9E49F8-5084-4EF9-8C67-4385B0B20391}"/>
    <cellStyle name="Normal 4 3 3 2 5 2 3 5 2" xfId="14963" xr:uid="{CA069484-15A6-4037-8CBA-63637D5CCCC2}"/>
    <cellStyle name="Normal 4 3 3 2 5 2 3 6" xfId="14957" xr:uid="{58962C29-28DA-468C-B038-8A7B53A3074A}"/>
    <cellStyle name="Normal 4 3 3 2 5 2 4" xfId="5856" xr:uid="{55A320EE-E2C4-4B6E-B2D3-D594A1A7B19F}"/>
    <cellStyle name="Normal 4 3 3 2 5 2 4 2" xfId="5857" xr:uid="{418C0C68-11E8-4BF0-9B78-19FC09E3BCCF}"/>
    <cellStyle name="Normal 4 3 3 2 5 2 4 2 2" xfId="14965" xr:uid="{33EC98F5-4A9A-4AF1-B64A-E16E314062E5}"/>
    <cellStyle name="Normal 4 3 3 2 5 2 4 3" xfId="5858" xr:uid="{F9F1D07C-C049-4499-84EA-4E237E7C25CA}"/>
    <cellStyle name="Normal 4 3 3 2 5 2 4 3 2" xfId="14966" xr:uid="{2DC24232-3CDB-4562-BD7A-3BC0BA40B472}"/>
    <cellStyle name="Normal 4 3 3 2 5 2 4 4" xfId="14964" xr:uid="{930EB9CA-0B56-4E33-8AF6-CE6651E9B798}"/>
    <cellStyle name="Normal 4 3 3 2 5 2 5" xfId="5859" xr:uid="{4C8E43AF-122B-4DB4-AF1B-A43E6A29B357}"/>
    <cellStyle name="Normal 4 3 3 2 5 2 5 2" xfId="14967" xr:uid="{05434656-5D91-4972-9AFA-154FE4F28DD9}"/>
    <cellStyle name="Normal 4 3 3 2 5 2 6" xfId="5860" xr:uid="{DA45BD6E-429D-477F-8853-72C7CDB8A2F1}"/>
    <cellStyle name="Normal 4 3 3 2 5 2 6 2" xfId="14968" xr:uid="{096BA535-6A71-4149-9195-98927F003AC5}"/>
    <cellStyle name="Normal 4 3 3 2 5 2 7" xfId="5861" xr:uid="{EDE17DBD-48FB-4935-9AFC-5746F9053DF5}"/>
    <cellStyle name="Normal 4 3 3 2 5 2 7 2" xfId="14969" xr:uid="{7FD89287-6EFB-434E-ABD3-A47D69B20DA1}"/>
    <cellStyle name="Normal 4 3 3 2 5 2 8" xfId="14949" xr:uid="{88339AE3-EF05-469D-BEBE-EDAA30F2436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2 2" xfId="14972" xr:uid="{90D96ABC-8C60-4CE3-821F-C1EE359ECD92}"/>
    <cellStyle name="Normal 4 3 3 2 5 3 2 3" xfId="5865" xr:uid="{3FB1E927-3D94-4841-9895-733FB1E6B086}"/>
    <cellStyle name="Normal 4 3 3 2 5 3 2 3 2" xfId="14973" xr:uid="{DAF67859-7B2B-459E-92AA-D4B809DDAA5B}"/>
    <cellStyle name="Normal 4 3 3 2 5 3 2 4" xfId="14971" xr:uid="{6BE8EBB6-6C21-42E1-92AB-F47966F6CFB8}"/>
    <cellStyle name="Normal 4 3 3 2 5 3 3" xfId="5866" xr:uid="{33E24B36-9DC7-4AF8-8374-833465AA19C9}"/>
    <cellStyle name="Normal 4 3 3 2 5 3 3 2" xfId="14974" xr:uid="{83B81FA3-C6FB-4B99-83F5-EBD0080E73B2}"/>
    <cellStyle name="Normal 4 3 3 2 5 3 4" xfId="5867" xr:uid="{43CF5C85-4997-47CF-A112-25AEBBCEF389}"/>
    <cellStyle name="Normal 4 3 3 2 5 3 4 2" xfId="14975" xr:uid="{C6B9F422-60F3-40EE-A2CC-F60CBC06D322}"/>
    <cellStyle name="Normal 4 3 3 2 5 3 5" xfId="5868" xr:uid="{25DF40D2-6101-485A-A0E7-1FAEA8C9CEA2}"/>
    <cellStyle name="Normal 4 3 3 2 5 3 5 2" xfId="14976" xr:uid="{D04005DC-3B6B-4514-9A6B-8A5D1A243D0A}"/>
    <cellStyle name="Normal 4 3 3 2 5 3 6" xfId="14970" xr:uid="{CDDD4FA8-FE2E-4535-B355-29D61CF877FD}"/>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2 2" xfId="14979" xr:uid="{204C73C5-E7B7-4AC6-B83E-E62114919010}"/>
    <cellStyle name="Normal 4 3 3 2 5 4 2 3" xfId="5872" xr:uid="{C2C4A673-ACFA-450A-87A7-1F4717C284BB}"/>
    <cellStyle name="Normal 4 3 3 2 5 4 2 3 2" xfId="14980" xr:uid="{F2FE52E4-8E51-4991-B09D-31D6658AA059}"/>
    <cellStyle name="Normal 4 3 3 2 5 4 2 4" xfId="14978" xr:uid="{76FC4EAC-063A-4966-9CDA-5A9979214CD2}"/>
    <cellStyle name="Normal 4 3 3 2 5 4 3" xfId="5873" xr:uid="{7A84CBC4-68BB-4830-99EB-C7EA36CD9205}"/>
    <cellStyle name="Normal 4 3 3 2 5 4 3 2" xfId="14981" xr:uid="{8AAA3DFB-52AB-42F5-BE6C-BF06337C6839}"/>
    <cellStyle name="Normal 4 3 3 2 5 4 4" xfId="5874" xr:uid="{2B4F9BC6-3637-48EA-9D3D-20E78A4DB106}"/>
    <cellStyle name="Normal 4 3 3 2 5 4 4 2" xfId="14982" xr:uid="{EEB27874-5544-499C-B308-BB3E9AA16229}"/>
    <cellStyle name="Normal 4 3 3 2 5 4 5" xfId="5875" xr:uid="{F38CA5E2-6905-4F94-9022-31996419AD3E}"/>
    <cellStyle name="Normal 4 3 3 2 5 4 5 2" xfId="14983" xr:uid="{930B688E-1C7C-48BA-BD25-E3C20630CFE9}"/>
    <cellStyle name="Normal 4 3 3 2 5 4 6" xfId="14977" xr:uid="{71E7DFF2-395D-423F-94D0-A25E75B9961D}"/>
    <cellStyle name="Normal 4 3 3 2 5 5" xfId="5876" xr:uid="{B1EE09BA-09F4-4B5A-85EC-4E994AE236B9}"/>
    <cellStyle name="Normal 4 3 3 2 5 5 2" xfId="5877" xr:uid="{759F5B1E-7558-4F66-809E-D57CDF8FE73B}"/>
    <cellStyle name="Normal 4 3 3 2 5 5 2 2" xfId="14985" xr:uid="{C26BDAA5-3588-40AA-B39E-2E6BCC3E80EF}"/>
    <cellStyle name="Normal 4 3 3 2 5 5 3" xfId="5878" xr:uid="{2C2845A7-7454-42A4-BA47-9CA1EB3F661F}"/>
    <cellStyle name="Normal 4 3 3 2 5 5 3 2" xfId="14986" xr:uid="{3A84A2D0-5FF7-43B9-B3FD-6BF545890707}"/>
    <cellStyle name="Normal 4 3 3 2 5 5 4" xfId="14984" xr:uid="{85AED5EF-A762-4DB1-88B1-AE344C0EDAF8}"/>
    <cellStyle name="Normal 4 3 3 2 5 6" xfId="5879" xr:uid="{078F2BBF-DFB9-4052-89ED-F07DF963C6D5}"/>
    <cellStyle name="Normal 4 3 3 2 5 6 2" xfId="14987" xr:uid="{5E0EE264-03AD-4602-A341-A0548F5E157E}"/>
    <cellStyle name="Normal 4 3 3 2 5 7" xfId="5880" xr:uid="{C907E38F-30DF-4E1B-BE15-B3199863F7D1}"/>
    <cellStyle name="Normal 4 3 3 2 5 7 2" xfId="14988" xr:uid="{F517B7D6-341E-4917-AA57-06F84FA53572}"/>
    <cellStyle name="Normal 4 3 3 2 5 8" xfId="5881" xr:uid="{E24ED25C-F05C-4E09-8D10-9D31198975F6}"/>
    <cellStyle name="Normal 4 3 3 2 5 8 2" xfId="14989" xr:uid="{505B2EA2-56F5-4A8C-8FBE-C995FC391E00}"/>
    <cellStyle name="Normal 4 3 3 2 5 9" xfId="14948" xr:uid="{AF55D886-9322-45FF-9112-0CCCCBF85549}"/>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2 2" xfId="14993" xr:uid="{6F547BF2-25BE-4276-B6A9-8F020E60B81F}"/>
    <cellStyle name="Normal 4 3 3 2 6 2 2 3" xfId="5886" xr:uid="{99D5F886-50DA-491B-A4B4-CA6975022B35}"/>
    <cellStyle name="Normal 4 3 3 2 6 2 2 3 2" xfId="14994" xr:uid="{F1CD7623-B202-4ABD-A032-794E3086E1C1}"/>
    <cellStyle name="Normal 4 3 3 2 6 2 2 4" xfId="14992" xr:uid="{8D6EA31E-12C8-442B-9E89-B4148AF3858A}"/>
    <cellStyle name="Normal 4 3 3 2 6 2 3" xfId="5887" xr:uid="{F411C602-7CEE-40D4-94C6-34855E0B3ECC}"/>
    <cellStyle name="Normal 4 3 3 2 6 2 3 2" xfId="14995" xr:uid="{D3147B74-40DF-43E3-A0F8-E3013F400437}"/>
    <cellStyle name="Normal 4 3 3 2 6 2 4" xfId="5888" xr:uid="{D0E4C4B0-AAF2-41FD-830C-1AB612156CC1}"/>
    <cellStyle name="Normal 4 3 3 2 6 2 4 2" xfId="14996" xr:uid="{3EFF2C49-7C03-4500-AB3A-4CDBD5EFED79}"/>
    <cellStyle name="Normal 4 3 3 2 6 2 5" xfId="5889" xr:uid="{6B26B58F-0E1C-40CD-8755-052DB9CA0C83}"/>
    <cellStyle name="Normal 4 3 3 2 6 2 5 2" xfId="14997" xr:uid="{4F6F8FD3-873E-483F-945D-1868F7AB393F}"/>
    <cellStyle name="Normal 4 3 3 2 6 2 6" xfId="14991" xr:uid="{0EBE0689-6B9D-4B2C-9824-59FD94B5609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2 2" xfId="15000" xr:uid="{96BA741F-9CA6-4D9D-A597-3D19FB725BC0}"/>
    <cellStyle name="Normal 4 3 3 2 6 3 2 3" xfId="5893" xr:uid="{3251A9C6-37E0-41D7-A5A8-27DEE885D805}"/>
    <cellStyle name="Normal 4 3 3 2 6 3 2 3 2" xfId="15001" xr:uid="{F5014163-E5F3-4EE6-8EF9-70AA8CF36E19}"/>
    <cellStyle name="Normal 4 3 3 2 6 3 2 4" xfId="14999" xr:uid="{CA1EBDE1-27D2-4D1F-B636-A7F354E76C41}"/>
    <cellStyle name="Normal 4 3 3 2 6 3 3" xfId="5894" xr:uid="{F0051A8B-E7F7-4B18-A444-8EA8CF91EACA}"/>
    <cellStyle name="Normal 4 3 3 2 6 3 3 2" xfId="15002" xr:uid="{4B2D7422-BB37-42AB-BBBC-D28DD2BE919C}"/>
    <cellStyle name="Normal 4 3 3 2 6 3 4" xfId="5895" xr:uid="{72018117-1520-4951-9D2D-632FE9113D38}"/>
    <cellStyle name="Normal 4 3 3 2 6 3 4 2" xfId="15003" xr:uid="{47E4BEC0-6C22-49C8-8021-5722E718C520}"/>
    <cellStyle name="Normal 4 3 3 2 6 3 5" xfId="5896" xr:uid="{D03EE1C5-F573-4C9C-A7D3-9CB460C08B0D}"/>
    <cellStyle name="Normal 4 3 3 2 6 3 5 2" xfId="15004" xr:uid="{6CE2911E-36C7-4AB3-8A31-7D807F490AEE}"/>
    <cellStyle name="Normal 4 3 3 2 6 3 6" xfId="14998" xr:uid="{9AD0839C-E738-40F4-8D08-4E9B7CEC09DF}"/>
    <cellStyle name="Normal 4 3 3 2 6 4" xfId="5897" xr:uid="{3493F877-4D2B-4A8F-B7BA-02065592174F}"/>
    <cellStyle name="Normal 4 3 3 2 6 4 2" xfId="5898" xr:uid="{A26DF9F0-5F7B-4AC5-BDE6-2A7588E54E7F}"/>
    <cellStyle name="Normal 4 3 3 2 6 4 2 2" xfId="15006" xr:uid="{49F548E1-41C7-4AD7-B587-53FBB7ACB074}"/>
    <cellStyle name="Normal 4 3 3 2 6 4 3" xfId="5899" xr:uid="{C02BBDFD-1924-4D9B-8A7A-59979AA24FAF}"/>
    <cellStyle name="Normal 4 3 3 2 6 4 3 2" xfId="15007" xr:uid="{FEEC7A4C-D463-45E5-BC53-10C175921DE9}"/>
    <cellStyle name="Normal 4 3 3 2 6 4 4" xfId="15005" xr:uid="{E27E9A42-CCC5-4CCB-8A3D-791C64543F98}"/>
    <cellStyle name="Normal 4 3 3 2 6 5" xfId="5900" xr:uid="{02994E83-A68C-4F87-ADF3-2E44AFB8BE1C}"/>
    <cellStyle name="Normal 4 3 3 2 6 5 2" xfId="15008" xr:uid="{49869646-DEEC-400F-83F7-3B2A6688EE33}"/>
    <cellStyle name="Normal 4 3 3 2 6 6" xfId="5901" xr:uid="{D3BC9462-43F3-4EB1-9D90-F9B43CDCCFDD}"/>
    <cellStyle name="Normal 4 3 3 2 6 6 2" xfId="15009" xr:uid="{643616D6-BB80-4370-B115-AD8FDFF5CEA7}"/>
    <cellStyle name="Normal 4 3 3 2 6 7" xfId="5902" xr:uid="{82A7DA01-1FEE-497E-A1EA-BDEAFBC38395}"/>
    <cellStyle name="Normal 4 3 3 2 6 7 2" xfId="15010" xr:uid="{1BEF88F9-A74F-4355-BA53-7AC3E7CD9D2A}"/>
    <cellStyle name="Normal 4 3 3 2 6 8" xfId="14990" xr:uid="{B0440197-AFA1-4922-A994-297D897D572F}"/>
    <cellStyle name="Normal 4 3 3 2 7" xfId="5903" xr:uid="{ADBC65AB-A5EC-462B-BB4D-A19B954C4F18}"/>
    <cellStyle name="Normal 4 3 3 2 7 2" xfId="5904" xr:uid="{49562762-9BE0-442D-9E5C-CB780B68A181}"/>
    <cellStyle name="Normal 4 3 3 2 7 2 2" xfId="5905" xr:uid="{39820034-9E52-491C-B58A-7AD8FB4D4686}"/>
    <cellStyle name="Normal 4 3 3 2 7 2 2 2" xfId="15013" xr:uid="{06EEC40C-6E9B-4D05-B51C-816D60D0CF9D}"/>
    <cellStyle name="Normal 4 3 3 2 7 2 3" xfId="5906" xr:uid="{72F7EACE-3313-44E9-B432-92C700AE35E1}"/>
    <cellStyle name="Normal 4 3 3 2 7 2 3 2" xfId="15014" xr:uid="{06E2EF77-4A97-4557-BA04-F682FAF88E0F}"/>
    <cellStyle name="Normal 4 3 3 2 7 2 4" xfId="15012" xr:uid="{144593BA-AD30-49A1-9898-65B823166912}"/>
    <cellStyle name="Normal 4 3 3 2 7 3" xfId="5907" xr:uid="{4A19B50F-04F7-4558-8B13-AB95C1D36EB7}"/>
    <cellStyle name="Normal 4 3 3 2 7 3 2" xfId="15015" xr:uid="{AB3AE89B-A3CD-416D-A2CD-7D2200592B89}"/>
    <cellStyle name="Normal 4 3 3 2 7 4" xfId="5908" xr:uid="{A48CAF5D-2BD9-4936-83DC-118C349FD2B9}"/>
    <cellStyle name="Normal 4 3 3 2 7 4 2" xfId="15016" xr:uid="{FBC7E43A-6B42-48C1-8A54-176735DFA35A}"/>
    <cellStyle name="Normal 4 3 3 2 7 5" xfId="5909" xr:uid="{CCFB9FF4-1DF7-4A61-A6FA-65AF04D70B91}"/>
    <cellStyle name="Normal 4 3 3 2 7 5 2" xfId="15017" xr:uid="{5724B2E1-4829-4B39-8E86-0FA02F21EB44}"/>
    <cellStyle name="Normal 4 3 3 2 7 6" xfId="15011" xr:uid="{43AFAA84-BD98-4017-AFF0-4CF3F029E7D9}"/>
    <cellStyle name="Normal 4 3 3 2 8" xfId="5910" xr:uid="{80E70E05-0C2E-4EDE-80D5-A6251A0B43A6}"/>
    <cellStyle name="Normal 4 3 3 2 8 2" xfId="5911" xr:uid="{7C1D6435-56FD-4FCC-821D-6EE429B24356}"/>
    <cellStyle name="Normal 4 3 3 2 8 2 2" xfId="5912" xr:uid="{AEA6650D-B642-4EC1-ADF3-981655496A7E}"/>
    <cellStyle name="Normal 4 3 3 2 8 2 2 2" xfId="15020" xr:uid="{13A8EE00-2EDA-4F2C-B5BF-7C960619BBB5}"/>
    <cellStyle name="Normal 4 3 3 2 8 2 3" xfId="5913" xr:uid="{94DCCFA6-9638-44B8-80FD-8643D75239DB}"/>
    <cellStyle name="Normal 4 3 3 2 8 2 3 2" xfId="15021" xr:uid="{D79FC4FB-4120-4BCD-9AD5-32AEEA27B867}"/>
    <cellStyle name="Normal 4 3 3 2 8 2 4" xfId="15019" xr:uid="{5E6908FB-BBBD-4073-A553-694F048D4AA7}"/>
    <cellStyle name="Normal 4 3 3 2 8 3" xfId="5914" xr:uid="{F5E610B4-CC95-4BB9-9D3C-1D45DC236A3D}"/>
    <cellStyle name="Normal 4 3 3 2 8 3 2" xfId="15022" xr:uid="{3E49F458-8644-462B-92AB-4B91BB8BA468}"/>
    <cellStyle name="Normal 4 3 3 2 8 4" xfId="5915" xr:uid="{C99669D0-A349-4A68-9F75-DDC6A0C816FB}"/>
    <cellStyle name="Normal 4 3 3 2 8 4 2" xfId="15023" xr:uid="{A9FB05D0-213F-4EF1-ADE7-EC2384985AC0}"/>
    <cellStyle name="Normal 4 3 3 2 8 5" xfId="5916" xr:uid="{C4B2D0EE-CD2C-4877-839B-6A1ACAF283C1}"/>
    <cellStyle name="Normal 4 3 3 2 8 5 2" xfId="15024" xr:uid="{02C9F683-472A-4452-A4DD-9AFAACF7ADAA}"/>
    <cellStyle name="Normal 4 3 3 2 8 6" xfId="15018" xr:uid="{6443B7BD-E818-4514-A6DB-E5C006344024}"/>
    <cellStyle name="Normal 4 3 3 2 9" xfId="5917" xr:uid="{F2C85EAC-11E5-48D1-AA05-E3B3AE79CF58}"/>
    <cellStyle name="Normal 4 3 3 2 9 2" xfId="5918" xr:uid="{D3055DC8-A6D8-41CE-A53D-F1987D93EA6F}"/>
    <cellStyle name="Normal 4 3 3 2 9 2 2" xfId="15026" xr:uid="{6E9F4144-101F-45A1-B766-01180ACEF56F}"/>
    <cellStyle name="Normal 4 3 3 2 9 3" xfId="5919" xr:uid="{C2C7D322-9997-4DCE-828B-66445099E5E1}"/>
    <cellStyle name="Normal 4 3 3 2 9 3 2" xfId="15027" xr:uid="{532408A0-812E-4B1C-8D4D-0896C8932771}"/>
    <cellStyle name="Normal 4 3 3 2 9 4" xfId="15025" xr:uid="{F705A8EC-8AC6-419B-8C98-466102A50E2F}"/>
    <cellStyle name="Normal 4 3 3 3" xfId="5920" xr:uid="{192E4E58-0F5E-4F14-BF75-63040F1E3CDF}"/>
    <cellStyle name="Normal 4 3 3 3 10" xfId="15028" xr:uid="{54F43350-CAD2-4830-B238-23BB6B329369}"/>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2 2" xfId="15033" xr:uid="{47E66A98-2E23-4AAC-AD2C-5A6E5C836CAE}"/>
    <cellStyle name="Normal 4 3 3 3 2 2 2 2 3" xfId="5926" xr:uid="{EBA91647-04D2-497F-A516-17BF1CB74A38}"/>
    <cellStyle name="Normal 4 3 3 3 2 2 2 2 3 2" xfId="15034" xr:uid="{E5DEAE45-496F-432E-A9DE-B6DB78B2CD4D}"/>
    <cellStyle name="Normal 4 3 3 3 2 2 2 2 4" xfId="15032" xr:uid="{6A84B408-367B-4FC3-AE42-5E3748C5E0A9}"/>
    <cellStyle name="Normal 4 3 3 3 2 2 2 3" xfId="5927" xr:uid="{80780784-027B-4AED-9304-F383275B505A}"/>
    <cellStyle name="Normal 4 3 3 3 2 2 2 3 2" xfId="15035" xr:uid="{55D33A05-5E7A-4534-8B7E-B39D2D7F0F95}"/>
    <cellStyle name="Normal 4 3 3 3 2 2 2 4" xfId="5928" xr:uid="{27F170E7-56ED-4A01-971B-A48B16EFA276}"/>
    <cellStyle name="Normal 4 3 3 3 2 2 2 4 2" xfId="15036" xr:uid="{C84A92B0-EDDB-46DE-9F3B-66155685A710}"/>
    <cellStyle name="Normal 4 3 3 3 2 2 2 5" xfId="5929" xr:uid="{D69B4ADC-DDA0-4EE1-8D76-76BB9DB0A746}"/>
    <cellStyle name="Normal 4 3 3 3 2 2 2 5 2" xfId="15037" xr:uid="{91217CE0-0170-455F-ABA5-72AB5D69D1E4}"/>
    <cellStyle name="Normal 4 3 3 3 2 2 2 6" xfId="15031" xr:uid="{1E88E13D-5D21-427A-8C96-990053174FEA}"/>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2 2" xfId="15040" xr:uid="{CE27F89F-5E95-4BB3-97A4-ECE031BEB2F5}"/>
    <cellStyle name="Normal 4 3 3 3 2 2 3 2 3" xfId="5933" xr:uid="{7680CA99-FC33-4618-B543-5D406C2B4C04}"/>
    <cellStyle name="Normal 4 3 3 3 2 2 3 2 3 2" xfId="15041" xr:uid="{D7F9CD30-FC61-4509-82EA-68D0FAED64C7}"/>
    <cellStyle name="Normal 4 3 3 3 2 2 3 2 4" xfId="15039" xr:uid="{4C83973B-1903-4EE9-AE7B-E6505FE02DB3}"/>
    <cellStyle name="Normal 4 3 3 3 2 2 3 3" xfId="5934" xr:uid="{9A8DE98F-7D6E-4520-A797-89F4BF763965}"/>
    <cellStyle name="Normal 4 3 3 3 2 2 3 3 2" xfId="15042" xr:uid="{322DDF44-5A67-42A1-9FAF-A3AD790A61B7}"/>
    <cellStyle name="Normal 4 3 3 3 2 2 3 4" xfId="5935" xr:uid="{BA9DBB05-AA38-46A5-8D04-8B7A1E23C310}"/>
    <cellStyle name="Normal 4 3 3 3 2 2 3 4 2" xfId="15043" xr:uid="{75D39D65-5893-47B7-B7C9-7FAC88157268}"/>
    <cellStyle name="Normal 4 3 3 3 2 2 3 5" xfId="5936" xr:uid="{7719B61A-42E8-4B35-AC83-51AB4E9F4BE4}"/>
    <cellStyle name="Normal 4 3 3 3 2 2 3 5 2" xfId="15044" xr:uid="{05A674DE-E14A-481E-AAAE-F16915AC9E74}"/>
    <cellStyle name="Normal 4 3 3 3 2 2 3 6" xfId="15038" xr:uid="{CF8CEB50-6F41-451D-BE52-BA3CE73BD7C8}"/>
    <cellStyle name="Normal 4 3 3 3 2 2 4" xfId="5937" xr:uid="{A61BF2C5-E851-46B9-977E-609D5A2356EB}"/>
    <cellStyle name="Normal 4 3 3 3 2 2 4 2" xfId="5938" xr:uid="{44EF02D3-9155-41FC-8449-7F2CBD1B2050}"/>
    <cellStyle name="Normal 4 3 3 3 2 2 4 2 2" xfId="15046" xr:uid="{D40A67DB-70F4-4DBF-BE7F-04937A7FD0F0}"/>
    <cellStyle name="Normal 4 3 3 3 2 2 4 3" xfId="5939" xr:uid="{784E38D0-EE25-4E16-9A48-D2FF5FBDCC10}"/>
    <cellStyle name="Normal 4 3 3 3 2 2 4 3 2" xfId="15047" xr:uid="{BBEA32D4-C798-42B8-84C4-080FAC1248F4}"/>
    <cellStyle name="Normal 4 3 3 3 2 2 4 4" xfId="15045" xr:uid="{13F8E0B8-8150-4898-B3DB-B2B4B46C669B}"/>
    <cellStyle name="Normal 4 3 3 3 2 2 5" xfId="5940" xr:uid="{7612D152-B0FB-407F-8107-7526063D927F}"/>
    <cellStyle name="Normal 4 3 3 3 2 2 5 2" xfId="15048" xr:uid="{94C0CBA5-EE9B-47F9-876D-23D70F128E6B}"/>
    <cellStyle name="Normal 4 3 3 3 2 2 6" xfId="5941" xr:uid="{329DFC0D-E2C3-45B1-A430-2414FE58DAAC}"/>
    <cellStyle name="Normal 4 3 3 3 2 2 6 2" xfId="15049" xr:uid="{C163E2B6-0890-414D-845D-5E6C471BA3A5}"/>
    <cellStyle name="Normal 4 3 3 3 2 2 7" xfId="5942" xr:uid="{95B9053C-C5F2-4BBC-BA8B-A4D417C54C7C}"/>
    <cellStyle name="Normal 4 3 3 3 2 2 7 2" xfId="15050" xr:uid="{A818A94D-4B22-4C6C-AC01-AC6676DC56AB}"/>
    <cellStyle name="Normal 4 3 3 3 2 2 8" xfId="15030" xr:uid="{2CA80452-DCEF-44B3-9679-B4C9DAAA864E}"/>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2 2" xfId="15053" xr:uid="{675AB607-A1B7-456D-B28E-11FA7B5EA19D}"/>
    <cellStyle name="Normal 4 3 3 3 2 3 2 3" xfId="5946" xr:uid="{94CFC47D-E695-47F4-AE28-897008FBA6B4}"/>
    <cellStyle name="Normal 4 3 3 3 2 3 2 3 2" xfId="15054" xr:uid="{42375553-A87F-44C7-84AB-140BE1634F6D}"/>
    <cellStyle name="Normal 4 3 3 3 2 3 2 4" xfId="15052" xr:uid="{77F95FCB-5B13-42C2-B2D3-9ABAED2AB4CE}"/>
    <cellStyle name="Normal 4 3 3 3 2 3 3" xfId="5947" xr:uid="{EB72BBC6-1062-438D-8694-FD567994E4E5}"/>
    <cellStyle name="Normal 4 3 3 3 2 3 3 2" xfId="15055" xr:uid="{23BC5055-0126-4D1F-B0D8-4280F71FF09E}"/>
    <cellStyle name="Normal 4 3 3 3 2 3 4" xfId="5948" xr:uid="{5A054A1B-703A-4650-B488-50583964DBF7}"/>
    <cellStyle name="Normal 4 3 3 3 2 3 4 2" xfId="15056" xr:uid="{79FE5F5A-7610-4581-ACAF-984FCB131370}"/>
    <cellStyle name="Normal 4 3 3 3 2 3 5" xfId="5949" xr:uid="{510CC538-6443-4B59-A497-056E8F4D4222}"/>
    <cellStyle name="Normal 4 3 3 3 2 3 5 2" xfId="15057" xr:uid="{88795043-12CD-43AB-A4AA-FD74B7BCBB71}"/>
    <cellStyle name="Normal 4 3 3 3 2 3 6" xfId="15051" xr:uid="{62D5BB0A-27E5-48FC-B4BB-E8B6233F0C64}"/>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2 2" xfId="15060" xr:uid="{27E0B039-8BC8-47FE-BACF-D08EACCA4256}"/>
    <cellStyle name="Normal 4 3 3 3 2 4 2 3" xfId="5953" xr:uid="{5F8E3E90-54A7-4D1A-BC87-A4E5E586409F}"/>
    <cellStyle name="Normal 4 3 3 3 2 4 2 3 2" xfId="15061" xr:uid="{6E81EEA9-0FD9-457A-A3F1-41867B96C72E}"/>
    <cellStyle name="Normal 4 3 3 3 2 4 2 4" xfId="15059" xr:uid="{880CB347-5A06-413D-AF0D-F3BE61D8D672}"/>
    <cellStyle name="Normal 4 3 3 3 2 4 3" xfId="5954" xr:uid="{C4B64152-85F7-4BAC-881E-6A6B8E0605E5}"/>
    <cellStyle name="Normal 4 3 3 3 2 4 3 2" xfId="15062" xr:uid="{86E465C7-2A49-47FD-9D41-837166631D6D}"/>
    <cellStyle name="Normal 4 3 3 3 2 4 4" xfId="5955" xr:uid="{CEA81D74-D1D3-4442-9656-F44349DA4396}"/>
    <cellStyle name="Normal 4 3 3 3 2 4 4 2" xfId="15063" xr:uid="{324FAB8E-35CB-4F93-81E5-08378C7A2DC3}"/>
    <cellStyle name="Normal 4 3 3 3 2 4 5" xfId="5956" xr:uid="{72D102F0-7CC4-4116-BDEF-BA4BED72524A}"/>
    <cellStyle name="Normal 4 3 3 3 2 4 5 2" xfId="15064" xr:uid="{70F5F666-F8C1-46C3-A553-0A123E9C06C7}"/>
    <cellStyle name="Normal 4 3 3 3 2 4 6" xfId="15058" xr:uid="{C5A18E8F-6F8B-46A4-A2AF-FEED2E260356}"/>
    <cellStyle name="Normal 4 3 3 3 2 5" xfId="5957" xr:uid="{B9BFC96D-5E3C-4684-949F-EF8149D0DC9A}"/>
    <cellStyle name="Normal 4 3 3 3 2 5 2" xfId="5958" xr:uid="{D848E8B3-2145-480C-8C7B-CBC3742332FE}"/>
    <cellStyle name="Normal 4 3 3 3 2 5 2 2" xfId="15066" xr:uid="{77587893-669D-484B-BB0D-30AB9387F621}"/>
    <cellStyle name="Normal 4 3 3 3 2 5 3" xfId="5959" xr:uid="{69B92C6B-D8E2-4108-B404-40C446C8ADA2}"/>
    <cellStyle name="Normal 4 3 3 3 2 5 3 2" xfId="15067" xr:uid="{B01BDE40-999D-461A-AA15-E2B50FE3E54C}"/>
    <cellStyle name="Normal 4 3 3 3 2 5 4" xfId="15065" xr:uid="{2E369418-CCA7-4719-86A2-7774C30BDE2C}"/>
    <cellStyle name="Normal 4 3 3 3 2 6" xfId="5960" xr:uid="{8325F894-BFC2-46FD-ADE4-BC63DB410BE4}"/>
    <cellStyle name="Normal 4 3 3 3 2 6 2" xfId="15068" xr:uid="{B2E3495D-C888-42C8-B0ED-C38018DD9E7F}"/>
    <cellStyle name="Normal 4 3 3 3 2 7" xfId="5961" xr:uid="{55E4C90C-59B3-42C2-B2F5-A62F25D760FE}"/>
    <cellStyle name="Normal 4 3 3 3 2 7 2" xfId="15069" xr:uid="{ACCCCECC-111C-458F-A1E2-819311D2E292}"/>
    <cellStyle name="Normal 4 3 3 3 2 8" xfId="5962" xr:uid="{5E791069-2877-4873-95C6-B393036A74DB}"/>
    <cellStyle name="Normal 4 3 3 3 2 8 2" xfId="15070" xr:uid="{18EA326B-8476-474C-98AB-0BD7C567F815}"/>
    <cellStyle name="Normal 4 3 3 3 2 9" xfId="15029" xr:uid="{D795A2AF-7889-4AB0-AC16-672DEE363FEC}"/>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2 2" xfId="15074" xr:uid="{9ECC6B54-2BC7-4535-8199-5B82137783B9}"/>
    <cellStyle name="Normal 4 3 3 3 3 2 2 3" xfId="5967" xr:uid="{A454D0EE-8FFA-4F5E-9B2F-A71428CBA22B}"/>
    <cellStyle name="Normal 4 3 3 3 3 2 2 3 2" xfId="15075" xr:uid="{EA8602D5-1BF1-4ABF-9EF4-EB46A1F4BCD7}"/>
    <cellStyle name="Normal 4 3 3 3 3 2 2 4" xfId="15073" xr:uid="{6047EC02-3BCB-40BF-A805-91FEE9577004}"/>
    <cellStyle name="Normal 4 3 3 3 3 2 3" xfId="5968" xr:uid="{A6672AB2-5BE1-433F-8D26-5E2789875B1D}"/>
    <cellStyle name="Normal 4 3 3 3 3 2 3 2" xfId="15076" xr:uid="{5DF436D0-A1D0-41FC-BA0D-02B23C323E46}"/>
    <cellStyle name="Normal 4 3 3 3 3 2 4" xfId="5969" xr:uid="{2AC223CC-C09D-4669-B9EA-7A343960931E}"/>
    <cellStyle name="Normal 4 3 3 3 3 2 4 2" xfId="15077" xr:uid="{6944DF9F-BACC-45E2-A797-113DB45DE024}"/>
    <cellStyle name="Normal 4 3 3 3 3 2 5" xfId="5970" xr:uid="{7E2D0806-AA5A-4FA4-9C6B-66303556907E}"/>
    <cellStyle name="Normal 4 3 3 3 3 2 5 2" xfId="15078" xr:uid="{64242D01-8B48-4B7C-8B5D-9775B39DD860}"/>
    <cellStyle name="Normal 4 3 3 3 3 2 6" xfId="15072" xr:uid="{20354916-2DCF-44EA-B4A1-4805D1CB6210}"/>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2 2" xfId="15081" xr:uid="{295A4E8D-D95F-4C4F-85E5-FF67F4D8D383}"/>
    <cellStyle name="Normal 4 3 3 3 3 3 2 3" xfId="5974" xr:uid="{346B3D4E-4F61-48BE-AEF9-50FBFC74C8C3}"/>
    <cellStyle name="Normal 4 3 3 3 3 3 2 3 2" xfId="15082" xr:uid="{F23B18CC-E9BA-4CA5-98EE-30A7AFBEAE72}"/>
    <cellStyle name="Normal 4 3 3 3 3 3 2 4" xfId="15080" xr:uid="{7FC14BB0-D0FE-4407-A952-28294E0AA2CD}"/>
    <cellStyle name="Normal 4 3 3 3 3 3 3" xfId="5975" xr:uid="{C5A720DA-5D28-4105-8A11-5DBD2EDC5098}"/>
    <cellStyle name="Normal 4 3 3 3 3 3 3 2" xfId="15083" xr:uid="{7F3E615C-03FD-4084-A342-E4043E350305}"/>
    <cellStyle name="Normal 4 3 3 3 3 3 4" xfId="5976" xr:uid="{C06DA7DB-BDA7-42DA-BE60-D0451F0E8B7F}"/>
    <cellStyle name="Normal 4 3 3 3 3 3 4 2" xfId="15084" xr:uid="{0536A48B-9789-4B52-B7F6-7C1418F38627}"/>
    <cellStyle name="Normal 4 3 3 3 3 3 5" xfId="5977" xr:uid="{E4F51406-95AE-4A70-B440-385CD79DC10F}"/>
    <cellStyle name="Normal 4 3 3 3 3 3 5 2" xfId="15085" xr:uid="{FAECF80D-3072-4AC0-96A3-9168C743C274}"/>
    <cellStyle name="Normal 4 3 3 3 3 3 6" xfId="15079" xr:uid="{1780117B-1C0B-4A39-AE91-43219BC5CAA0}"/>
    <cellStyle name="Normal 4 3 3 3 3 4" xfId="5978" xr:uid="{6DB3AA86-7BBF-4EBB-87A2-D35728D8423A}"/>
    <cellStyle name="Normal 4 3 3 3 3 4 2" xfId="5979" xr:uid="{ADD2611B-E271-4DB7-BB95-715F15291B99}"/>
    <cellStyle name="Normal 4 3 3 3 3 4 2 2" xfId="15087" xr:uid="{A2834ADB-2301-4B54-9469-ACFCA7F03F1F}"/>
    <cellStyle name="Normal 4 3 3 3 3 4 3" xfId="5980" xr:uid="{C5E70169-40C6-48E5-9783-A8DF0A9D86F6}"/>
    <cellStyle name="Normal 4 3 3 3 3 4 3 2" xfId="15088" xr:uid="{15816668-1F97-4AD2-BF6D-4A1B0C749D9A}"/>
    <cellStyle name="Normal 4 3 3 3 3 4 4" xfId="15086" xr:uid="{7B0266C6-C26E-4654-915C-032EB1E6158C}"/>
    <cellStyle name="Normal 4 3 3 3 3 5" xfId="5981" xr:uid="{DC888DC2-D9B7-4E79-B83C-20832DAC1AF6}"/>
    <cellStyle name="Normal 4 3 3 3 3 5 2" xfId="15089" xr:uid="{A3C3E943-4E3F-444D-99B7-088A64235DFA}"/>
    <cellStyle name="Normal 4 3 3 3 3 6" xfId="5982" xr:uid="{B1298C25-6B77-4E91-A2AD-CE2A6225EDF6}"/>
    <cellStyle name="Normal 4 3 3 3 3 6 2" xfId="15090" xr:uid="{B672DB61-3599-4895-AE08-6204E08F059F}"/>
    <cellStyle name="Normal 4 3 3 3 3 7" xfId="5983" xr:uid="{0061FB74-06FA-4923-BF54-E735864AE952}"/>
    <cellStyle name="Normal 4 3 3 3 3 7 2" xfId="15091" xr:uid="{768C00F3-23F0-4555-9688-F32D60680E4D}"/>
    <cellStyle name="Normal 4 3 3 3 3 8" xfId="15071" xr:uid="{516B8641-433F-4BD0-8AC3-9E3304196756}"/>
    <cellStyle name="Normal 4 3 3 3 4" xfId="5984" xr:uid="{9AD6A0CF-B1FE-4094-A96F-AA428107AF02}"/>
    <cellStyle name="Normal 4 3 3 3 4 2" xfId="5985" xr:uid="{66D44853-016F-481F-BBB1-6D5C8220ED93}"/>
    <cellStyle name="Normal 4 3 3 3 4 2 2" xfId="5986" xr:uid="{0A6B68A9-70C4-41CD-96A3-C5944E66F9C6}"/>
    <cellStyle name="Normal 4 3 3 3 4 2 2 2" xfId="15094" xr:uid="{30698B76-5B8B-498B-BA45-CD94E541968F}"/>
    <cellStyle name="Normal 4 3 3 3 4 2 3" xfId="5987" xr:uid="{BD5F6321-E286-46CE-B139-F89A6447E71B}"/>
    <cellStyle name="Normal 4 3 3 3 4 2 3 2" xfId="15095" xr:uid="{D031D630-37DC-4057-A1AB-DDC487F17B35}"/>
    <cellStyle name="Normal 4 3 3 3 4 2 4" xfId="15093" xr:uid="{3A9061BD-24F6-462B-B9AE-BC992112C934}"/>
    <cellStyle name="Normal 4 3 3 3 4 3" xfId="5988" xr:uid="{7147470A-753E-4EED-A7D1-019AEAFF256A}"/>
    <cellStyle name="Normal 4 3 3 3 4 3 2" xfId="15096" xr:uid="{9B65C79C-50B6-4156-AE53-69EA2499F64C}"/>
    <cellStyle name="Normal 4 3 3 3 4 4" xfId="5989" xr:uid="{BE57F769-BAB2-406B-90D9-E8E9E94651E3}"/>
    <cellStyle name="Normal 4 3 3 3 4 4 2" xfId="15097" xr:uid="{98D56BC5-0C6B-41F6-BFF5-75B3C9C139CA}"/>
    <cellStyle name="Normal 4 3 3 3 4 5" xfId="5990" xr:uid="{F7627974-0F7F-48A2-88C0-E11D8DF6A83E}"/>
    <cellStyle name="Normal 4 3 3 3 4 5 2" xfId="15098" xr:uid="{B1CD5EF5-F542-4695-8AFD-757B53474EA7}"/>
    <cellStyle name="Normal 4 3 3 3 4 6" xfId="15092" xr:uid="{7F15AD02-A5B7-4F22-BE4F-98A5C99B2609}"/>
    <cellStyle name="Normal 4 3 3 3 5" xfId="5991" xr:uid="{4130CE72-4BE1-4FBA-8339-A888BD5DF3B9}"/>
    <cellStyle name="Normal 4 3 3 3 5 2" xfId="5992" xr:uid="{1461E70F-4911-4105-B0FC-A1C33A9274BC}"/>
    <cellStyle name="Normal 4 3 3 3 5 2 2" xfId="5993" xr:uid="{28A3CF37-0EE4-4427-AD0A-59D7945D0FC6}"/>
    <cellStyle name="Normal 4 3 3 3 5 2 2 2" xfId="15101" xr:uid="{551411DD-3B41-4F61-A32E-5CB71C51865F}"/>
    <cellStyle name="Normal 4 3 3 3 5 2 3" xfId="5994" xr:uid="{4E7D0780-450F-4199-A581-0CD95170A8E0}"/>
    <cellStyle name="Normal 4 3 3 3 5 2 3 2" xfId="15102" xr:uid="{69BE5085-A80F-43DC-A7CE-49089E87FABD}"/>
    <cellStyle name="Normal 4 3 3 3 5 2 4" xfId="15100" xr:uid="{C01946D1-9094-49D8-8D7A-0D44F918CDD4}"/>
    <cellStyle name="Normal 4 3 3 3 5 3" xfId="5995" xr:uid="{11795D7B-5DBB-498F-896C-C877826920EF}"/>
    <cellStyle name="Normal 4 3 3 3 5 3 2" xfId="15103" xr:uid="{01C9A04F-C95D-4471-B2A5-64D73C042844}"/>
    <cellStyle name="Normal 4 3 3 3 5 4" xfId="5996" xr:uid="{EE9C8034-4BF3-447C-9DE3-8523CA32DA4E}"/>
    <cellStyle name="Normal 4 3 3 3 5 4 2" xfId="15104" xr:uid="{152DF01C-9CF6-4E5B-9265-9F099DE97853}"/>
    <cellStyle name="Normal 4 3 3 3 5 5" xfId="5997" xr:uid="{D4781728-FBD4-41FA-9ED5-137BDEA617EE}"/>
    <cellStyle name="Normal 4 3 3 3 5 5 2" xfId="15105" xr:uid="{F6EBC000-C2FF-4CA7-B9B2-9D2998946C85}"/>
    <cellStyle name="Normal 4 3 3 3 5 6" xfId="15099" xr:uid="{E7313588-9001-420C-A412-0072A54B0768}"/>
    <cellStyle name="Normal 4 3 3 3 6" xfId="5998" xr:uid="{584C6DC5-F290-4BC8-89F3-5E5640C25D83}"/>
    <cellStyle name="Normal 4 3 3 3 6 2" xfId="5999" xr:uid="{271078CD-EEE0-4004-B27A-7754DE6A8E94}"/>
    <cellStyle name="Normal 4 3 3 3 6 2 2" xfId="15107" xr:uid="{FF9DCB3E-3866-43BC-AD89-23037F12A8B3}"/>
    <cellStyle name="Normal 4 3 3 3 6 3" xfId="6000" xr:uid="{0829F4ED-0F1A-4646-AB5A-1DD1AD3F9329}"/>
    <cellStyle name="Normal 4 3 3 3 6 3 2" xfId="15108" xr:uid="{FFED954B-8BB8-48A1-9D2E-160AD829CE56}"/>
    <cellStyle name="Normal 4 3 3 3 6 4" xfId="15106" xr:uid="{A13A8A37-2EBD-4075-9078-10BB399D2B50}"/>
    <cellStyle name="Normal 4 3 3 3 7" xfId="6001" xr:uid="{A76CB6AA-EC54-4CB4-91B8-23B41AA988B0}"/>
    <cellStyle name="Normal 4 3 3 3 7 2" xfId="15109" xr:uid="{6BDB9D21-5D38-4029-B065-8A828B53E0D8}"/>
    <cellStyle name="Normal 4 3 3 3 8" xfId="6002" xr:uid="{1D6C6B64-3811-4397-9D94-DE4DAB8C72CC}"/>
    <cellStyle name="Normal 4 3 3 3 8 2" xfId="15110" xr:uid="{4CA58FD0-40E2-4C4C-BA25-109B31A42AAB}"/>
    <cellStyle name="Normal 4 3 3 3 9" xfId="6003" xr:uid="{2E4086EC-0F9B-4EBC-8CE2-140EB20413A5}"/>
    <cellStyle name="Normal 4 3 3 3 9 2" xfId="15111" xr:uid="{DE105995-C2F8-4421-B0C9-DD32B4D81817}"/>
    <cellStyle name="Normal 4 3 3 4" xfId="6004" xr:uid="{821EF586-699F-4700-A8FE-D8CD6B08C544}"/>
    <cellStyle name="Normal 4 3 3 4 10" xfId="15112" xr:uid="{60C69B4A-B282-48C9-A7A1-6E8E7D21919D}"/>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2 2" xfId="15117" xr:uid="{2EF6CAB1-2865-42A2-8909-C6B3B0C5831F}"/>
    <cellStyle name="Normal 4 3 3 4 2 2 2 2 3" xfId="6010" xr:uid="{08BBD8DC-8A28-40C4-BA9E-1CB22AA7A8F9}"/>
    <cellStyle name="Normal 4 3 3 4 2 2 2 2 3 2" xfId="15118" xr:uid="{BF03DB96-6DC6-43AC-ADF2-6C4D54BCD138}"/>
    <cellStyle name="Normal 4 3 3 4 2 2 2 2 4" xfId="15116" xr:uid="{A2D94E52-1837-4196-A61A-6725F7C42351}"/>
    <cellStyle name="Normal 4 3 3 4 2 2 2 3" xfId="6011" xr:uid="{7B925645-EC3B-4601-B30E-02320E7317C4}"/>
    <cellStyle name="Normal 4 3 3 4 2 2 2 3 2" xfId="15119" xr:uid="{9B940C3E-B469-4D64-BDF0-DA73218E005F}"/>
    <cellStyle name="Normal 4 3 3 4 2 2 2 4" xfId="6012" xr:uid="{8DD2AFDA-BAEE-438C-BA87-687E27514E24}"/>
    <cellStyle name="Normal 4 3 3 4 2 2 2 4 2" xfId="15120" xr:uid="{CC593278-E056-4200-9562-BC1B68C70C61}"/>
    <cellStyle name="Normal 4 3 3 4 2 2 2 5" xfId="6013" xr:uid="{448A4557-1553-4D36-8D9F-ADEA940D63DD}"/>
    <cellStyle name="Normal 4 3 3 4 2 2 2 5 2" xfId="15121" xr:uid="{FECFFC80-191B-4F3B-BEA7-93CF50D76225}"/>
    <cellStyle name="Normal 4 3 3 4 2 2 2 6" xfId="15115" xr:uid="{15C798C7-D4EA-4573-A1E6-ADD2DABF76FE}"/>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2 2" xfId="15124" xr:uid="{C079953A-BE0A-4C98-8359-4E26AA784903}"/>
    <cellStyle name="Normal 4 3 3 4 2 2 3 2 3" xfId="6017" xr:uid="{9B87FB3F-820E-4482-A164-321E5515EB97}"/>
    <cellStyle name="Normal 4 3 3 4 2 2 3 2 3 2" xfId="15125" xr:uid="{D9751CD6-6862-4CA3-BEB8-94819F9049CC}"/>
    <cellStyle name="Normal 4 3 3 4 2 2 3 2 4" xfId="15123" xr:uid="{B20D03BD-5173-4350-B5A3-1A7AE4ED1E8D}"/>
    <cellStyle name="Normal 4 3 3 4 2 2 3 3" xfId="6018" xr:uid="{9BDC0A12-CB44-4FE8-A84F-284220BEC64A}"/>
    <cellStyle name="Normal 4 3 3 4 2 2 3 3 2" xfId="15126" xr:uid="{BED9BEA9-0F48-477F-B693-879E6205155F}"/>
    <cellStyle name="Normal 4 3 3 4 2 2 3 4" xfId="6019" xr:uid="{496B67EA-F969-4BF8-99B4-100CD0B7AA76}"/>
    <cellStyle name="Normal 4 3 3 4 2 2 3 4 2" xfId="15127" xr:uid="{99D032C6-C646-4FAC-BC9D-0D3B96110C28}"/>
    <cellStyle name="Normal 4 3 3 4 2 2 3 5" xfId="6020" xr:uid="{F8C811A4-7953-482B-AEB3-F62F80A00E40}"/>
    <cellStyle name="Normal 4 3 3 4 2 2 3 5 2" xfId="15128" xr:uid="{09CF336A-C023-4699-BD39-42E59A1BEED1}"/>
    <cellStyle name="Normal 4 3 3 4 2 2 3 6" xfId="15122" xr:uid="{BCF977DB-8EB4-4519-AA7D-1AD33DBA3C13}"/>
    <cellStyle name="Normal 4 3 3 4 2 2 4" xfId="6021" xr:uid="{29CA3C36-9E4D-4613-A9B4-1BB4271FE2B3}"/>
    <cellStyle name="Normal 4 3 3 4 2 2 4 2" xfId="6022" xr:uid="{4D4DFDAD-24A5-4F70-904B-920256B91D97}"/>
    <cellStyle name="Normal 4 3 3 4 2 2 4 2 2" xfId="15130" xr:uid="{D962F0E7-F7CB-4449-990C-37955F25CD89}"/>
    <cellStyle name="Normal 4 3 3 4 2 2 4 3" xfId="6023" xr:uid="{CFD99E87-B068-4055-88E5-AC403769B9CF}"/>
    <cellStyle name="Normal 4 3 3 4 2 2 4 3 2" xfId="15131" xr:uid="{DBCF1B73-4D5F-4D1B-9D6E-D1DED0ED1F5B}"/>
    <cellStyle name="Normal 4 3 3 4 2 2 4 4" xfId="15129" xr:uid="{71A03F38-F60A-43E7-A42C-4FE2976084F8}"/>
    <cellStyle name="Normal 4 3 3 4 2 2 5" xfId="6024" xr:uid="{8AEF77B2-7A3C-4BCD-8064-9336F0D8A73D}"/>
    <cellStyle name="Normal 4 3 3 4 2 2 5 2" xfId="15132" xr:uid="{E85956AD-C9C7-44AA-AD3C-5879F987204B}"/>
    <cellStyle name="Normal 4 3 3 4 2 2 6" xfId="6025" xr:uid="{20503A6C-53F0-4270-A87B-DAFA8B879615}"/>
    <cellStyle name="Normal 4 3 3 4 2 2 6 2" xfId="15133" xr:uid="{EAAFF9C8-D1BC-4427-8F99-D27949B87195}"/>
    <cellStyle name="Normal 4 3 3 4 2 2 7" xfId="6026" xr:uid="{CF8D0E56-3F34-490A-B6C1-12505B7C6929}"/>
    <cellStyle name="Normal 4 3 3 4 2 2 7 2" xfId="15134" xr:uid="{5223F61A-8B4E-4992-9F78-2F5EBDE75E85}"/>
    <cellStyle name="Normal 4 3 3 4 2 2 8" xfId="15114" xr:uid="{0A29C801-AB93-4D39-AD2D-ED8B91AEF6A8}"/>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2 2" xfId="15137" xr:uid="{6CCB0A8E-AEC1-4280-AC2B-45B280105569}"/>
    <cellStyle name="Normal 4 3 3 4 2 3 2 3" xfId="6030" xr:uid="{E9181530-58F1-48D1-A248-01A2CD41D60E}"/>
    <cellStyle name="Normal 4 3 3 4 2 3 2 3 2" xfId="15138" xr:uid="{0C82A35F-6D3A-4834-B0D9-7AF019290BE0}"/>
    <cellStyle name="Normal 4 3 3 4 2 3 2 4" xfId="15136" xr:uid="{3DA9D50B-FF2B-4BAB-999C-A231D245F5D9}"/>
    <cellStyle name="Normal 4 3 3 4 2 3 3" xfId="6031" xr:uid="{1C9D7BE7-32BA-4A0E-B080-64DACC2B374D}"/>
    <cellStyle name="Normal 4 3 3 4 2 3 3 2" xfId="15139" xr:uid="{FBB867D7-557B-482B-AAE6-CBA5830C22E0}"/>
    <cellStyle name="Normal 4 3 3 4 2 3 4" xfId="6032" xr:uid="{7BDEEC72-0839-4A54-8468-65AE11A2905C}"/>
    <cellStyle name="Normal 4 3 3 4 2 3 4 2" xfId="15140" xr:uid="{1339BFCE-A83F-4220-B9F3-B06EBD3032DB}"/>
    <cellStyle name="Normal 4 3 3 4 2 3 5" xfId="6033" xr:uid="{C0FA8544-C01C-46E9-8BA9-DD90967C966B}"/>
    <cellStyle name="Normal 4 3 3 4 2 3 5 2" xfId="15141" xr:uid="{2B6E428A-E7CE-47E6-9052-E3C17153BE8F}"/>
    <cellStyle name="Normal 4 3 3 4 2 3 6" xfId="15135" xr:uid="{D94B1378-06F3-4491-ACBE-CF2C6ED1201E}"/>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2 2" xfId="15144" xr:uid="{33A3F79B-DD26-4ADF-9361-5D30782F8A1D}"/>
    <cellStyle name="Normal 4 3 3 4 2 4 2 3" xfId="6037" xr:uid="{A6EF487C-17D8-479B-8793-E8F9C9C01EB8}"/>
    <cellStyle name="Normal 4 3 3 4 2 4 2 3 2" xfId="15145" xr:uid="{11C1BAE3-6620-46FC-82A6-1A212B4400A9}"/>
    <cellStyle name="Normal 4 3 3 4 2 4 2 4" xfId="15143" xr:uid="{7809C9F9-5E3E-4FB0-9E9A-0FD11FD63D98}"/>
    <cellStyle name="Normal 4 3 3 4 2 4 3" xfId="6038" xr:uid="{B59520AD-4143-48D5-9CCD-42E7EB30628B}"/>
    <cellStyle name="Normal 4 3 3 4 2 4 3 2" xfId="15146" xr:uid="{7F32F01D-081D-40F1-9F3F-8ED06FCE96C6}"/>
    <cellStyle name="Normal 4 3 3 4 2 4 4" xfId="6039" xr:uid="{9630E69F-3257-4A0D-8060-4C9F59B1C56B}"/>
    <cellStyle name="Normal 4 3 3 4 2 4 4 2" xfId="15147" xr:uid="{5630EF13-4784-4F17-97E8-148927A9A74F}"/>
    <cellStyle name="Normal 4 3 3 4 2 4 5" xfId="6040" xr:uid="{836C7B65-0933-4194-9BA0-E0C54341A06B}"/>
    <cellStyle name="Normal 4 3 3 4 2 4 5 2" xfId="15148" xr:uid="{FAC482D2-70D3-4FEA-B0C8-A039109773B9}"/>
    <cellStyle name="Normal 4 3 3 4 2 4 6" xfId="15142" xr:uid="{A16F01BD-8AC7-4BEB-82EC-8F4E0C9BCB13}"/>
    <cellStyle name="Normal 4 3 3 4 2 5" xfId="6041" xr:uid="{B8F17737-50D1-43B6-98D8-E59EB89CBA7F}"/>
    <cellStyle name="Normal 4 3 3 4 2 5 2" xfId="6042" xr:uid="{5060B7BE-285F-47AD-A2F2-AEA493078584}"/>
    <cellStyle name="Normal 4 3 3 4 2 5 2 2" xfId="15150" xr:uid="{1676CA67-02D8-4266-9FF3-13D10561A85F}"/>
    <cellStyle name="Normal 4 3 3 4 2 5 3" xfId="6043" xr:uid="{A8E635BF-FCE1-4AB7-A8D3-02BEC7A71FEE}"/>
    <cellStyle name="Normal 4 3 3 4 2 5 3 2" xfId="15151" xr:uid="{88B11A59-CE8B-443B-9ED9-8DAA92BCDDC9}"/>
    <cellStyle name="Normal 4 3 3 4 2 5 4" xfId="15149" xr:uid="{2E47DAD9-3FE7-40B5-AF26-967E72432582}"/>
    <cellStyle name="Normal 4 3 3 4 2 6" xfId="6044" xr:uid="{3CE3F6F6-9D06-47AC-B1F3-C6E21D2A45A8}"/>
    <cellStyle name="Normal 4 3 3 4 2 6 2" xfId="15152" xr:uid="{D50B6F4F-FDD9-4A7E-9B16-B41B8B6A09D8}"/>
    <cellStyle name="Normal 4 3 3 4 2 7" xfId="6045" xr:uid="{88D3001F-DCBF-4CF1-82D1-318F70D4EB34}"/>
    <cellStyle name="Normal 4 3 3 4 2 7 2" xfId="15153" xr:uid="{62A0A4F1-11B1-4D84-8131-57C776697CAE}"/>
    <cellStyle name="Normal 4 3 3 4 2 8" xfId="6046" xr:uid="{944F0EC3-1B88-4AAE-9FC3-962D9F8C140B}"/>
    <cellStyle name="Normal 4 3 3 4 2 8 2" xfId="15154" xr:uid="{C9A9E2E0-72B1-40A9-8C53-3DF1D859941E}"/>
    <cellStyle name="Normal 4 3 3 4 2 9" xfId="15113" xr:uid="{895B9AEC-F304-4146-A801-8C2C58507819}"/>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2 2" xfId="15158" xr:uid="{28A6FA24-40D1-4452-A528-22FCF23D7E3E}"/>
    <cellStyle name="Normal 4 3 3 4 3 2 2 3" xfId="6051" xr:uid="{7801EB23-392A-4A33-97DD-D0D1B906D8C6}"/>
    <cellStyle name="Normal 4 3 3 4 3 2 2 3 2" xfId="15159" xr:uid="{70A55D59-B11D-4B6D-86C4-DBDDED4B7427}"/>
    <cellStyle name="Normal 4 3 3 4 3 2 2 4" xfId="15157" xr:uid="{80EC12D2-34A2-4989-9C1A-AC14C1C8C82A}"/>
    <cellStyle name="Normal 4 3 3 4 3 2 3" xfId="6052" xr:uid="{8AE651A0-E9A6-4C26-BB1C-3CB4540DB63D}"/>
    <cellStyle name="Normal 4 3 3 4 3 2 3 2" xfId="15160" xr:uid="{68C3EBD3-5B64-4CE4-AD45-6146F7DD7FB8}"/>
    <cellStyle name="Normal 4 3 3 4 3 2 4" xfId="6053" xr:uid="{30F6B223-51D4-4850-8E8F-B25113A75F75}"/>
    <cellStyle name="Normal 4 3 3 4 3 2 4 2" xfId="15161" xr:uid="{7BE5E1F0-8A45-4A61-9322-E8921DD64A38}"/>
    <cellStyle name="Normal 4 3 3 4 3 2 5" xfId="6054" xr:uid="{702EF887-F0C4-4E2A-9D39-8DBDB68A2F2E}"/>
    <cellStyle name="Normal 4 3 3 4 3 2 5 2" xfId="15162" xr:uid="{67813C11-1E44-4CEE-80B9-EA69D8E0D39B}"/>
    <cellStyle name="Normal 4 3 3 4 3 2 6" xfId="15156" xr:uid="{5657F7E8-BA14-4473-BF64-BE7D20B57863}"/>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2 2" xfId="15165" xr:uid="{76DBEF0F-F5EF-41DF-93C6-2BF67DE1A6DF}"/>
    <cellStyle name="Normal 4 3 3 4 3 3 2 3" xfId="6058" xr:uid="{FC74533C-3CB5-44BC-97A9-E7A3F46305C7}"/>
    <cellStyle name="Normal 4 3 3 4 3 3 2 3 2" xfId="15166" xr:uid="{B523938F-F862-40D4-B139-ABB8D73B378D}"/>
    <cellStyle name="Normal 4 3 3 4 3 3 2 4" xfId="15164" xr:uid="{DF43E844-CF79-431A-B8BA-7AF949D18189}"/>
    <cellStyle name="Normal 4 3 3 4 3 3 3" xfId="6059" xr:uid="{0F29318C-FD78-43C5-B40C-464192A9B621}"/>
    <cellStyle name="Normal 4 3 3 4 3 3 3 2" xfId="15167" xr:uid="{217DA4FD-B29D-4341-BBBD-EA6A0D289CB5}"/>
    <cellStyle name="Normal 4 3 3 4 3 3 4" xfId="6060" xr:uid="{3CF88ACB-7827-4194-8D29-44DD436E42E1}"/>
    <cellStyle name="Normal 4 3 3 4 3 3 4 2" xfId="15168" xr:uid="{553C2ADF-62CE-47A8-A194-C8ED600AB8CA}"/>
    <cellStyle name="Normal 4 3 3 4 3 3 5" xfId="6061" xr:uid="{010DD1CB-3AB1-4306-99AD-BE65CB08CCF8}"/>
    <cellStyle name="Normal 4 3 3 4 3 3 5 2" xfId="15169" xr:uid="{5B762468-69D4-432F-9E26-6DECD53BEACC}"/>
    <cellStyle name="Normal 4 3 3 4 3 3 6" xfId="15163" xr:uid="{D1006A72-2018-4BB5-BB1C-55273A29EBC9}"/>
    <cellStyle name="Normal 4 3 3 4 3 4" xfId="6062" xr:uid="{E9BFC648-5E04-45D0-8695-52D8CAF611BD}"/>
    <cellStyle name="Normal 4 3 3 4 3 4 2" xfId="6063" xr:uid="{33B37A2F-B7E5-47C8-99EA-E40CDC46D19B}"/>
    <cellStyle name="Normal 4 3 3 4 3 4 2 2" xfId="15171" xr:uid="{92A70146-8D39-4139-85D4-99D4D919E0E1}"/>
    <cellStyle name="Normal 4 3 3 4 3 4 3" xfId="6064" xr:uid="{3BEDDA18-EDC0-4245-8771-740FC9E25888}"/>
    <cellStyle name="Normal 4 3 3 4 3 4 3 2" xfId="15172" xr:uid="{7E0E3FBE-0A10-4445-8E0E-AD37366C2ADE}"/>
    <cellStyle name="Normal 4 3 3 4 3 4 4" xfId="15170" xr:uid="{7F94E4D6-BABA-4B88-A8A9-9BF77C3E349D}"/>
    <cellStyle name="Normal 4 3 3 4 3 5" xfId="6065" xr:uid="{26EDBEDE-91D4-4A27-9F1B-1EF4EDDDB161}"/>
    <cellStyle name="Normal 4 3 3 4 3 5 2" xfId="15173" xr:uid="{F626A12E-5462-466C-BB1A-BBE8463D4910}"/>
    <cellStyle name="Normal 4 3 3 4 3 6" xfId="6066" xr:uid="{13DE1C63-E02B-4ED5-9C04-D05BE5F9A8D5}"/>
    <cellStyle name="Normal 4 3 3 4 3 6 2" xfId="15174" xr:uid="{02E940F9-F697-47FB-82F2-130616736637}"/>
    <cellStyle name="Normal 4 3 3 4 3 7" xfId="6067" xr:uid="{C262D0DA-5099-4E6C-BAE4-D7D3B439CDC9}"/>
    <cellStyle name="Normal 4 3 3 4 3 7 2" xfId="15175" xr:uid="{CAA05735-A768-4C4D-AF29-A5AB788BAA34}"/>
    <cellStyle name="Normal 4 3 3 4 3 8" xfId="15155" xr:uid="{D33F8F51-FDC0-4CF0-904E-8B3255E570E7}"/>
    <cellStyle name="Normal 4 3 3 4 4" xfId="6068" xr:uid="{F680A287-C899-4663-B512-E65DF2F78AD7}"/>
    <cellStyle name="Normal 4 3 3 4 4 2" xfId="6069" xr:uid="{4A66E338-CB2B-4488-80F8-1710075F9732}"/>
    <cellStyle name="Normal 4 3 3 4 4 2 2" xfId="6070" xr:uid="{1B110736-8FC8-4A11-BB74-B67C83FF8599}"/>
    <cellStyle name="Normal 4 3 3 4 4 2 2 2" xfId="15178" xr:uid="{0863BE9B-38BF-40BD-8DEB-D6A85CC0E956}"/>
    <cellStyle name="Normal 4 3 3 4 4 2 3" xfId="6071" xr:uid="{814AF660-473C-4F13-BB25-70B19E8B3A18}"/>
    <cellStyle name="Normal 4 3 3 4 4 2 3 2" xfId="15179" xr:uid="{85B0BDBC-703D-4B42-BAEF-C853CFA83082}"/>
    <cellStyle name="Normal 4 3 3 4 4 2 4" xfId="15177" xr:uid="{D276A87A-7056-4955-B2B2-121EACC1C89F}"/>
    <cellStyle name="Normal 4 3 3 4 4 3" xfId="6072" xr:uid="{84B9687F-D556-4BB9-BF72-C7CD3559706F}"/>
    <cellStyle name="Normal 4 3 3 4 4 3 2" xfId="15180" xr:uid="{E810A730-3C38-4299-8CFD-634F65485108}"/>
    <cellStyle name="Normal 4 3 3 4 4 4" xfId="6073" xr:uid="{907CCF1B-ED0C-4789-BD2E-842A275F79F1}"/>
    <cellStyle name="Normal 4 3 3 4 4 4 2" xfId="15181" xr:uid="{512A1CE6-DD65-480C-B14A-033BCC3DD811}"/>
    <cellStyle name="Normal 4 3 3 4 4 5" xfId="6074" xr:uid="{418F42F8-2EF3-4A4A-9945-5C95C44BD17B}"/>
    <cellStyle name="Normal 4 3 3 4 4 5 2" xfId="15182" xr:uid="{12F301F4-9EB1-4C19-93F2-9449A5B065E1}"/>
    <cellStyle name="Normal 4 3 3 4 4 6" xfId="15176" xr:uid="{CCCB9D67-B934-46EB-AF34-1831D2CED3D1}"/>
    <cellStyle name="Normal 4 3 3 4 5" xfId="6075" xr:uid="{00B2773B-B69C-4C43-A874-1B7A9B015FC4}"/>
    <cellStyle name="Normal 4 3 3 4 5 2" xfId="6076" xr:uid="{ED7B2E72-448A-4367-9E8F-F51A94E78586}"/>
    <cellStyle name="Normal 4 3 3 4 5 2 2" xfId="6077" xr:uid="{14D1D208-E82B-47DE-9B69-292E5F1303CE}"/>
    <cellStyle name="Normal 4 3 3 4 5 2 2 2" xfId="15185" xr:uid="{EF3107A4-3CF6-4400-9733-65C4B94E2BA0}"/>
    <cellStyle name="Normal 4 3 3 4 5 2 3" xfId="6078" xr:uid="{CFC230CC-0290-4518-A5E2-08A6EB91DD62}"/>
    <cellStyle name="Normal 4 3 3 4 5 2 3 2" xfId="15186" xr:uid="{117DA23A-4B97-4263-981D-970369344B7D}"/>
    <cellStyle name="Normal 4 3 3 4 5 2 4" xfId="15184" xr:uid="{CB21F6E8-CA25-45A8-8D4D-360D3BA14817}"/>
    <cellStyle name="Normal 4 3 3 4 5 3" xfId="6079" xr:uid="{D1C4ED93-BF7E-4AD5-B911-E158964647FC}"/>
    <cellStyle name="Normal 4 3 3 4 5 3 2" xfId="15187" xr:uid="{AE812DEC-7042-4269-A582-E9BC42E8F385}"/>
    <cellStyle name="Normal 4 3 3 4 5 4" xfId="6080" xr:uid="{FFD87A3D-A5D4-4FFB-BF0B-07EBFD2740A6}"/>
    <cellStyle name="Normal 4 3 3 4 5 4 2" xfId="15188" xr:uid="{C4B7E232-4470-4B1B-92C3-8A863CDA302F}"/>
    <cellStyle name="Normal 4 3 3 4 5 5" xfId="6081" xr:uid="{66D9FB40-134C-4797-9E7F-2A294E665FB1}"/>
    <cellStyle name="Normal 4 3 3 4 5 5 2" xfId="15189" xr:uid="{45C7F126-DBDD-4D2D-8754-7B23724EDE80}"/>
    <cellStyle name="Normal 4 3 3 4 5 6" xfId="15183" xr:uid="{731E1D15-5861-43B2-A735-29C74AC45264}"/>
    <cellStyle name="Normal 4 3 3 4 6" xfId="6082" xr:uid="{B8BB09FA-FDD6-4C5C-8843-32EF5726A4B7}"/>
    <cellStyle name="Normal 4 3 3 4 6 2" xfId="6083" xr:uid="{25386568-DE7D-448F-ADF4-BF5A9FE2E2CA}"/>
    <cellStyle name="Normal 4 3 3 4 6 2 2" xfId="15191" xr:uid="{636C3EF4-7A2E-49A1-9E78-8E6C14CE762F}"/>
    <cellStyle name="Normal 4 3 3 4 6 3" xfId="6084" xr:uid="{CD60EB62-BDDC-4933-9A3B-832A2B795AFB}"/>
    <cellStyle name="Normal 4 3 3 4 6 3 2" xfId="15192" xr:uid="{DEDAF6A9-4CF7-4F9E-9BE4-F7CA839C2133}"/>
    <cellStyle name="Normal 4 3 3 4 6 4" xfId="15190" xr:uid="{6A447785-658D-4FB1-9EF1-3C9234BE7273}"/>
    <cellStyle name="Normal 4 3 3 4 7" xfId="6085" xr:uid="{DDFB508F-2F03-4CC3-8B27-EF8CB56E1063}"/>
    <cellStyle name="Normal 4 3 3 4 7 2" xfId="15193" xr:uid="{B3E26B35-608A-4401-BB98-E43BDB9B093B}"/>
    <cellStyle name="Normal 4 3 3 4 8" xfId="6086" xr:uid="{E3C4674B-8EF9-4EBF-8A5B-7A7609812B49}"/>
    <cellStyle name="Normal 4 3 3 4 8 2" xfId="15194" xr:uid="{D7291743-A2E9-4517-B87E-8D8F77BD0FA2}"/>
    <cellStyle name="Normal 4 3 3 4 9" xfId="6087" xr:uid="{B5201C99-91A3-4AAD-BD53-05F7B3920042}"/>
    <cellStyle name="Normal 4 3 3 4 9 2" xfId="15195" xr:uid="{3359E15C-54DB-4EDD-B5E2-19EA0858F6E4}"/>
    <cellStyle name="Normal 4 3 3 5" xfId="6088" xr:uid="{AAB27CD1-F2B8-46E5-AF88-6018E05B41F5}"/>
    <cellStyle name="Normal 4 3 3 5 10" xfId="15196" xr:uid="{4FFFB56F-8902-4745-B319-BC055465EFF2}"/>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2 2" xfId="15201" xr:uid="{F935EC35-6578-490A-9028-8291A49A65B1}"/>
    <cellStyle name="Normal 4 3 3 5 2 2 2 2 3" xfId="6094" xr:uid="{DD50A070-FC02-4D7A-A56A-C511EAC87924}"/>
    <cellStyle name="Normal 4 3 3 5 2 2 2 2 3 2" xfId="15202" xr:uid="{A907FA8C-F91A-4852-A65F-8297135D5863}"/>
    <cellStyle name="Normal 4 3 3 5 2 2 2 2 4" xfId="15200" xr:uid="{87EC9438-6E8E-4842-B70A-18B4DAF32142}"/>
    <cellStyle name="Normal 4 3 3 5 2 2 2 3" xfId="6095" xr:uid="{90373E86-D51C-430F-9FA6-16D837ACCF15}"/>
    <cellStyle name="Normal 4 3 3 5 2 2 2 3 2" xfId="15203" xr:uid="{ABB127BA-F70D-44FD-A7F2-E42D82A4867A}"/>
    <cellStyle name="Normal 4 3 3 5 2 2 2 4" xfId="6096" xr:uid="{5D2153A5-7AC6-40E3-AF5C-09C400EEC83C}"/>
    <cellStyle name="Normal 4 3 3 5 2 2 2 4 2" xfId="15204" xr:uid="{2132C2D4-2C42-4B5D-87B7-0A3F99030B7E}"/>
    <cellStyle name="Normal 4 3 3 5 2 2 2 5" xfId="6097" xr:uid="{E92050F3-ED3A-4B30-A5E1-701758C50496}"/>
    <cellStyle name="Normal 4 3 3 5 2 2 2 5 2" xfId="15205" xr:uid="{4BA95CC5-9396-4027-9897-DF5DD1BBC835}"/>
    <cellStyle name="Normal 4 3 3 5 2 2 2 6" xfId="15199" xr:uid="{0E3CDFF8-F4F7-4AA5-9B92-677D1128E63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2 2" xfId="15208" xr:uid="{316F4F7F-EBBA-46C9-8039-7D2CD9824D1F}"/>
    <cellStyle name="Normal 4 3 3 5 2 2 3 2 3" xfId="6101" xr:uid="{8B7000EF-925D-4484-889F-4F2F77FFBC59}"/>
    <cellStyle name="Normal 4 3 3 5 2 2 3 2 3 2" xfId="15209" xr:uid="{4C934CC0-D841-48D8-BD05-24353ECF0303}"/>
    <cellStyle name="Normal 4 3 3 5 2 2 3 2 4" xfId="15207" xr:uid="{DE351FE1-B6E1-4D88-B19F-24E135EDFE06}"/>
    <cellStyle name="Normal 4 3 3 5 2 2 3 3" xfId="6102" xr:uid="{5749AF7C-33FA-4A83-8176-8A51D119062C}"/>
    <cellStyle name="Normal 4 3 3 5 2 2 3 3 2" xfId="15210" xr:uid="{27C464C0-46D3-4A62-B712-5D65970C0EF8}"/>
    <cellStyle name="Normal 4 3 3 5 2 2 3 4" xfId="6103" xr:uid="{2AEF2FED-76CA-440D-918E-FF751CE13796}"/>
    <cellStyle name="Normal 4 3 3 5 2 2 3 4 2" xfId="15211" xr:uid="{B83AF8F4-706B-4F42-854B-8E2D4483B7E5}"/>
    <cellStyle name="Normal 4 3 3 5 2 2 3 5" xfId="6104" xr:uid="{929FA284-BCE7-451A-9FFF-993D1F77C4F4}"/>
    <cellStyle name="Normal 4 3 3 5 2 2 3 5 2" xfId="15212" xr:uid="{862D7D99-A3E8-426E-BED9-81B4CC499438}"/>
    <cellStyle name="Normal 4 3 3 5 2 2 3 6" xfId="15206" xr:uid="{3E0FDEDA-A6E8-4FCD-A430-FFA4B05BE675}"/>
    <cellStyle name="Normal 4 3 3 5 2 2 4" xfId="6105" xr:uid="{683181F8-033C-42FA-8C4C-37512533AB86}"/>
    <cellStyle name="Normal 4 3 3 5 2 2 4 2" xfId="6106" xr:uid="{B84CC8FF-83A4-4301-9797-9B895EFCCA35}"/>
    <cellStyle name="Normal 4 3 3 5 2 2 4 2 2" xfId="15214" xr:uid="{697EE2D2-BF1C-4089-83C6-CB811EAFC57F}"/>
    <cellStyle name="Normal 4 3 3 5 2 2 4 3" xfId="6107" xr:uid="{B7C51AAF-A1EB-4B2A-A489-CBDE0B2D0298}"/>
    <cellStyle name="Normal 4 3 3 5 2 2 4 3 2" xfId="15215" xr:uid="{AC053C34-4460-4137-8562-BCEAC3DB0D1E}"/>
    <cellStyle name="Normal 4 3 3 5 2 2 4 4" xfId="15213" xr:uid="{B8F93FB7-7FC2-4F90-9105-CF5E523BBACF}"/>
    <cellStyle name="Normal 4 3 3 5 2 2 5" xfId="6108" xr:uid="{52732ACA-FE16-4295-BA67-50D8CF1979B0}"/>
    <cellStyle name="Normal 4 3 3 5 2 2 5 2" xfId="15216" xr:uid="{A04CCE54-8997-47FF-83A5-74428AD733AA}"/>
    <cellStyle name="Normal 4 3 3 5 2 2 6" xfId="6109" xr:uid="{8F7FD6ED-B7E2-48E3-9015-BBDE6BAB8050}"/>
    <cellStyle name="Normal 4 3 3 5 2 2 6 2" xfId="15217" xr:uid="{A29A04B1-2EDF-433F-9544-51A1E114495D}"/>
    <cellStyle name="Normal 4 3 3 5 2 2 7" xfId="6110" xr:uid="{D2960B87-653F-473B-9DF2-D8CD4A17ACC7}"/>
    <cellStyle name="Normal 4 3 3 5 2 2 7 2" xfId="15218" xr:uid="{A501B4A0-972F-4985-B132-C18ED1D1E167}"/>
    <cellStyle name="Normal 4 3 3 5 2 2 8" xfId="15198" xr:uid="{F95DF24C-5D15-49EA-8EF6-4013FE7D99FE}"/>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2 2" xfId="15221" xr:uid="{8EC29F69-2F82-43A2-9374-8057D6DC6AC0}"/>
    <cellStyle name="Normal 4 3 3 5 2 3 2 3" xfId="6114" xr:uid="{EA03F3EA-BA9F-4720-91CC-300554BC9190}"/>
    <cellStyle name="Normal 4 3 3 5 2 3 2 3 2" xfId="15222" xr:uid="{0C3189BD-F424-4C5F-B5D6-719052C4DF2F}"/>
    <cellStyle name="Normal 4 3 3 5 2 3 2 4" xfId="15220" xr:uid="{12832ED0-943E-4CB3-9AA9-07D2BC21395E}"/>
    <cellStyle name="Normal 4 3 3 5 2 3 3" xfId="6115" xr:uid="{8AF942E6-593A-401F-930C-0122AFB00C3F}"/>
    <cellStyle name="Normal 4 3 3 5 2 3 3 2" xfId="15223" xr:uid="{3EC2EF63-ACCA-4417-AB8B-CF02C1B4A37A}"/>
    <cellStyle name="Normal 4 3 3 5 2 3 4" xfId="6116" xr:uid="{74D25395-8A2F-4688-8FE3-E95BFFEBE19A}"/>
    <cellStyle name="Normal 4 3 3 5 2 3 4 2" xfId="15224" xr:uid="{C3326E55-80F8-470E-8DAC-9B699119C18F}"/>
    <cellStyle name="Normal 4 3 3 5 2 3 5" xfId="6117" xr:uid="{06396742-4779-4FF1-8B94-0D5B5A658249}"/>
    <cellStyle name="Normal 4 3 3 5 2 3 5 2" xfId="15225" xr:uid="{C5D1D502-3A2E-4908-B603-5F0F6183289A}"/>
    <cellStyle name="Normal 4 3 3 5 2 3 6" xfId="15219" xr:uid="{72BD2045-5C54-4F22-8455-B85D1DEAD89B}"/>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2 2" xfId="15228" xr:uid="{BB939937-672D-46FB-B671-07A4E1B00CAD}"/>
    <cellStyle name="Normal 4 3 3 5 2 4 2 3" xfId="6121" xr:uid="{B7A7514A-D8A9-49C6-8A08-134A9D7C2C20}"/>
    <cellStyle name="Normal 4 3 3 5 2 4 2 3 2" xfId="15229" xr:uid="{42A428EB-2F9A-4852-8458-D3D7F14070DE}"/>
    <cellStyle name="Normal 4 3 3 5 2 4 2 4" xfId="15227" xr:uid="{6D711893-0BA9-4376-BED8-11E638D6C507}"/>
    <cellStyle name="Normal 4 3 3 5 2 4 3" xfId="6122" xr:uid="{68D82664-43FC-4B4D-AC34-AE622357B73D}"/>
    <cellStyle name="Normal 4 3 3 5 2 4 3 2" xfId="15230" xr:uid="{5029B08B-263C-4AA3-8F03-999D46496888}"/>
    <cellStyle name="Normal 4 3 3 5 2 4 4" xfId="6123" xr:uid="{0BAA51FC-F6AA-4B1F-A300-66B1B572E7C8}"/>
    <cellStyle name="Normal 4 3 3 5 2 4 4 2" xfId="15231" xr:uid="{0A37625E-DCC6-4C60-A87A-431A17627A5A}"/>
    <cellStyle name="Normal 4 3 3 5 2 4 5" xfId="6124" xr:uid="{1CE651ED-4122-41A9-9055-9DE5D5607572}"/>
    <cellStyle name="Normal 4 3 3 5 2 4 5 2" xfId="15232" xr:uid="{B80FE539-26D2-4D73-B496-579E434A4391}"/>
    <cellStyle name="Normal 4 3 3 5 2 4 6" xfId="15226" xr:uid="{61EDC509-B1B7-485B-8674-D65659A5B00B}"/>
    <cellStyle name="Normal 4 3 3 5 2 5" xfId="6125" xr:uid="{BEB3D58C-756C-4505-8E58-5D93E598173F}"/>
    <cellStyle name="Normal 4 3 3 5 2 5 2" xfId="6126" xr:uid="{376415EF-9815-438D-840F-306CEDC2B595}"/>
    <cellStyle name="Normal 4 3 3 5 2 5 2 2" xfId="15234" xr:uid="{09C213C7-DD0F-4179-AB39-161A292AEA2D}"/>
    <cellStyle name="Normal 4 3 3 5 2 5 3" xfId="6127" xr:uid="{A3FAEA31-E18E-40DF-8C4F-C94DD3B55701}"/>
    <cellStyle name="Normal 4 3 3 5 2 5 3 2" xfId="15235" xr:uid="{EA14B45C-150C-4042-8A9A-DB374FE7FD6B}"/>
    <cellStyle name="Normal 4 3 3 5 2 5 4" xfId="15233" xr:uid="{FE27C68E-3EAE-4948-BA9A-4C209C876DE1}"/>
    <cellStyle name="Normal 4 3 3 5 2 6" xfId="6128" xr:uid="{E1EEB432-22D1-47FF-AD07-32AB09FCDBAC}"/>
    <cellStyle name="Normal 4 3 3 5 2 6 2" xfId="15236" xr:uid="{6EEF4B74-8FE0-4551-909E-9F2F63A81DC8}"/>
    <cellStyle name="Normal 4 3 3 5 2 7" xfId="6129" xr:uid="{35215FCC-89C0-4272-B89F-5C9ABDB00D16}"/>
    <cellStyle name="Normal 4 3 3 5 2 7 2" xfId="15237" xr:uid="{B036DE92-2407-4AB6-9068-8C74D0976285}"/>
    <cellStyle name="Normal 4 3 3 5 2 8" xfId="6130" xr:uid="{4C5B1D44-168A-4684-B270-31B048168A72}"/>
    <cellStyle name="Normal 4 3 3 5 2 8 2" xfId="15238" xr:uid="{E39D18DC-DFB5-428C-B6BA-231DA04C5C71}"/>
    <cellStyle name="Normal 4 3 3 5 2 9" xfId="15197" xr:uid="{15356880-AE9E-4D21-83F2-B90926AD08AC}"/>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2 2" xfId="15242" xr:uid="{D622DA65-09FB-452A-B3D0-D8069EFFDA4C}"/>
    <cellStyle name="Normal 4 3 3 5 3 2 2 3" xfId="6135" xr:uid="{0BC3B7EC-B043-4721-ACE4-59942A6E2611}"/>
    <cellStyle name="Normal 4 3 3 5 3 2 2 3 2" xfId="15243" xr:uid="{290564DD-0212-409C-BCB6-BA86EE7157ED}"/>
    <cellStyle name="Normal 4 3 3 5 3 2 2 4" xfId="15241" xr:uid="{B4458DD8-44FE-4717-A3DD-0285E5278640}"/>
    <cellStyle name="Normal 4 3 3 5 3 2 3" xfId="6136" xr:uid="{12DEEFF7-2E2A-46F4-8559-5C326198EB90}"/>
    <cellStyle name="Normal 4 3 3 5 3 2 3 2" xfId="15244" xr:uid="{AE4F961F-F41F-4E7A-8B1B-BE832B6DCF24}"/>
    <cellStyle name="Normal 4 3 3 5 3 2 4" xfId="6137" xr:uid="{EB82F766-056E-4255-B91E-EC6FFB78815B}"/>
    <cellStyle name="Normal 4 3 3 5 3 2 4 2" xfId="15245" xr:uid="{01D64063-A044-4AB2-95B3-20B03626351C}"/>
    <cellStyle name="Normal 4 3 3 5 3 2 5" xfId="6138" xr:uid="{DD9EE0FB-F1AE-486C-AC9F-E367CE140944}"/>
    <cellStyle name="Normal 4 3 3 5 3 2 5 2" xfId="15246" xr:uid="{F4405780-F99B-47C6-844F-C0908D71C8C0}"/>
    <cellStyle name="Normal 4 3 3 5 3 2 6" xfId="15240" xr:uid="{15A0B2A3-2BFC-416B-A0F4-E2FD8FD2207E}"/>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2 2" xfId="15249" xr:uid="{6DB31A7F-8475-4DFB-8393-3BCCB0ACAD63}"/>
    <cellStyle name="Normal 4 3 3 5 3 3 2 3" xfId="6142" xr:uid="{726D873B-07C7-47A3-83CC-5D3707A76933}"/>
    <cellStyle name="Normal 4 3 3 5 3 3 2 3 2" xfId="15250" xr:uid="{50ABD5EE-D669-493B-A17A-9A65E77AC174}"/>
    <cellStyle name="Normal 4 3 3 5 3 3 2 4" xfId="15248" xr:uid="{F72E4BF1-FB41-4EE6-B281-E7A7D216F587}"/>
    <cellStyle name="Normal 4 3 3 5 3 3 3" xfId="6143" xr:uid="{9509C573-6FDC-4C80-9596-1CF36E2304F8}"/>
    <cellStyle name="Normal 4 3 3 5 3 3 3 2" xfId="15251" xr:uid="{E0AA5727-7588-4DDA-9707-6647EC27F368}"/>
    <cellStyle name="Normal 4 3 3 5 3 3 4" xfId="6144" xr:uid="{7BC911D4-2131-4F58-B5CF-98CD33F12A58}"/>
    <cellStyle name="Normal 4 3 3 5 3 3 4 2" xfId="15252" xr:uid="{F8DD4DA6-91BB-4802-B3DD-46479AE0F2C7}"/>
    <cellStyle name="Normal 4 3 3 5 3 3 5" xfId="6145" xr:uid="{2251D13A-8363-440D-8409-54D2207F97F7}"/>
    <cellStyle name="Normal 4 3 3 5 3 3 5 2" xfId="15253" xr:uid="{8ED4E3FE-E341-4CDE-86CD-D32223141FB8}"/>
    <cellStyle name="Normal 4 3 3 5 3 3 6" xfId="15247" xr:uid="{EF19B790-47BD-4A2E-8DD1-B79AC7907A82}"/>
    <cellStyle name="Normal 4 3 3 5 3 4" xfId="6146" xr:uid="{B2BA50C1-06DB-4D8B-9C2C-505AE1C41019}"/>
    <cellStyle name="Normal 4 3 3 5 3 4 2" xfId="6147" xr:uid="{A6226178-04F6-4005-BDF1-5A1A51A175A8}"/>
    <cellStyle name="Normal 4 3 3 5 3 4 2 2" xfId="15255" xr:uid="{4CF11089-ED61-4E26-B3DF-FF7E9EB25431}"/>
    <cellStyle name="Normal 4 3 3 5 3 4 3" xfId="6148" xr:uid="{53B8682E-9D42-4636-B430-18C4934EB314}"/>
    <cellStyle name="Normal 4 3 3 5 3 4 3 2" xfId="15256" xr:uid="{41B591CF-D93D-4F97-849E-1C2CCCBA3AAB}"/>
    <cellStyle name="Normal 4 3 3 5 3 4 4" xfId="15254" xr:uid="{FEE636DF-3DAB-4600-9CD0-AD05F0DAC7FF}"/>
    <cellStyle name="Normal 4 3 3 5 3 5" xfId="6149" xr:uid="{7820CF5A-FA21-4715-93DF-62CBEECCCCD0}"/>
    <cellStyle name="Normal 4 3 3 5 3 5 2" xfId="15257" xr:uid="{A93552EC-F612-45EC-ABE7-19EBC0DB824B}"/>
    <cellStyle name="Normal 4 3 3 5 3 6" xfId="6150" xr:uid="{83302DBC-2616-4D00-8B24-B23B25A1A9E5}"/>
    <cellStyle name="Normal 4 3 3 5 3 6 2" xfId="15258" xr:uid="{DB5F1E91-E43A-47B7-9EE9-D20FA38C9F56}"/>
    <cellStyle name="Normal 4 3 3 5 3 7" xfId="6151" xr:uid="{9AFE4B18-BC3E-4826-823B-240D5B81898E}"/>
    <cellStyle name="Normal 4 3 3 5 3 7 2" xfId="15259" xr:uid="{A5FC0F20-2E4D-4C80-AB15-E91E1216C7D2}"/>
    <cellStyle name="Normal 4 3 3 5 3 8" xfId="15239" xr:uid="{410648B8-FC5A-4C73-B068-8E7C3282EBD8}"/>
    <cellStyle name="Normal 4 3 3 5 4" xfId="6152" xr:uid="{DB1F6BBA-D412-4F89-8254-5550B04C2EE7}"/>
    <cellStyle name="Normal 4 3 3 5 4 2" xfId="6153" xr:uid="{F5CED7B0-72C6-422D-9C35-28B15056CDFE}"/>
    <cellStyle name="Normal 4 3 3 5 4 2 2" xfId="6154" xr:uid="{28C19A54-1BCB-446E-BC1F-A1BBAF52CB3E}"/>
    <cellStyle name="Normal 4 3 3 5 4 2 2 2" xfId="15262" xr:uid="{0DDC319D-147C-4C53-A34D-D86AC48B217D}"/>
    <cellStyle name="Normal 4 3 3 5 4 2 3" xfId="6155" xr:uid="{25B65E03-6301-4DBB-9C20-84CFD5AA3772}"/>
    <cellStyle name="Normal 4 3 3 5 4 2 3 2" xfId="15263" xr:uid="{D2F62CEA-E354-49B5-8191-2A685E6B2FDF}"/>
    <cellStyle name="Normal 4 3 3 5 4 2 4" xfId="15261" xr:uid="{4B7800AA-2324-483F-B53B-30E96A414E9C}"/>
    <cellStyle name="Normal 4 3 3 5 4 3" xfId="6156" xr:uid="{AEE5CF8A-DE96-48E5-B86D-4665C07EFD15}"/>
    <cellStyle name="Normal 4 3 3 5 4 3 2" xfId="15264" xr:uid="{DBABBA0D-834D-4FEB-817C-1B8788E38E90}"/>
    <cellStyle name="Normal 4 3 3 5 4 4" xfId="6157" xr:uid="{D897E35D-EC10-4979-8990-F1653E0FFA5F}"/>
    <cellStyle name="Normal 4 3 3 5 4 4 2" xfId="15265" xr:uid="{8BAF6B03-AEEB-4A18-9D2D-E845CAC64772}"/>
    <cellStyle name="Normal 4 3 3 5 4 5" xfId="6158" xr:uid="{4D2E3B2B-1CA6-46D3-80DC-90FCF21911EF}"/>
    <cellStyle name="Normal 4 3 3 5 4 5 2" xfId="15266" xr:uid="{0B6A2024-2805-4557-93CF-F106759EF15C}"/>
    <cellStyle name="Normal 4 3 3 5 4 6" xfId="15260" xr:uid="{7DAA63B6-D9B8-485B-86D1-91E34167B5D8}"/>
    <cellStyle name="Normal 4 3 3 5 5" xfId="6159" xr:uid="{C4BCF160-5226-4BE2-A0AA-25A73394683D}"/>
    <cellStyle name="Normal 4 3 3 5 5 2" xfId="6160" xr:uid="{CAA7B5EA-5E11-43A2-9A57-B10401871F33}"/>
    <cellStyle name="Normal 4 3 3 5 5 2 2" xfId="6161" xr:uid="{17A8ECB4-6707-43B6-9427-247F13237E68}"/>
    <cellStyle name="Normal 4 3 3 5 5 2 2 2" xfId="15269" xr:uid="{B78A72B2-950C-42B7-8B78-FC49F4E441CA}"/>
    <cellStyle name="Normal 4 3 3 5 5 2 3" xfId="6162" xr:uid="{4B53D237-9F3A-46BB-9B98-6977BD483730}"/>
    <cellStyle name="Normal 4 3 3 5 5 2 3 2" xfId="15270" xr:uid="{79998BE2-7702-4D1E-AFDD-73027A8DF656}"/>
    <cellStyle name="Normal 4 3 3 5 5 2 4" xfId="15268" xr:uid="{B9D571F7-B82D-4717-9D26-1BB5543E03C9}"/>
    <cellStyle name="Normal 4 3 3 5 5 3" xfId="6163" xr:uid="{CBE152E3-9A85-4B8C-98D4-CAFA02D41C9D}"/>
    <cellStyle name="Normal 4 3 3 5 5 3 2" xfId="15271" xr:uid="{8EDED9A4-1721-4C8D-8994-8451E386A6EA}"/>
    <cellStyle name="Normal 4 3 3 5 5 4" xfId="6164" xr:uid="{BA47ABD0-EA3D-48FA-913B-D261848A88CA}"/>
    <cellStyle name="Normal 4 3 3 5 5 4 2" xfId="15272" xr:uid="{65F7D280-5F95-4195-BC46-34C9DD2ABA0B}"/>
    <cellStyle name="Normal 4 3 3 5 5 5" xfId="6165" xr:uid="{F1B5DE44-5863-4BEF-8BCE-E45D3B8D0EAA}"/>
    <cellStyle name="Normal 4 3 3 5 5 5 2" xfId="15273" xr:uid="{AA232A26-CBBD-49FC-9E7F-B0845492B8E3}"/>
    <cellStyle name="Normal 4 3 3 5 5 6" xfId="15267" xr:uid="{C28AC0B5-57A0-4877-89EC-D4A93765FAD1}"/>
    <cellStyle name="Normal 4 3 3 5 6" xfId="6166" xr:uid="{1A0FE5E6-F1A5-4FF1-B3DF-5AF1FB5912CD}"/>
    <cellStyle name="Normal 4 3 3 5 6 2" xfId="6167" xr:uid="{DDB74E63-0EAA-4115-8073-3349CE2804FA}"/>
    <cellStyle name="Normal 4 3 3 5 6 2 2" xfId="15275" xr:uid="{EDEB05E7-04F7-4EC2-86D2-06A46BCEAE4B}"/>
    <cellStyle name="Normal 4 3 3 5 6 3" xfId="6168" xr:uid="{8A59FB63-4D20-4C41-A498-C82A9637E876}"/>
    <cellStyle name="Normal 4 3 3 5 6 3 2" xfId="15276" xr:uid="{F1456BAA-C82C-470A-A76C-A65B48C551D6}"/>
    <cellStyle name="Normal 4 3 3 5 6 4" xfId="15274" xr:uid="{E8BDBA33-7E5E-4EB2-900B-B42986BB0618}"/>
    <cellStyle name="Normal 4 3 3 5 7" xfId="6169" xr:uid="{345CB765-6305-44CD-B199-1E594DB4C4E3}"/>
    <cellStyle name="Normal 4 3 3 5 7 2" xfId="15277" xr:uid="{267A2795-D82B-4D39-A4EF-5778BABC2E07}"/>
    <cellStyle name="Normal 4 3 3 5 8" xfId="6170" xr:uid="{AE9CB1AA-BBF1-4591-9094-02B83D4CCF58}"/>
    <cellStyle name="Normal 4 3 3 5 8 2" xfId="15278" xr:uid="{43D63459-41A7-43F6-896E-4F042EA97E27}"/>
    <cellStyle name="Normal 4 3 3 5 9" xfId="6171" xr:uid="{D1EAA169-8226-4110-A173-99D3E060F5B2}"/>
    <cellStyle name="Normal 4 3 3 5 9 2" xfId="15279" xr:uid="{05D4C1AD-92DA-49EB-B587-FA839BBB330F}"/>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2 2" xfId="15284" xr:uid="{5633A27F-7390-4E8B-A1BD-307314395414}"/>
    <cellStyle name="Normal 4 3 3 6 2 2 2 3" xfId="6177" xr:uid="{9FE8AE9B-5387-436E-9214-99935CF73140}"/>
    <cellStyle name="Normal 4 3 3 6 2 2 2 3 2" xfId="15285" xr:uid="{990DAA04-96C3-478E-A958-74DA804A36E0}"/>
    <cellStyle name="Normal 4 3 3 6 2 2 2 4" xfId="15283" xr:uid="{16B470CC-833D-411A-9D8C-647D50545C76}"/>
    <cellStyle name="Normal 4 3 3 6 2 2 3" xfId="6178" xr:uid="{2C02E0C4-D79E-4D10-B412-E8FC064333E1}"/>
    <cellStyle name="Normal 4 3 3 6 2 2 3 2" xfId="15286" xr:uid="{E6E586F7-D174-445A-8FA0-98CB28E4CBD5}"/>
    <cellStyle name="Normal 4 3 3 6 2 2 4" xfId="6179" xr:uid="{5FE35DBC-EF86-4999-8E92-74CE51D89FF8}"/>
    <cellStyle name="Normal 4 3 3 6 2 2 4 2" xfId="15287" xr:uid="{E1CAE0C0-B896-401E-9709-ED2C6C49C1BD}"/>
    <cellStyle name="Normal 4 3 3 6 2 2 5" xfId="6180" xr:uid="{4BEBC597-4BAD-4B7B-A87C-AD37224DF8E8}"/>
    <cellStyle name="Normal 4 3 3 6 2 2 5 2" xfId="15288" xr:uid="{26347A4F-F2E8-4834-BEDF-B35B0C8203D5}"/>
    <cellStyle name="Normal 4 3 3 6 2 2 6" xfId="15282" xr:uid="{FBCDB2CC-E19F-4EF8-B5AD-C3CBF0D475FA}"/>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2 2" xfId="15291" xr:uid="{39DBC624-8296-4168-A76B-D0E067E4F338}"/>
    <cellStyle name="Normal 4 3 3 6 2 3 2 3" xfId="6184" xr:uid="{37B85DC1-3F59-4324-A8B5-5B01B288EC3D}"/>
    <cellStyle name="Normal 4 3 3 6 2 3 2 3 2" xfId="15292" xr:uid="{EB836B3E-7FF0-4326-A4EF-71998E0810D8}"/>
    <cellStyle name="Normal 4 3 3 6 2 3 2 4" xfId="15290" xr:uid="{5803BD1E-AEBC-4203-A58F-F493F750AB45}"/>
    <cellStyle name="Normal 4 3 3 6 2 3 3" xfId="6185" xr:uid="{45A68F50-C6C2-48C9-AB47-666E2A0F42EC}"/>
    <cellStyle name="Normal 4 3 3 6 2 3 3 2" xfId="15293" xr:uid="{F5C71C26-AF3E-43AC-AA24-0736C9F3776A}"/>
    <cellStyle name="Normal 4 3 3 6 2 3 4" xfId="6186" xr:uid="{CD82F2BC-8B57-435D-9476-9A4B994176BD}"/>
    <cellStyle name="Normal 4 3 3 6 2 3 4 2" xfId="15294" xr:uid="{E6A6F0BB-007E-4823-A594-1078935DB98E}"/>
    <cellStyle name="Normal 4 3 3 6 2 3 5" xfId="6187" xr:uid="{110DD4C9-CB9F-4176-A237-0E02C85CBF31}"/>
    <cellStyle name="Normal 4 3 3 6 2 3 5 2" xfId="15295" xr:uid="{A175BD9E-2A8D-4F2F-B4C9-5855752D313D}"/>
    <cellStyle name="Normal 4 3 3 6 2 3 6" xfId="15289" xr:uid="{F5B61993-1521-4475-9BCD-201C80A7783E}"/>
    <cellStyle name="Normal 4 3 3 6 2 4" xfId="6188" xr:uid="{D278768C-49FF-4148-A863-4F50A46CD1E7}"/>
    <cellStyle name="Normal 4 3 3 6 2 4 2" xfId="6189" xr:uid="{E7AC9CA4-8C73-4C68-BA31-F38BEFE2FD1A}"/>
    <cellStyle name="Normal 4 3 3 6 2 4 2 2" xfId="15297" xr:uid="{D81FA50D-FDF7-4DEB-9AFE-780C302A4157}"/>
    <cellStyle name="Normal 4 3 3 6 2 4 3" xfId="6190" xr:uid="{9E517EEF-8661-43DA-B49F-4E7C5FDD09C2}"/>
    <cellStyle name="Normal 4 3 3 6 2 4 3 2" xfId="15298" xr:uid="{B9DFF135-BBBC-41E0-9097-3134C680B9C3}"/>
    <cellStyle name="Normal 4 3 3 6 2 4 4" xfId="15296" xr:uid="{92DB42B1-2EDA-4ABA-A1A3-40A73C9FA739}"/>
    <cellStyle name="Normal 4 3 3 6 2 5" xfId="6191" xr:uid="{2DDCAB25-55D2-4A8B-826D-097C3AE7CB41}"/>
    <cellStyle name="Normal 4 3 3 6 2 5 2" xfId="15299" xr:uid="{EA6EB7B8-AC25-4D93-BC94-E586A1299C94}"/>
    <cellStyle name="Normal 4 3 3 6 2 6" xfId="6192" xr:uid="{D71A385C-D1DC-40FD-A012-92E819C991F3}"/>
    <cellStyle name="Normal 4 3 3 6 2 6 2" xfId="15300" xr:uid="{C33B89B2-057A-49FE-8318-8E0A938CA569}"/>
    <cellStyle name="Normal 4 3 3 6 2 7" xfId="6193" xr:uid="{02DD0513-37D8-47BC-B87E-7ED0993CDF38}"/>
    <cellStyle name="Normal 4 3 3 6 2 7 2" xfId="15301" xr:uid="{5F3831C2-EFAD-4E6F-AF96-92E57A63498F}"/>
    <cellStyle name="Normal 4 3 3 6 2 8" xfId="15281" xr:uid="{151D7147-D11B-4B89-AA40-FF9A3294A077}"/>
    <cellStyle name="Normal 4 3 3 6 3" xfId="6194" xr:uid="{339609BB-301D-4B55-9B15-710FDD5DB445}"/>
    <cellStyle name="Normal 4 3 3 6 3 2" xfId="6195" xr:uid="{2D3777FC-579F-4E14-9402-D2A00FA59898}"/>
    <cellStyle name="Normal 4 3 3 6 3 2 2" xfId="6196" xr:uid="{602D36BB-1F47-4F29-8FE3-2BC1280DC59B}"/>
    <cellStyle name="Normal 4 3 3 6 3 2 2 2" xfId="15304" xr:uid="{6812C13A-FFE3-4D63-AF93-221D0568D6C0}"/>
    <cellStyle name="Normal 4 3 3 6 3 2 3" xfId="6197" xr:uid="{760B1022-1388-4F28-B3C6-8FACE5669993}"/>
    <cellStyle name="Normal 4 3 3 6 3 2 3 2" xfId="15305" xr:uid="{204C5337-724E-4FBF-82F8-05A920240E56}"/>
    <cellStyle name="Normal 4 3 3 6 3 2 4" xfId="15303" xr:uid="{FD2F7B05-DE43-4635-943D-1108F8737BEC}"/>
    <cellStyle name="Normal 4 3 3 6 3 3" xfId="6198" xr:uid="{C8513F28-28F1-4396-B147-F15C40E89D25}"/>
    <cellStyle name="Normal 4 3 3 6 3 3 2" xfId="15306" xr:uid="{6D14C95C-6D16-45B6-9609-C9147B6E7A16}"/>
    <cellStyle name="Normal 4 3 3 6 3 4" xfId="6199" xr:uid="{47CBD8EC-7CEF-452C-8B29-CC5CEF09DD97}"/>
    <cellStyle name="Normal 4 3 3 6 3 4 2" xfId="15307" xr:uid="{E0487FF6-234C-4C2E-803A-D49CFDEE56C2}"/>
    <cellStyle name="Normal 4 3 3 6 3 5" xfId="6200" xr:uid="{74A0B13A-DA6B-43A6-A947-F8E2DAD4C00A}"/>
    <cellStyle name="Normal 4 3 3 6 3 5 2" xfId="15308" xr:uid="{89F3F420-5187-469D-9F5F-6B9570B59F6D}"/>
    <cellStyle name="Normal 4 3 3 6 3 6" xfId="15302" xr:uid="{C9F009B5-4474-4EC4-8419-834A1C542D0F}"/>
    <cellStyle name="Normal 4 3 3 6 4" xfId="6201" xr:uid="{7F1FDD7A-4DD6-41BA-9F3E-2C3386959E6E}"/>
    <cellStyle name="Normal 4 3 3 6 4 2" xfId="6202" xr:uid="{0175F937-6200-4F27-8077-3A1D5397C9E9}"/>
    <cellStyle name="Normal 4 3 3 6 4 2 2" xfId="6203" xr:uid="{FDA66802-9103-44A0-BE64-2A279CFF2711}"/>
    <cellStyle name="Normal 4 3 3 6 4 2 2 2" xfId="15311" xr:uid="{F80DEA1E-EB10-46FB-B3DF-86CA88674979}"/>
    <cellStyle name="Normal 4 3 3 6 4 2 3" xfId="6204" xr:uid="{46792E53-551F-4CD0-9F55-3D666B051606}"/>
    <cellStyle name="Normal 4 3 3 6 4 2 3 2" xfId="15312" xr:uid="{0A647FDC-96DB-4A7E-968F-51E3390CC4F8}"/>
    <cellStyle name="Normal 4 3 3 6 4 2 4" xfId="15310" xr:uid="{9A47B5A1-31E6-4FDB-88E0-B289EC1467D2}"/>
    <cellStyle name="Normal 4 3 3 6 4 3" xfId="6205" xr:uid="{378580FF-5865-4990-9209-FB48A91040E6}"/>
    <cellStyle name="Normal 4 3 3 6 4 3 2" xfId="15313" xr:uid="{E2C61665-682F-475A-AD2E-41A179B8DEBF}"/>
    <cellStyle name="Normal 4 3 3 6 4 4" xfId="6206" xr:uid="{F2FFCB88-A3AE-4C16-A931-4F137B9D050C}"/>
    <cellStyle name="Normal 4 3 3 6 4 4 2" xfId="15314" xr:uid="{00AD8CCE-901F-4626-B442-7196725BD150}"/>
    <cellStyle name="Normal 4 3 3 6 4 5" xfId="6207" xr:uid="{99A4C038-0499-4991-8732-BED10F57B962}"/>
    <cellStyle name="Normal 4 3 3 6 4 5 2" xfId="15315" xr:uid="{C737E5DB-72B3-43B0-88AB-4E1A69BD4318}"/>
    <cellStyle name="Normal 4 3 3 6 4 6" xfId="15309" xr:uid="{27910FC1-48F9-4307-B94B-DD3054A5BDC3}"/>
    <cellStyle name="Normal 4 3 3 6 5" xfId="6208" xr:uid="{E08CA55B-CCA5-460D-9D2E-874D2C4C18D1}"/>
    <cellStyle name="Normal 4 3 3 6 5 2" xfId="6209" xr:uid="{2E9E4040-47F7-47A6-A720-9D63C70757FD}"/>
    <cellStyle name="Normal 4 3 3 6 5 2 2" xfId="15317" xr:uid="{CAE6516F-007E-470B-848D-7DB7901EF20E}"/>
    <cellStyle name="Normal 4 3 3 6 5 3" xfId="6210" xr:uid="{6897E3D3-D8BA-43A2-B944-2E588A48BE85}"/>
    <cellStyle name="Normal 4 3 3 6 5 3 2" xfId="15318" xr:uid="{25B7710C-4EF0-482D-9FF7-B5FBB10DB33B}"/>
    <cellStyle name="Normal 4 3 3 6 5 4" xfId="15316" xr:uid="{8CCA1830-A60E-4BA5-9A40-C5056418F7E1}"/>
    <cellStyle name="Normal 4 3 3 6 6" xfId="6211" xr:uid="{4AFB9B84-244A-444B-8A4C-07A7EED8A2C4}"/>
    <cellStyle name="Normal 4 3 3 6 6 2" xfId="15319" xr:uid="{C111099A-CD19-4BBD-BE48-5470165B0DA3}"/>
    <cellStyle name="Normal 4 3 3 6 7" xfId="6212" xr:uid="{3267A028-8CF7-4D8D-B96C-E7AB6EE3914A}"/>
    <cellStyle name="Normal 4 3 3 6 7 2" xfId="15320" xr:uid="{698A06C5-52F1-4E30-9314-5EEC76CF1F57}"/>
    <cellStyle name="Normal 4 3 3 6 8" xfId="6213" xr:uid="{D201FABA-2B67-436A-9FF0-07D85343D8A2}"/>
    <cellStyle name="Normal 4 3 3 6 8 2" xfId="15321" xr:uid="{24103946-7C9A-487A-815A-94496C107BC5}"/>
    <cellStyle name="Normal 4 3 3 6 9" xfId="15280" xr:uid="{7C0149F7-25A4-4551-8956-F611C75E0D26}"/>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2 2" xfId="15325" xr:uid="{9AF457ED-83E5-49E0-99DB-6182D14D6E84}"/>
    <cellStyle name="Normal 4 3 3 7 2 2 3" xfId="6218" xr:uid="{7C43C6FC-39FB-437F-A1E2-25498B583689}"/>
    <cellStyle name="Normal 4 3 3 7 2 2 3 2" xfId="15326" xr:uid="{2B32B3E2-075E-45CB-90C6-E5FC8E3C2DA3}"/>
    <cellStyle name="Normal 4 3 3 7 2 2 4" xfId="15324" xr:uid="{D83C8AD4-97B7-47CF-A119-0A1B62759E8A}"/>
    <cellStyle name="Normal 4 3 3 7 2 3" xfId="6219" xr:uid="{8037DA24-BE89-4672-9DDB-977182114BA0}"/>
    <cellStyle name="Normal 4 3 3 7 2 3 2" xfId="15327" xr:uid="{DCF5E2DB-E5B4-47BC-9579-CAA6EA48D720}"/>
    <cellStyle name="Normal 4 3 3 7 2 4" xfId="6220" xr:uid="{6D93B19C-82E3-4F33-97D6-27E2982EEB2A}"/>
    <cellStyle name="Normal 4 3 3 7 2 4 2" xfId="15328" xr:uid="{882AE639-27D4-4721-AF84-8C8C502B8AC3}"/>
    <cellStyle name="Normal 4 3 3 7 2 5" xfId="6221" xr:uid="{202ED71D-84E3-45F3-9046-D1BFA4B96DF2}"/>
    <cellStyle name="Normal 4 3 3 7 2 5 2" xfId="15329" xr:uid="{47285978-8BD8-426A-8F4B-A07B99E5E31A}"/>
    <cellStyle name="Normal 4 3 3 7 2 6" xfId="15323" xr:uid="{2EF4307A-2791-4135-9254-15D509EBD1C4}"/>
    <cellStyle name="Normal 4 3 3 7 3" xfId="6222" xr:uid="{26AF2B92-A2BD-4597-BECD-2C3E4CF3277A}"/>
    <cellStyle name="Normal 4 3 3 7 3 2" xfId="6223" xr:uid="{796296FD-BFB0-4B06-A615-77C2D4300C38}"/>
    <cellStyle name="Normal 4 3 3 7 3 2 2" xfId="6224" xr:uid="{0AA4E91F-BC72-4733-98A5-40E21525E2C5}"/>
    <cellStyle name="Normal 4 3 3 7 3 2 2 2" xfId="15332" xr:uid="{A6E8E6E1-5ACC-498F-8552-B3BF602F2DE7}"/>
    <cellStyle name="Normal 4 3 3 7 3 2 3" xfId="6225" xr:uid="{22957FCC-FDD8-43E2-B8A3-E91CA95667F7}"/>
    <cellStyle name="Normal 4 3 3 7 3 2 3 2" xfId="15333" xr:uid="{BF93630C-FE1A-4E3C-91B5-808E4735F746}"/>
    <cellStyle name="Normal 4 3 3 7 3 2 4" xfId="15331" xr:uid="{0872B42C-2F71-4A6B-BCE7-B866ACBA214E}"/>
    <cellStyle name="Normal 4 3 3 7 3 3" xfId="6226" xr:uid="{9E669332-7DA1-4962-A1CF-8AF246CC06D8}"/>
    <cellStyle name="Normal 4 3 3 7 3 3 2" xfId="15334" xr:uid="{223DAC3C-97AD-4734-9E6F-B039D00FCEE7}"/>
    <cellStyle name="Normal 4 3 3 7 3 4" xfId="6227" xr:uid="{FE21AD54-BA8C-4A0C-896A-16EE6B883290}"/>
    <cellStyle name="Normal 4 3 3 7 3 4 2" xfId="15335" xr:uid="{282DBADE-477F-48AC-805F-FA3D1231C777}"/>
    <cellStyle name="Normal 4 3 3 7 3 5" xfId="6228" xr:uid="{B31415A9-CC5B-4C15-9FAE-062EE2937F0E}"/>
    <cellStyle name="Normal 4 3 3 7 3 5 2" xfId="15336" xr:uid="{1019A74B-C7F1-4B9D-AE87-81A47F197FF4}"/>
    <cellStyle name="Normal 4 3 3 7 3 6" xfId="15330" xr:uid="{90F4904F-53D6-4AE4-92C4-3BF9FC9D5B23}"/>
    <cellStyle name="Normal 4 3 3 7 4" xfId="6229" xr:uid="{5CD25059-EA15-4B82-BD2A-B26FB9D22463}"/>
    <cellStyle name="Normal 4 3 3 7 4 2" xfId="6230" xr:uid="{65173E60-78F9-4869-8BEB-DA543710583A}"/>
    <cellStyle name="Normal 4 3 3 7 4 2 2" xfId="15338" xr:uid="{E7398C68-6D9A-4743-AF24-3D6E608B28EC}"/>
    <cellStyle name="Normal 4 3 3 7 4 3" xfId="6231" xr:uid="{C91FA7AD-01CE-4D64-BD2A-523D25D24929}"/>
    <cellStyle name="Normal 4 3 3 7 4 3 2" xfId="15339" xr:uid="{EC603601-86D9-4E4D-8CB3-D490F111652B}"/>
    <cellStyle name="Normal 4 3 3 7 4 4" xfId="15337" xr:uid="{80F522B7-E537-4E15-9C84-C6A76D812B31}"/>
    <cellStyle name="Normal 4 3 3 7 5" xfId="6232" xr:uid="{2A71A81B-E88A-48BE-9066-09D4D4F14FA4}"/>
    <cellStyle name="Normal 4 3 3 7 5 2" xfId="15340" xr:uid="{7E666F63-A7EE-43AB-B73B-E89F19FCCA49}"/>
    <cellStyle name="Normal 4 3 3 7 6" xfId="6233" xr:uid="{313996E7-02F0-41CF-814D-9848B4FA6481}"/>
    <cellStyle name="Normal 4 3 3 7 6 2" xfId="15341" xr:uid="{F474C12B-8A9A-4293-8EFB-79C00ADBD657}"/>
    <cellStyle name="Normal 4 3 3 7 7" xfId="6234" xr:uid="{19005D3E-6B4E-4AC1-B179-167ED5775394}"/>
    <cellStyle name="Normal 4 3 3 7 7 2" xfId="15342" xr:uid="{3CF443F1-8862-48F6-AA9F-DB198FF0C396}"/>
    <cellStyle name="Normal 4 3 3 7 8" xfId="15322" xr:uid="{472A0D8E-EBF7-4704-B17F-D76D9E116356}"/>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2 2" xfId="15346" xr:uid="{5A97D130-7E5B-42EB-81F9-92B228AB10A3}"/>
    <cellStyle name="Normal 4 3 3 8 2 2 3" xfId="6239" xr:uid="{E5F4051A-B628-4EEB-9DE5-5DE56555D2E7}"/>
    <cellStyle name="Normal 4 3 3 8 2 2 3 2" xfId="15347" xr:uid="{A0E02B90-274A-493C-BDD1-7F01B6CA99B3}"/>
    <cellStyle name="Normal 4 3 3 8 2 2 4" xfId="15345" xr:uid="{9102C66F-8F7F-4777-9FC4-193666F5EBC7}"/>
    <cellStyle name="Normal 4 3 3 8 2 3" xfId="6240" xr:uid="{40B55325-AAC1-42D7-A61C-2F6A422DA98C}"/>
    <cellStyle name="Normal 4 3 3 8 2 3 2" xfId="15348" xr:uid="{078AF089-E760-4B14-B21E-9882DC343416}"/>
    <cellStyle name="Normal 4 3 3 8 2 4" xfId="6241" xr:uid="{36B297F8-200D-4299-9F8E-4C9BE307704D}"/>
    <cellStyle name="Normal 4 3 3 8 2 4 2" xfId="15349" xr:uid="{0A9D4D0F-ABA2-452D-8F35-DF631730F58E}"/>
    <cellStyle name="Normal 4 3 3 8 2 5" xfId="6242" xr:uid="{7794D4A6-A4BC-4F7A-890B-A37164734046}"/>
    <cellStyle name="Normal 4 3 3 8 2 5 2" xfId="15350" xr:uid="{B2B1DFA4-E52C-48C7-A709-1022C114082B}"/>
    <cellStyle name="Normal 4 3 3 8 2 6" xfId="15344" xr:uid="{5E1B32E0-6B3B-461B-A0FD-EEC81C4BFE52}"/>
    <cellStyle name="Normal 4 3 3 8 3" xfId="6243" xr:uid="{5056EF67-9054-4B11-A82A-416D7C4B99F2}"/>
    <cellStyle name="Normal 4 3 3 8 3 2" xfId="6244" xr:uid="{CF04F515-62AA-4C99-8C31-54ED85560F33}"/>
    <cellStyle name="Normal 4 3 3 8 3 2 2" xfId="6245" xr:uid="{B48BE79A-78FF-4BE8-9451-58EE1BDB7592}"/>
    <cellStyle name="Normal 4 3 3 8 3 2 2 2" xfId="15353" xr:uid="{1547C08E-11AE-46D7-B8CC-550AB9FDDED0}"/>
    <cellStyle name="Normal 4 3 3 8 3 2 3" xfId="6246" xr:uid="{97FA356B-35CB-48B1-BD09-56CD0D3BBCF8}"/>
    <cellStyle name="Normal 4 3 3 8 3 2 3 2" xfId="15354" xr:uid="{41CCE652-D46A-4FFF-B9DE-D35201314E31}"/>
    <cellStyle name="Normal 4 3 3 8 3 2 4" xfId="15352" xr:uid="{57904DD3-6ECD-4507-BF17-FBAA814B499A}"/>
    <cellStyle name="Normal 4 3 3 8 3 3" xfId="6247" xr:uid="{F15064F6-9355-4E99-84D7-3C63B8C2FDED}"/>
    <cellStyle name="Normal 4 3 3 8 3 3 2" xfId="15355" xr:uid="{886AA4A9-7847-445A-A645-499DBB917CE6}"/>
    <cellStyle name="Normal 4 3 3 8 3 4" xfId="6248" xr:uid="{19FBFDE5-37E4-4498-9118-2324F8A0153E}"/>
    <cellStyle name="Normal 4 3 3 8 3 4 2" xfId="15356" xr:uid="{BC711A53-0AB4-41AC-BCF3-51DFD406A10F}"/>
    <cellStyle name="Normal 4 3 3 8 3 5" xfId="6249" xr:uid="{991B5808-EDD5-4E93-A9F1-A153156149C0}"/>
    <cellStyle name="Normal 4 3 3 8 3 5 2" xfId="15357" xr:uid="{0EA68580-C699-44D7-8165-154ED5C94ED9}"/>
    <cellStyle name="Normal 4 3 3 8 3 6" xfId="15351" xr:uid="{6CCCAEF2-62DF-4FE7-B7C2-C7B8778EB371}"/>
    <cellStyle name="Normal 4 3 3 8 4" xfId="6250" xr:uid="{D48A79EA-9A02-4556-8E49-96C690B5E495}"/>
    <cellStyle name="Normal 4 3 3 8 4 2" xfId="6251" xr:uid="{98B39E1F-602B-46E5-B373-1D327DC2B42B}"/>
    <cellStyle name="Normal 4 3 3 8 4 2 2" xfId="15359" xr:uid="{D26CE02A-F364-4FA9-BC02-B9504F37DF58}"/>
    <cellStyle name="Normal 4 3 3 8 4 3" xfId="6252" xr:uid="{BF3032FF-5AE2-40CD-92C2-41CAD8F707F9}"/>
    <cellStyle name="Normal 4 3 3 8 4 3 2" xfId="15360" xr:uid="{5C551735-ADA6-4470-A643-EB8ADA348350}"/>
    <cellStyle name="Normal 4 3 3 8 4 4" xfId="15358" xr:uid="{8336EB9A-3D91-414C-875F-7330CF4D2AD7}"/>
    <cellStyle name="Normal 4 3 3 8 5" xfId="6253" xr:uid="{B4D84834-732B-4F0E-AA1D-2EE71619B73B}"/>
    <cellStyle name="Normal 4 3 3 8 5 2" xfId="15361" xr:uid="{DC5E0267-4443-4F53-B8C4-DCCE3948F0F6}"/>
    <cellStyle name="Normal 4 3 3 8 6" xfId="6254" xr:uid="{FB27A359-3D8F-4684-916F-413E6C1594A7}"/>
    <cellStyle name="Normal 4 3 3 8 6 2" xfId="15362" xr:uid="{51B3EE9F-9791-49F0-8628-160BD49BDB70}"/>
    <cellStyle name="Normal 4 3 3 8 7" xfId="6255" xr:uid="{E275A840-431B-4924-A90A-CB045A7FAA4A}"/>
    <cellStyle name="Normal 4 3 3 8 7 2" xfId="15363" xr:uid="{D095117D-4D87-45CB-BA1F-BEED23C6207B}"/>
    <cellStyle name="Normal 4 3 3 8 8" xfId="15343" xr:uid="{43D69860-C1CA-4CC8-AE3D-5F64FD084E54}"/>
    <cellStyle name="Normal 4 3 3 9" xfId="6256" xr:uid="{8D0FA4EF-618F-4257-97C7-57A26591B157}"/>
    <cellStyle name="Normal 4 3 3 9 2" xfId="6257" xr:uid="{C08474EF-1D75-4881-A4F5-770A62550991}"/>
    <cellStyle name="Normal 4 3 3 9 2 2" xfId="6258" xr:uid="{6C865079-74E8-43B8-B801-1B0DCA73AF89}"/>
    <cellStyle name="Normal 4 3 3 9 2 2 2" xfId="15366" xr:uid="{534ED1E2-B08D-4CA0-8024-C51C603C50EE}"/>
    <cellStyle name="Normal 4 3 3 9 2 3" xfId="6259" xr:uid="{DC0549A2-9E91-4B35-81A1-52BE61387879}"/>
    <cellStyle name="Normal 4 3 3 9 2 3 2" xfId="15367" xr:uid="{E4551123-D509-4066-BF55-A4B8DCE1D710}"/>
    <cellStyle name="Normal 4 3 3 9 2 4" xfId="15365" xr:uid="{312358B1-E73C-4E7B-A87E-C872F545617C}"/>
    <cellStyle name="Normal 4 3 3 9 3" xfId="6260" xr:uid="{98243F08-69F0-466B-954A-8765DA4FC283}"/>
    <cellStyle name="Normal 4 3 3 9 3 2" xfId="15368" xr:uid="{DC0C2922-044A-42A4-BA85-9BD090C751BA}"/>
    <cellStyle name="Normal 4 3 3 9 4" xfId="6261" xr:uid="{C0B19C91-BAB1-432D-8E5B-DA647C27C8BC}"/>
    <cellStyle name="Normal 4 3 3 9 4 2" xfId="15369" xr:uid="{7C750B42-837F-4881-B997-B1B4BE241488}"/>
    <cellStyle name="Normal 4 3 3 9 5" xfId="6262" xr:uid="{8B6A1795-F4EE-4EDE-80ED-DEC08C3A0F4E}"/>
    <cellStyle name="Normal 4 3 3 9 5 2" xfId="15370" xr:uid="{8B6E6BFB-59E9-4F2F-990D-72828DF6D7DC}"/>
    <cellStyle name="Normal 4 3 3 9 6" xfId="15364" xr:uid="{F15067B5-C840-48AA-B9DA-3ADF23829EF8}"/>
    <cellStyle name="Normal 4 3 4" xfId="6263" xr:uid="{4C86C85D-0C97-42A6-94A6-B7750BDE0461}"/>
    <cellStyle name="Normal 4 3 4 10" xfId="6264" xr:uid="{2DD0AC20-B619-45FC-A367-96947617BABC}"/>
    <cellStyle name="Normal 4 3 4 10 2" xfId="15372" xr:uid="{7FB680E1-1888-4D49-AE4E-51DDAB21F441}"/>
    <cellStyle name="Normal 4 3 4 11" xfId="6265" xr:uid="{4EBB08F6-E629-4B34-8104-F6C68D5FC52A}"/>
    <cellStyle name="Normal 4 3 4 11 2" xfId="15373" xr:uid="{AEC7BD66-4898-4A86-85C2-3A448D7C1130}"/>
    <cellStyle name="Normal 4 3 4 12" xfId="6266" xr:uid="{E5574023-47C9-4A67-9723-B1D49A49A7D7}"/>
    <cellStyle name="Normal 4 3 4 12 2" xfId="15374" xr:uid="{482E887D-D6BC-444E-9AF7-5DB11A25CEF6}"/>
    <cellStyle name="Normal 4 3 4 13" xfId="15371" xr:uid="{29B363F2-16B1-4B8A-BA4F-49842D856C36}"/>
    <cellStyle name="Normal 4 3 4 2" xfId="6267" xr:uid="{B7EAF889-50DE-470C-854F-42F5F3D40F0B}"/>
    <cellStyle name="Normal 4 3 4 2 10" xfId="15375" xr:uid="{EA2000DF-FBA0-4B6C-B1CD-B962E5C3472C}"/>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2 2" xfId="15380" xr:uid="{E8C51AA6-710A-497E-9DAB-97D76933EA4B}"/>
    <cellStyle name="Normal 4 3 4 2 2 2 2 2 3" xfId="6273" xr:uid="{EC498210-B88E-4FA9-AB43-36678C3F38FC}"/>
    <cellStyle name="Normal 4 3 4 2 2 2 2 2 3 2" xfId="15381" xr:uid="{017D6870-DD7B-4711-9D91-8F3F2A91E4CA}"/>
    <cellStyle name="Normal 4 3 4 2 2 2 2 2 4" xfId="15379" xr:uid="{ACE7F3F8-DC83-46D9-8E5E-8DCACF679851}"/>
    <cellStyle name="Normal 4 3 4 2 2 2 2 3" xfId="6274" xr:uid="{A1A916CF-BB9E-4FB4-9D14-2BF502B0EAC9}"/>
    <cellStyle name="Normal 4 3 4 2 2 2 2 3 2" xfId="15382" xr:uid="{74A925BB-AC82-41B9-945A-2B5525BAC28A}"/>
    <cellStyle name="Normal 4 3 4 2 2 2 2 4" xfId="6275" xr:uid="{6660FB51-26F6-40DE-89AE-992080F493D1}"/>
    <cellStyle name="Normal 4 3 4 2 2 2 2 4 2" xfId="15383" xr:uid="{B47A7673-B32A-40C5-9EC9-7C1990333D6D}"/>
    <cellStyle name="Normal 4 3 4 2 2 2 2 5" xfId="6276" xr:uid="{2A91B764-BC9C-454E-B217-7456BA990182}"/>
    <cellStyle name="Normal 4 3 4 2 2 2 2 5 2" xfId="15384" xr:uid="{A1D527A2-8B08-4943-B025-BB82EFF84481}"/>
    <cellStyle name="Normal 4 3 4 2 2 2 2 6" xfId="15378" xr:uid="{FF218648-45BB-4B7E-9405-9FF6D4465C6C}"/>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2 2" xfId="15387" xr:uid="{3002143C-E66B-4D17-95C0-A0751C948F59}"/>
    <cellStyle name="Normal 4 3 4 2 2 2 3 2 3" xfId="6280" xr:uid="{6B8580AD-7C11-4CA2-92AD-F6C5D0A826C3}"/>
    <cellStyle name="Normal 4 3 4 2 2 2 3 2 3 2" xfId="15388" xr:uid="{77826CBA-AB62-4450-8BBD-5ED265131EA5}"/>
    <cellStyle name="Normal 4 3 4 2 2 2 3 2 4" xfId="15386" xr:uid="{5AED63D1-E9C7-4E7A-848C-919442833FCA}"/>
    <cellStyle name="Normal 4 3 4 2 2 2 3 3" xfId="6281" xr:uid="{C0E969E9-69F5-4D4F-85A4-5811C6974CA4}"/>
    <cellStyle name="Normal 4 3 4 2 2 2 3 3 2" xfId="15389" xr:uid="{C4376B4D-C2C4-4E40-B950-300C6BE70443}"/>
    <cellStyle name="Normal 4 3 4 2 2 2 3 4" xfId="6282" xr:uid="{56628D71-CB18-422C-8708-3411F415841D}"/>
    <cellStyle name="Normal 4 3 4 2 2 2 3 4 2" xfId="15390" xr:uid="{68FEB636-D91F-4781-8876-8E8DAA4E4504}"/>
    <cellStyle name="Normal 4 3 4 2 2 2 3 5" xfId="6283" xr:uid="{2AB6FC6C-BF11-42AB-A942-B812C611BD5B}"/>
    <cellStyle name="Normal 4 3 4 2 2 2 3 5 2" xfId="15391" xr:uid="{E255B66C-8343-4C9F-84AE-6676B66F7C51}"/>
    <cellStyle name="Normal 4 3 4 2 2 2 3 6" xfId="15385" xr:uid="{1488E9E9-7977-4550-9AD3-78C4689080C3}"/>
    <cellStyle name="Normal 4 3 4 2 2 2 4" xfId="6284" xr:uid="{E8EC0584-951B-4410-A5D8-D23DF3DAFCFB}"/>
    <cellStyle name="Normal 4 3 4 2 2 2 4 2" xfId="6285" xr:uid="{07CDF914-1187-4407-B0DA-5F0EB944CD0C}"/>
    <cellStyle name="Normal 4 3 4 2 2 2 4 2 2" xfId="15393" xr:uid="{88DC9565-F82C-4771-871B-17142E7EC03A}"/>
    <cellStyle name="Normal 4 3 4 2 2 2 4 3" xfId="6286" xr:uid="{230FF5FC-0952-486B-8B45-9CB5835CAD8A}"/>
    <cellStyle name="Normal 4 3 4 2 2 2 4 3 2" xfId="15394" xr:uid="{67F95BCF-BEF6-45F3-B1B5-7C68C5E68A57}"/>
    <cellStyle name="Normal 4 3 4 2 2 2 4 4" xfId="15392" xr:uid="{4BFC5EE1-F34E-4CC1-A384-A19A3C6F334D}"/>
    <cellStyle name="Normal 4 3 4 2 2 2 5" xfId="6287" xr:uid="{9BF0E1E3-2434-4930-8A22-B6C8F02A3124}"/>
    <cellStyle name="Normal 4 3 4 2 2 2 5 2" xfId="15395" xr:uid="{71AE5D60-15E5-4C74-8541-2EFFE285E930}"/>
    <cellStyle name="Normal 4 3 4 2 2 2 6" xfId="6288" xr:uid="{B1E01E96-F0DB-4C70-A34F-2CAC2F0A4AF8}"/>
    <cellStyle name="Normal 4 3 4 2 2 2 6 2" xfId="15396" xr:uid="{F2712013-09FE-4D5F-BDAD-8A3F7A364432}"/>
    <cellStyle name="Normal 4 3 4 2 2 2 7" xfId="6289" xr:uid="{11841329-AA53-424B-BFC1-557520BDAABA}"/>
    <cellStyle name="Normal 4 3 4 2 2 2 7 2" xfId="15397" xr:uid="{862EE196-D800-477C-8699-4395F39C3D6B}"/>
    <cellStyle name="Normal 4 3 4 2 2 2 8" xfId="15377" xr:uid="{AD3C5A2F-C3A1-470F-80F6-AA47DC63A5CD}"/>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2 2" xfId="15400" xr:uid="{2DDFFCE6-B034-4DBB-9F2A-47A733CC7AC3}"/>
    <cellStyle name="Normal 4 3 4 2 2 3 2 3" xfId="6293" xr:uid="{9D249EB9-3A35-47F3-8CD1-61D292A8CA97}"/>
    <cellStyle name="Normal 4 3 4 2 2 3 2 3 2" xfId="15401" xr:uid="{331F23A9-CFDB-4146-8346-AF04D7C88BA4}"/>
    <cellStyle name="Normal 4 3 4 2 2 3 2 4" xfId="15399" xr:uid="{AF2B27AF-D838-4E97-8C75-4E71388BAAA7}"/>
    <cellStyle name="Normal 4 3 4 2 2 3 3" xfId="6294" xr:uid="{4C4EC797-7078-4ADE-8FCA-8C5D9F36DA12}"/>
    <cellStyle name="Normal 4 3 4 2 2 3 3 2" xfId="15402" xr:uid="{B5E66F82-69E6-488C-BAFC-220B3E187035}"/>
    <cellStyle name="Normal 4 3 4 2 2 3 4" xfId="6295" xr:uid="{8FDC18E9-D456-4F0B-BACD-A337B575ABF3}"/>
    <cellStyle name="Normal 4 3 4 2 2 3 4 2" xfId="15403" xr:uid="{091C6D4A-A2A8-4FAE-B69E-28AF3B3F76FB}"/>
    <cellStyle name="Normal 4 3 4 2 2 3 5" xfId="6296" xr:uid="{43428EC0-6FF0-4F51-AD8F-5E5A88D029B4}"/>
    <cellStyle name="Normal 4 3 4 2 2 3 5 2" xfId="15404" xr:uid="{C62F62F8-7B84-485A-8434-408B6580180A}"/>
    <cellStyle name="Normal 4 3 4 2 2 3 6" xfId="15398" xr:uid="{2451AFE1-35F0-4C58-95AC-62E7E7C625EC}"/>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2 2" xfId="15407" xr:uid="{E1E4312C-F768-4DB9-9953-2CB8DFF3D8B2}"/>
    <cellStyle name="Normal 4 3 4 2 2 4 2 3" xfId="6300" xr:uid="{F60C5292-6029-42C1-8020-5B25FE4C98A1}"/>
    <cellStyle name="Normal 4 3 4 2 2 4 2 3 2" xfId="15408" xr:uid="{91746975-0F84-4CCE-8CAC-04EAD065F0A4}"/>
    <cellStyle name="Normal 4 3 4 2 2 4 2 4" xfId="15406" xr:uid="{63303840-FF71-491B-A8D2-6FA15F2BA513}"/>
    <cellStyle name="Normal 4 3 4 2 2 4 3" xfId="6301" xr:uid="{A456D228-E39C-4663-81AD-41ACC393F26F}"/>
    <cellStyle name="Normal 4 3 4 2 2 4 3 2" xfId="15409" xr:uid="{2DA26365-A18B-4EE9-B2BD-D27ED44FBA7E}"/>
    <cellStyle name="Normal 4 3 4 2 2 4 4" xfId="6302" xr:uid="{EA895E0B-7250-47D0-B513-1F13191920A6}"/>
    <cellStyle name="Normal 4 3 4 2 2 4 4 2" xfId="15410" xr:uid="{C8DCC919-561A-4CC4-8F76-3AC344CD2C66}"/>
    <cellStyle name="Normal 4 3 4 2 2 4 5" xfId="6303" xr:uid="{FC11D9D8-6F8D-4CD7-9280-7F25519EF189}"/>
    <cellStyle name="Normal 4 3 4 2 2 4 5 2" xfId="15411" xr:uid="{F4FEBC28-890E-4247-A1AD-64F00199D6BB}"/>
    <cellStyle name="Normal 4 3 4 2 2 4 6" xfId="15405" xr:uid="{27DE7BF0-61DC-4E4A-BA79-99AB246D206E}"/>
    <cellStyle name="Normal 4 3 4 2 2 5" xfId="6304" xr:uid="{655D3311-9B03-4260-8EA1-499615F3FBF2}"/>
    <cellStyle name="Normal 4 3 4 2 2 5 2" xfId="6305" xr:uid="{1B07F999-C204-4BC8-BB2C-3258D07411FA}"/>
    <cellStyle name="Normal 4 3 4 2 2 5 2 2" xfId="15413" xr:uid="{33E3B4CF-BF35-4091-9310-B62595B2127A}"/>
    <cellStyle name="Normal 4 3 4 2 2 5 3" xfId="6306" xr:uid="{F4F983F5-2875-469D-A21A-D558E3BA12E5}"/>
    <cellStyle name="Normal 4 3 4 2 2 5 3 2" xfId="15414" xr:uid="{B15DC0C8-3874-48E3-BB08-681A99DDE0C2}"/>
    <cellStyle name="Normal 4 3 4 2 2 5 4" xfId="15412" xr:uid="{F1EC398D-300A-4837-B01C-7AB7CEE10478}"/>
    <cellStyle name="Normal 4 3 4 2 2 6" xfId="6307" xr:uid="{3FE4EA98-BE03-40EC-8EA2-E9ACA31D8210}"/>
    <cellStyle name="Normal 4 3 4 2 2 6 2" xfId="15415" xr:uid="{E11C5C99-EB3C-4CBC-9E3B-7389A28054E6}"/>
    <cellStyle name="Normal 4 3 4 2 2 7" xfId="6308" xr:uid="{C3CD96C5-2CEA-4FDA-837F-8D6E181F6C3E}"/>
    <cellStyle name="Normal 4 3 4 2 2 7 2" xfId="15416" xr:uid="{87478AE8-7A07-41D5-89AF-F352BDAB291B}"/>
    <cellStyle name="Normal 4 3 4 2 2 8" xfId="6309" xr:uid="{A48F8A55-301C-414D-8930-8129D935FD45}"/>
    <cellStyle name="Normal 4 3 4 2 2 8 2" xfId="15417" xr:uid="{CFFA3592-F9C0-4A7B-91F3-972DD5256E4D}"/>
    <cellStyle name="Normal 4 3 4 2 2 9" xfId="15376" xr:uid="{6E76B3F0-C6D6-4014-AEA0-E6AD84052DB9}"/>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2 2" xfId="15421" xr:uid="{7BC967C9-01FB-4FE9-9F75-819CCB5FED93}"/>
    <cellStyle name="Normal 4 3 4 2 3 2 2 3" xfId="6314" xr:uid="{D2F75ADA-B86B-48CB-AEA4-167236D3B7D8}"/>
    <cellStyle name="Normal 4 3 4 2 3 2 2 3 2" xfId="15422" xr:uid="{D33F4FC4-1F1C-465A-8481-59F27659EBF2}"/>
    <cellStyle name="Normal 4 3 4 2 3 2 2 4" xfId="15420" xr:uid="{7773216C-4E2E-4716-A4DA-CDB0931E3C1C}"/>
    <cellStyle name="Normal 4 3 4 2 3 2 3" xfId="6315" xr:uid="{9C97E8FA-B962-43D5-B770-5BEFEE5D8739}"/>
    <cellStyle name="Normal 4 3 4 2 3 2 3 2" xfId="15423" xr:uid="{1185E1D9-3CD2-4A31-930C-5C31BAE76A4E}"/>
    <cellStyle name="Normal 4 3 4 2 3 2 4" xfId="6316" xr:uid="{C169DBAE-0A06-4A77-A24D-9759DCCA6533}"/>
    <cellStyle name="Normal 4 3 4 2 3 2 4 2" xfId="15424" xr:uid="{4C58C284-6A8D-4091-BDBD-07242E02A275}"/>
    <cellStyle name="Normal 4 3 4 2 3 2 5" xfId="6317" xr:uid="{49F1FA64-78FF-4E7C-937A-058CE492488A}"/>
    <cellStyle name="Normal 4 3 4 2 3 2 5 2" xfId="15425" xr:uid="{8D5CE010-88B8-4183-8143-9C756CFD1DC7}"/>
    <cellStyle name="Normal 4 3 4 2 3 2 6" xfId="15419" xr:uid="{52F8EDBF-93BF-4ACA-8E0F-98CD3B6E7A0E}"/>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2 2" xfId="15428" xr:uid="{CDC72D33-FC74-4080-9B8D-BC02F775460C}"/>
    <cellStyle name="Normal 4 3 4 2 3 3 2 3" xfId="6321" xr:uid="{554549A8-94C0-4447-8A02-E69CA5079EF1}"/>
    <cellStyle name="Normal 4 3 4 2 3 3 2 3 2" xfId="15429" xr:uid="{D44BC9A4-022A-43D1-A150-76422A2793D0}"/>
    <cellStyle name="Normal 4 3 4 2 3 3 2 4" xfId="15427" xr:uid="{17A51D28-E71C-4004-A230-96AC3F1D494D}"/>
    <cellStyle name="Normal 4 3 4 2 3 3 3" xfId="6322" xr:uid="{DC7C6653-9C39-4382-A95B-384D6CD35242}"/>
    <cellStyle name="Normal 4 3 4 2 3 3 3 2" xfId="15430" xr:uid="{BC98EB1F-E0F3-46E9-9C5D-E8D5DEB86152}"/>
    <cellStyle name="Normal 4 3 4 2 3 3 4" xfId="6323" xr:uid="{84E47447-AF9D-4615-9BEB-BCBE11AEC215}"/>
    <cellStyle name="Normal 4 3 4 2 3 3 4 2" xfId="15431" xr:uid="{4CF127B6-F45A-490C-80BC-0480246B8199}"/>
    <cellStyle name="Normal 4 3 4 2 3 3 5" xfId="6324" xr:uid="{F92C11C0-D71C-49A2-8A65-1D8383E095CC}"/>
    <cellStyle name="Normal 4 3 4 2 3 3 5 2" xfId="15432" xr:uid="{FD6F8827-3D83-47A8-A083-ED3C3915E03D}"/>
    <cellStyle name="Normal 4 3 4 2 3 3 6" xfId="15426" xr:uid="{D07E8211-B914-47D4-BE6B-35600E47F52B}"/>
    <cellStyle name="Normal 4 3 4 2 3 4" xfId="6325" xr:uid="{83E7EF39-4B7D-4054-BD1F-B0212B69E5F9}"/>
    <cellStyle name="Normal 4 3 4 2 3 4 2" xfId="6326" xr:uid="{E7E42D61-BDCA-4850-A158-BDF8C21B9D87}"/>
    <cellStyle name="Normal 4 3 4 2 3 4 2 2" xfId="15434" xr:uid="{939A304B-3120-4C5F-BB83-33C6336B01AA}"/>
    <cellStyle name="Normal 4 3 4 2 3 4 3" xfId="6327" xr:uid="{D91BA8BB-B06E-4390-A05C-3CD8F8287233}"/>
    <cellStyle name="Normal 4 3 4 2 3 4 3 2" xfId="15435" xr:uid="{17A1481C-A50A-4AB9-A900-7A196F8FC5DF}"/>
    <cellStyle name="Normal 4 3 4 2 3 4 4" xfId="15433" xr:uid="{822005D6-9605-4504-9BA9-6DD3E870203D}"/>
    <cellStyle name="Normal 4 3 4 2 3 5" xfId="6328" xr:uid="{82DB9777-BA08-4DDD-9DD3-6CB992E88115}"/>
    <cellStyle name="Normal 4 3 4 2 3 5 2" xfId="15436" xr:uid="{98CB93AC-246D-41B7-BB3F-EABBB6CA6FF9}"/>
    <cellStyle name="Normal 4 3 4 2 3 6" xfId="6329" xr:uid="{F761675B-C3AD-4BED-999D-66AE0AE9A1EB}"/>
    <cellStyle name="Normal 4 3 4 2 3 6 2" xfId="15437" xr:uid="{336A54CA-40B2-40CC-8A8C-20C78C73585F}"/>
    <cellStyle name="Normal 4 3 4 2 3 7" xfId="6330" xr:uid="{377F62E0-EECE-4725-BBBB-DD55153D6638}"/>
    <cellStyle name="Normal 4 3 4 2 3 7 2" xfId="15438" xr:uid="{E9584903-B2BB-47C9-AD10-30ED6484965F}"/>
    <cellStyle name="Normal 4 3 4 2 3 8" xfId="15418" xr:uid="{01D2E464-E210-4A2E-9020-5E010D1CBF88}"/>
    <cellStyle name="Normal 4 3 4 2 4" xfId="6331" xr:uid="{ADC4DFBA-3ED2-4BBF-A207-209AD0E919C4}"/>
    <cellStyle name="Normal 4 3 4 2 4 2" xfId="6332" xr:uid="{3B149181-0BC5-48EA-8BC4-6D8298974E2F}"/>
    <cellStyle name="Normal 4 3 4 2 4 2 2" xfId="6333" xr:uid="{CC4D3355-5879-4E8E-ABD1-101989C3DCE9}"/>
    <cellStyle name="Normal 4 3 4 2 4 2 2 2" xfId="15441" xr:uid="{7A4888DC-1686-499C-828E-BD117E06E41C}"/>
    <cellStyle name="Normal 4 3 4 2 4 2 3" xfId="6334" xr:uid="{121A5C86-5BCA-4579-9A9A-4E6F78745811}"/>
    <cellStyle name="Normal 4 3 4 2 4 2 3 2" xfId="15442" xr:uid="{9A74D479-93EC-4DA3-92F3-2BCF2E6A1A1F}"/>
    <cellStyle name="Normal 4 3 4 2 4 2 4" xfId="15440" xr:uid="{48310029-FA24-482A-8A27-70CA1CC01135}"/>
    <cellStyle name="Normal 4 3 4 2 4 3" xfId="6335" xr:uid="{9AFF46E7-629F-476B-8995-56EAC3C8B762}"/>
    <cellStyle name="Normal 4 3 4 2 4 3 2" xfId="15443" xr:uid="{5BBA3E8C-71B8-46EE-845A-BFDF69D3ACCB}"/>
    <cellStyle name="Normal 4 3 4 2 4 4" xfId="6336" xr:uid="{6D3BF49B-205A-490A-927C-117BA0AECB78}"/>
    <cellStyle name="Normal 4 3 4 2 4 4 2" xfId="15444" xr:uid="{78AC9666-0BD9-45B5-BE52-15DF00A2F4D5}"/>
    <cellStyle name="Normal 4 3 4 2 4 5" xfId="6337" xr:uid="{81341257-564C-426A-9C9A-A3DBF7D62ABA}"/>
    <cellStyle name="Normal 4 3 4 2 4 5 2" xfId="15445" xr:uid="{AA53A85B-1D5D-425A-ACE0-8063EA63D8D3}"/>
    <cellStyle name="Normal 4 3 4 2 4 6" xfId="15439" xr:uid="{6D44CBD5-EE80-49A5-A945-C4170C088382}"/>
    <cellStyle name="Normal 4 3 4 2 5" xfId="6338" xr:uid="{CC31D048-90FA-457E-8A89-BF6EF032CD38}"/>
    <cellStyle name="Normal 4 3 4 2 5 2" xfId="6339" xr:uid="{23E95309-9691-4BD4-988A-11E8790E6EE6}"/>
    <cellStyle name="Normal 4 3 4 2 5 2 2" xfId="6340" xr:uid="{B9AD6B98-C694-4DD2-B0AF-1A781C3ECF79}"/>
    <cellStyle name="Normal 4 3 4 2 5 2 2 2" xfId="15448" xr:uid="{022290D1-595E-49BB-B5A3-72D1C815B608}"/>
    <cellStyle name="Normal 4 3 4 2 5 2 3" xfId="6341" xr:uid="{0ADA7141-4C56-4F01-AFC0-FFE19747BE78}"/>
    <cellStyle name="Normal 4 3 4 2 5 2 3 2" xfId="15449" xr:uid="{C55C53C1-809B-44DC-A08D-670A8421AD28}"/>
    <cellStyle name="Normal 4 3 4 2 5 2 4" xfId="15447" xr:uid="{4EF0F002-5ADC-4CE1-B645-FD8C28243D2A}"/>
    <cellStyle name="Normal 4 3 4 2 5 3" xfId="6342" xr:uid="{CA57D220-DBD8-44F7-91BE-EE28248A7522}"/>
    <cellStyle name="Normal 4 3 4 2 5 3 2" xfId="15450" xr:uid="{8AD0FD8B-58BE-4DD2-BB83-A8FFCB184986}"/>
    <cellStyle name="Normal 4 3 4 2 5 4" xfId="6343" xr:uid="{A7C434BE-6D16-4926-B6A0-B53A79030C8D}"/>
    <cellStyle name="Normal 4 3 4 2 5 4 2" xfId="15451" xr:uid="{4EF1DC7A-EAE3-4907-AABC-81E9C7DB235C}"/>
    <cellStyle name="Normal 4 3 4 2 5 5" xfId="6344" xr:uid="{2AAABF4D-BEAB-4BC1-973B-C676345BF19C}"/>
    <cellStyle name="Normal 4 3 4 2 5 5 2" xfId="15452" xr:uid="{FDCA9BB6-9D83-4D49-B820-208161748F78}"/>
    <cellStyle name="Normal 4 3 4 2 5 6" xfId="15446" xr:uid="{1B5842B8-6A29-4B0C-9B65-B5B249DB9FAD}"/>
    <cellStyle name="Normal 4 3 4 2 6" xfId="6345" xr:uid="{A5FFDDC9-0A74-45EB-8D87-BA86A7EEA893}"/>
    <cellStyle name="Normal 4 3 4 2 6 2" xfId="6346" xr:uid="{01276C7E-B3F0-4E03-BB33-A097B71EDB2A}"/>
    <cellStyle name="Normal 4 3 4 2 6 2 2" xfId="15454" xr:uid="{CF0679AA-6221-4CC8-880A-C4E4FD6DA9B9}"/>
    <cellStyle name="Normal 4 3 4 2 6 3" xfId="6347" xr:uid="{CEF2F6D7-7B15-4FB8-A927-DAE99D4E7D78}"/>
    <cellStyle name="Normal 4 3 4 2 6 3 2" xfId="15455" xr:uid="{0C773350-7CAF-409A-B390-62A9E0EAAD48}"/>
    <cellStyle name="Normal 4 3 4 2 6 4" xfId="15453" xr:uid="{184B8136-AA7D-4CF6-97F2-BE2C197409FE}"/>
    <cellStyle name="Normal 4 3 4 2 7" xfId="6348" xr:uid="{115FEA71-FE47-4D35-9642-BA4A1644FAC8}"/>
    <cellStyle name="Normal 4 3 4 2 7 2" xfId="15456" xr:uid="{B993C195-F336-4C85-A97F-C917841418DB}"/>
    <cellStyle name="Normal 4 3 4 2 8" xfId="6349" xr:uid="{1298CD02-24B3-4785-9AED-5BD6A8411424}"/>
    <cellStyle name="Normal 4 3 4 2 8 2" xfId="15457" xr:uid="{077EF89E-831E-4459-BED9-6352DF9B2097}"/>
    <cellStyle name="Normal 4 3 4 2 9" xfId="6350" xr:uid="{E0A38873-68A1-4C87-AEEB-C7FB50F182D6}"/>
    <cellStyle name="Normal 4 3 4 2 9 2" xfId="15458" xr:uid="{A85B8163-854C-44D9-91AD-C31AB91D66F0}"/>
    <cellStyle name="Normal 4 3 4 3" xfId="6351" xr:uid="{C433EADF-5D64-43E0-BB64-BA6EC5C535EF}"/>
    <cellStyle name="Normal 4 3 4 3 10" xfId="15459" xr:uid="{FE3CD16E-B5BA-46C9-9F69-53199DFF3D21}"/>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2 2" xfId="15464" xr:uid="{0F93C5C6-DC12-46DB-9262-4F7419F78200}"/>
    <cellStyle name="Normal 4 3 4 3 2 2 2 2 3" xfId="6357" xr:uid="{892E8664-6583-44C0-9825-48B23E4A2656}"/>
    <cellStyle name="Normal 4 3 4 3 2 2 2 2 3 2" xfId="15465" xr:uid="{8B243B04-C1CB-49AB-BD00-B99F396EE727}"/>
    <cellStyle name="Normal 4 3 4 3 2 2 2 2 4" xfId="15463" xr:uid="{C598E66B-40DB-414B-BB6A-9DC82D143397}"/>
    <cellStyle name="Normal 4 3 4 3 2 2 2 3" xfId="6358" xr:uid="{3EED73D8-B2B6-4D72-B925-E77D8863CC87}"/>
    <cellStyle name="Normal 4 3 4 3 2 2 2 3 2" xfId="15466" xr:uid="{192B660C-1CF4-43C5-9150-3CCAA028B5F3}"/>
    <cellStyle name="Normal 4 3 4 3 2 2 2 4" xfId="6359" xr:uid="{DC320E4A-C3FF-4A43-BA65-148717F9FD56}"/>
    <cellStyle name="Normal 4 3 4 3 2 2 2 4 2" xfId="15467" xr:uid="{2B073B71-AAB5-4E93-BEA6-C07DBFDE3C1A}"/>
    <cellStyle name="Normal 4 3 4 3 2 2 2 5" xfId="6360" xr:uid="{F6ED4130-60D4-462D-9049-EA797BF834CF}"/>
    <cellStyle name="Normal 4 3 4 3 2 2 2 5 2" xfId="15468" xr:uid="{A8D195CC-5447-43C1-9097-4467B609DB80}"/>
    <cellStyle name="Normal 4 3 4 3 2 2 2 6" xfId="15462" xr:uid="{510B1D25-8C96-420A-8CB9-897EC87E6759}"/>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2 2" xfId="15471" xr:uid="{DE80672A-7C9E-4F05-B2F1-AB833E54F3B5}"/>
    <cellStyle name="Normal 4 3 4 3 2 2 3 2 3" xfId="6364" xr:uid="{E38D6122-8834-4FD1-BB27-1B99A36898D8}"/>
    <cellStyle name="Normal 4 3 4 3 2 2 3 2 3 2" xfId="15472" xr:uid="{9047A672-E61A-4C3B-9500-59FE55BAD9A7}"/>
    <cellStyle name="Normal 4 3 4 3 2 2 3 2 4" xfId="15470" xr:uid="{B8057D04-12FA-4206-B476-221F1F863377}"/>
    <cellStyle name="Normal 4 3 4 3 2 2 3 3" xfId="6365" xr:uid="{7A0E9155-4C66-4C53-B290-DDD7114C93B6}"/>
    <cellStyle name="Normal 4 3 4 3 2 2 3 3 2" xfId="15473" xr:uid="{C675B165-272D-4FB5-9C1B-426B23142882}"/>
    <cellStyle name="Normal 4 3 4 3 2 2 3 4" xfId="6366" xr:uid="{65EEA8F3-E576-4DA4-A7B0-A964E736CFD8}"/>
    <cellStyle name="Normal 4 3 4 3 2 2 3 4 2" xfId="15474" xr:uid="{761613EE-B7A6-4021-9C1E-6360F46C9B7C}"/>
    <cellStyle name="Normal 4 3 4 3 2 2 3 5" xfId="6367" xr:uid="{C787D263-22C0-4A0E-A8F7-D0540445E28A}"/>
    <cellStyle name="Normal 4 3 4 3 2 2 3 5 2" xfId="15475" xr:uid="{BDE53D88-97C8-443F-B8E2-3716A43A6E80}"/>
    <cellStyle name="Normal 4 3 4 3 2 2 3 6" xfId="15469" xr:uid="{58D400A0-C6C8-45F4-9332-92400F0DE6BA}"/>
    <cellStyle name="Normal 4 3 4 3 2 2 4" xfId="6368" xr:uid="{38237D42-4A75-4D71-82D1-4D8932DFDBAF}"/>
    <cellStyle name="Normal 4 3 4 3 2 2 4 2" xfId="6369" xr:uid="{A1EAB2D9-23FB-458C-BE78-AD7286E6FBF8}"/>
    <cellStyle name="Normal 4 3 4 3 2 2 4 2 2" xfId="15477" xr:uid="{EDFE7FEE-214C-4267-A0C3-8F2C8C8E94A5}"/>
    <cellStyle name="Normal 4 3 4 3 2 2 4 3" xfId="6370" xr:uid="{AC203B39-459C-4F9C-A381-0008E1A89C80}"/>
    <cellStyle name="Normal 4 3 4 3 2 2 4 3 2" xfId="15478" xr:uid="{4A2B5F55-AD4D-4AFD-8A38-C4A3233FF117}"/>
    <cellStyle name="Normal 4 3 4 3 2 2 4 4" xfId="15476" xr:uid="{3733DA1A-D40E-4A68-B8FF-C841FED74A3E}"/>
    <cellStyle name="Normal 4 3 4 3 2 2 5" xfId="6371" xr:uid="{3BA568CB-CB9D-4606-8173-212D2EB76846}"/>
    <cellStyle name="Normal 4 3 4 3 2 2 5 2" xfId="15479" xr:uid="{C5759E59-9FFE-4DF3-A720-E539CF20BE81}"/>
    <cellStyle name="Normal 4 3 4 3 2 2 6" xfId="6372" xr:uid="{104D3C1A-6001-4A40-BD6C-B38A4091C728}"/>
    <cellStyle name="Normal 4 3 4 3 2 2 6 2" xfId="15480" xr:uid="{F8599F3C-3D1A-4263-B5A4-DA29895649AA}"/>
    <cellStyle name="Normal 4 3 4 3 2 2 7" xfId="6373" xr:uid="{97B00DA8-76AB-48D0-B1AD-8CC3854E3913}"/>
    <cellStyle name="Normal 4 3 4 3 2 2 7 2" xfId="15481" xr:uid="{F4F22310-8A1D-46F0-BF13-E4DF3FB062A1}"/>
    <cellStyle name="Normal 4 3 4 3 2 2 8" xfId="15461" xr:uid="{51111A31-7295-459B-AE61-C726CD458DAA}"/>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2 2" xfId="15484" xr:uid="{6C72D474-3DF0-461B-8FD7-49DB128ABC07}"/>
    <cellStyle name="Normal 4 3 4 3 2 3 2 3" xfId="6377" xr:uid="{B1E0C203-F76A-4B8B-8BDE-F4C86AFB4E07}"/>
    <cellStyle name="Normal 4 3 4 3 2 3 2 3 2" xfId="15485" xr:uid="{510FCC80-82F7-4B70-986E-B555C9AD0B1A}"/>
    <cellStyle name="Normal 4 3 4 3 2 3 2 4" xfId="15483" xr:uid="{057AA448-19D7-4113-8F0E-44F95D88068B}"/>
    <cellStyle name="Normal 4 3 4 3 2 3 3" xfId="6378" xr:uid="{F7A0368A-D418-419C-81CD-295BB41B3B39}"/>
    <cellStyle name="Normal 4 3 4 3 2 3 3 2" xfId="15486" xr:uid="{956BCBE6-A772-4594-A01B-2B90B07519ED}"/>
    <cellStyle name="Normal 4 3 4 3 2 3 4" xfId="6379" xr:uid="{25F54FA4-DB4D-4BDB-9BF6-843AC2658884}"/>
    <cellStyle name="Normal 4 3 4 3 2 3 4 2" xfId="15487" xr:uid="{9DCB8059-BACF-426A-BC47-CCC3DA59A76C}"/>
    <cellStyle name="Normal 4 3 4 3 2 3 5" xfId="6380" xr:uid="{6137562E-6C71-4884-9FC5-135367434F4A}"/>
    <cellStyle name="Normal 4 3 4 3 2 3 5 2" xfId="15488" xr:uid="{0A83AE37-C197-4F57-94E3-C5305046AFD2}"/>
    <cellStyle name="Normal 4 3 4 3 2 3 6" xfId="15482" xr:uid="{78F19EE3-F71E-493C-9337-50FDA278CB0B}"/>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2 2" xfId="15491" xr:uid="{A2833B42-5A7D-4823-AAFD-6BE8D3C3A344}"/>
    <cellStyle name="Normal 4 3 4 3 2 4 2 3" xfId="6384" xr:uid="{69DBDA40-6326-4CD3-9B80-97CF590F7CB8}"/>
    <cellStyle name="Normal 4 3 4 3 2 4 2 3 2" xfId="15492" xr:uid="{A6F2B90E-20DA-4585-BFA2-14868E88151F}"/>
    <cellStyle name="Normal 4 3 4 3 2 4 2 4" xfId="15490" xr:uid="{A99616E6-86C8-4F6E-A6B3-D11EB7647485}"/>
    <cellStyle name="Normal 4 3 4 3 2 4 3" xfId="6385" xr:uid="{A0C54193-189C-4199-9C5C-ED3727F14A59}"/>
    <cellStyle name="Normal 4 3 4 3 2 4 3 2" xfId="15493" xr:uid="{5D75583C-6C0D-4E8F-B48F-851A904E228D}"/>
    <cellStyle name="Normal 4 3 4 3 2 4 4" xfId="6386" xr:uid="{3D82971D-55E2-4AE9-B3DE-F6082FB9E788}"/>
    <cellStyle name="Normal 4 3 4 3 2 4 4 2" xfId="15494" xr:uid="{C79E5B0B-7AB0-41F1-A0C0-82D21067CAED}"/>
    <cellStyle name="Normal 4 3 4 3 2 4 5" xfId="6387" xr:uid="{1313791B-A0C6-438B-BF68-30930A4B8090}"/>
    <cellStyle name="Normal 4 3 4 3 2 4 5 2" xfId="15495" xr:uid="{49F99803-4443-4636-8BA5-7BC2416A0EB7}"/>
    <cellStyle name="Normal 4 3 4 3 2 4 6" xfId="15489" xr:uid="{F06F1692-573D-4553-AEA3-A7EC7F03B34A}"/>
    <cellStyle name="Normal 4 3 4 3 2 5" xfId="6388" xr:uid="{6C792226-1D58-47CE-917A-F0FD9D95A8C2}"/>
    <cellStyle name="Normal 4 3 4 3 2 5 2" xfId="6389" xr:uid="{822DC7E4-C3B9-4701-8A56-C9F21AF54CE4}"/>
    <cellStyle name="Normal 4 3 4 3 2 5 2 2" xfId="15497" xr:uid="{B818A722-D9EB-481A-A687-5C41937BB570}"/>
    <cellStyle name="Normal 4 3 4 3 2 5 3" xfId="6390" xr:uid="{2C826D2E-0FE5-4769-A362-073EEE94FB77}"/>
    <cellStyle name="Normal 4 3 4 3 2 5 3 2" xfId="15498" xr:uid="{6737657F-340C-45F3-8807-8374A7B6BBE8}"/>
    <cellStyle name="Normal 4 3 4 3 2 5 4" xfId="15496" xr:uid="{025780AF-D66E-4A68-BB03-89DFB9E4215E}"/>
    <cellStyle name="Normal 4 3 4 3 2 6" xfId="6391" xr:uid="{00FBDC76-188D-42B4-B399-1254199E6AE3}"/>
    <cellStyle name="Normal 4 3 4 3 2 6 2" xfId="15499" xr:uid="{B669409D-2A6B-4408-8329-FDDDA31E8C94}"/>
    <cellStyle name="Normal 4 3 4 3 2 7" xfId="6392" xr:uid="{3EC70D00-70FC-45EC-A558-A5155120C78F}"/>
    <cellStyle name="Normal 4 3 4 3 2 7 2" xfId="15500" xr:uid="{2C6DD8BE-6297-4BA8-B31C-F512392AE8D5}"/>
    <cellStyle name="Normal 4 3 4 3 2 8" xfId="6393" xr:uid="{0A384B23-4494-4F47-83C3-EF11034E72AE}"/>
    <cellStyle name="Normal 4 3 4 3 2 8 2" xfId="15501" xr:uid="{F7824ADC-08FE-40DB-9A68-C00BA6A87095}"/>
    <cellStyle name="Normal 4 3 4 3 2 9" xfId="15460" xr:uid="{958CEBC8-1781-471C-AA8E-F76C4EF98721}"/>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2 2" xfId="15505" xr:uid="{599E8209-D2FD-4255-BD21-8561A685863C}"/>
    <cellStyle name="Normal 4 3 4 3 3 2 2 3" xfId="6398" xr:uid="{A4ECDB87-2F9B-436F-B701-EB90C6EEE7ED}"/>
    <cellStyle name="Normal 4 3 4 3 3 2 2 3 2" xfId="15506" xr:uid="{62BB1E76-B876-4BB3-9218-A915AC569F67}"/>
    <cellStyle name="Normal 4 3 4 3 3 2 2 4" xfId="15504" xr:uid="{70BCFC7C-3CF6-4F07-A67D-AE766B278583}"/>
    <cellStyle name="Normal 4 3 4 3 3 2 3" xfId="6399" xr:uid="{B3AE872E-9ABB-4760-A016-DC91E750EE8B}"/>
    <cellStyle name="Normal 4 3 4 3 3 2 3 2" xfId="15507" xr:uid="{23260D4C-6C90-481C-B773-31DDA32FCA9F}"/>
    <cellStyle name="Normal 4 3 4 3 3 2 4" xfId="6400" xr:uid="{F9AA43D9-42F7-45D8-B8E6-FA8F4DCA726C}"/>
    <cellStyle name="Normal 4 3 4 3 3 2 4 2" xfId="15508" xr:uid="{19B0E10F-C2C7-44ED-B79F-D05E01139465}"/>
    <cellStyle name="Normal 4 3 4 3 3 2 5" xfId="6401" xr:uid="{FDD9FAB5-5428-4577-886E-9F7F73709919}"/>
    <cellStyle name="Normal 4 3 4 3 3 2 5 2" xfId="15509" xr:uid="{E451F832-042B-4181-B8B3-66F72DBEA4E7}"/>
    <cellStyle name="Normal 4 3 4 3 3 2 6" xfId="15503" xr:uid="{9B8AC8B0-CEEE-4EEC-ABC5-D78AB62706BC}"/>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2 2" xfId="15512" xr:uid="{083F60E8-F9B0-41D0-87A1-48FF82544234}"/>
    <cellStyle name="Normal 4 3 4 3 3 3 2 3" xfId="6405" xr:uid="{5C8E944A-B891-45C6-B4F3-81981E4A2BB0}"/>
    <cellStyle name="Normal 4 3 4 3 3 3 2 3 2" xfId="15513" xr:uid="{D9EE27B7-85DE-4CE3-B6FE-6253B46B1089}"/>
    <cellStyle name="Normal 4 3 4 3 3 3 2 4" xfId="15511" xr:uid="{997AAAD3-5448-43EB-8F10-2A0F3A7D0554}"/>
    <cellStyle name="Normal 4 3 4 3 3 3 3" xfId="6406" xr:uid="{F0D78CEB-F40B-4951-B49F-E923A3ED84EE}"/>
    <cellStyle name="Normal 4 3 4 3 3 3 3 2" xfId="15514" xr:uid="{9DB69238-223F-4781-AF6E-14C365C26A3F}"/>
    <cellStyle name="Normal 4 3 4 3 3 3 4" xfId="6407" xr:uid="{A990C8AE-D6C9-4661-B3FC-69CC787B5E98}"/>
    <cellStyle name="Normal 4 3 4 3 3 3 4 2" xfId="15515" xr:uid="{C0BB75CC-81F3-4408-8048-B2F4BB367BBB}"/>
    <cellStyle name="Normal 4 3 4 3 3 3 5" xfId="6408" xr:uid="{4901C0F2-2E4C-4089-AC3F-6D8E145F31BD}"/>
    <cellStyle name="Normal 4 3 4 3 3 3 5 2" xfId="15516" xr:uid="{CDC41D14-3E1E-4F63-A483-98002D25FE40}"/>
    <cellStyle name="Normal 4 3 4 3 3 3 6" xfId="15510" xr:uid="{67AE6CD2-5EFE-4967-984A-D9934A6681A0}"/>
    <cellStyle name="Normal 4 3 4 3 3 4" xfId="6409" xr:uid="{D23F3F47-F530-4F6E-BA2E-958082C59A2B}"/>
    <cellStyle name="Normal 4 3 4 3 3 4 2" xfId="6410" xr:uid="{2465C78D-98E4-43D3-BB86-81D4ADD14C2B}"/>
    <cellStyle name="Normal 4 3 4 3 3 4 2 2" xfId="15518" xr:uid="{5CAD668D-48DB-4E7C-8F74-AAA40FAC1B98}"/>
    <cellStyle name="Normal 4 3 4 3 3 4 3" xfId="6411" xr:uid="{26BEE85C-B24C-437C-9635-FDE1DCF52100}"/>
    <cellStyle name="Normal 4 3 4 3 3 4 3 2" xfId="15519" xr:uid="{9B173469-F63A-4CD1-8F11-E5134A23A2CB}"/>
    <cellStyle name="Normal 4 3 4 3 3 4 4" xfId="15517" xr:uid="{5A8A7E9A-CC5F-4251-8D72-0DE6C236F10E}"/>
    <cellStyle name="Normal 4 3 4 3 3 5" xfId="6412" xr:uid="{5099996B-D2A2-4373-871C-E5CC98265D7C}"/>
    <cellStyle name="Normal 4 3 4 3 3 5 2" xfId="15520" xr:uid="{90C94591-23CE-418E-93B1-4C7F245ECCB9}"/>
    <cellStyle name="Normal 4 3 4 3 3 6" xfId="6413" xr:uid="{163EABB0-90AF-47D8-8829-FCBC22AE75BB}"/>
    <cellStyle name="Normal 4 3 4 3 3 6 2" xfId="15521" xr:uid="{04A790A3-4DAC-4F83-96B7-0C2DE23A1EC8}"/>
    <cellStyle name="Normal 4 3 4 3 3 7" xfId="6414" xr:uid="{E4D56603-34E5-4DF9-867B-0A89B779B31E}"/>
    <cellStyle name="Normal 4 3 4 3 3 7 2" xfId="15522" xr:uid="{68514BDF-CF16-4CA1-B35B-A11DDFDB2D31}"/>
    <cellStyle name="Normal 4 3 4 3 3 8" xfId="15502" xr:uid="{715AA79A-B5AE-44E6-8861-C98FF5F04B01}"/>
    <cellStyle name="Normal 4 3 4 3 4" xfId="6415" xr:uid="{479D45AB-E201-40CF-85C3-93D0C5ABBABE}"/>
    <cellStyle name="Normal 4 3 4 3 4 2" xfId="6416" xr:uid="{F886EF99-1B12-477D-B255-1CFF469573ED}"/>
    <cellStyle name="Normal 4 3 4 3 4 2 2" xfId="6417" xr:uid="{E25B9B96-17A7-4137-9C22-991B633AAB05}"/>
    <cellStyle name="Normal 4 3 4 3 4 2 2 2" xfId="15525" xr:uid="{752BF388-663A-4C56-ADBC-3FAA6DF8B828}"/>
    <cellStyle name="Normal 4 3 4 3 4 2 3" xfId="6418" xr:uid="{3725A086-28EE-4AFD-93DD-015A9065BD3B}"/>
    <cellStyle name="Normal 4 3 4 3 4 2 3 2" xfId="15526" xr:uid="{D050E1FB-B862-4CB0-8BEA-894BAB11534A}"/>
    <cellStyle name="Normal 4 3 4 3 4 2 4" xfId="15524" xr:uid="{5A8391D1-07A5-4930-90A0-F0B91D332CAA}"/>
    <cellStyle name="Normal 4 3 4 3 4 3" xfId="6419" xr:uid="{BE50BBD2-E83B-4D9B-8387-81E071FC8710}"/>
    <cellStyle name="Normal 4 3 4 3 4 3 2" xfId="15527" xr:uid="{A09E2DB8-2873-4F87-A0F4-6B0D9E53F465}"/>
    <cellStyle name="Normal 4 3 4 3 4 4" xfId="6420" xr:uid="{80169336-E221-4365-8860-D1F4A359EB0D}"/>
    <cellStyle name="Normal 4 3 4 3 4 4 2" xfId="15528" xr:uid="{F5473A39-4D9A-4B67-8690-69BD9AEF7013}"/>
    <cellStyle name="Normal 4 3 4 3 4 5" xfId="6421" xr:uid="{85D716CA-DA2D-49E4-956C-4637150AEE71}"/>
    <cellStyle name="Normal 4 3 4 3 4 5 2" xfId="15529" xr:uid="{766EE0C5-F93A-4368-9577-7F8AE6240C49}"/>
    <cellStyle name="Normal 4 3 4 3 4 6" xfId="15523" xr:uid="{3DB56FCF-091B-41AB-B18F-FD98BDCDA1C3}"/>
    <cellStyle name="Normal 4 3 4 3 5" xfId="6422" xr:uid="{43476091-7FDF-4EC7-BD0B-66ACE3645627}"/>
    <cellStyle name="Normal 4 3 4 3 5 2" xfId="6423" xr:uid="{41F4C513-B331-4D47-8251-8D953EE2121D}"/>
    <cellStyle name="Normal 4 3 4 3 5 2 2" xfId="6424" xr:uid="{B236EEFB-D34A-4E53-A9C2-05021251C2F3}"/>
    <cellStyle name="Normal 4 3 4 3 5 2 2 2" xfId="15532" xr:uid="{0F679EED-0A85-4E9A-AFC2-BF0C8D7F80A6}"/>
    <cellStyle name="Normal 4 3 4 3 5 2 3" xfId="6425" xr:uid="{1E72B10A-538A-4D33-9802-71D3FAE3DFE2}"/>
    <cellStyle name="Normal 4 3 4 3 5 2 3 2" xfId="15533" xr:uid="{74600D75-828A-4B9A-B290-FE1CF2FD35C4}"/>
    <cellStyle name="Normal 4 3 4 3 5 2 4" xfId="15531" xr:uid="{8F859E81-2C79-4CC7-A8D3-F0084EA408A6}"/>
    <cellStyle name="Normal 4 3 4 3 5 3" xfId="6426" xr:uid="{9B483B06-2530-482F-B24E-D14E7F0748F2}"/>
    <cellStyle name="Normal 4 3 4 3 5 3 2" xfId="15534" xr:uid="{90090930-EB14-4B31-9185-10351D73B98E}"/>
    <cellStyle name="Normal 4 3 4 3 5 4" xfId="6427" xr:uid="{90F4CCE8-7D7E-4AD5-846D-6043F39013BE}"/>
    <cellStyle name="Normal 4 3 4 3 5 4 2" xfId="15535" xr:uid="{009AB158-A930-4EAA-9F41-C3A3960BA758}"/>
    <cellStyle name="Normal 4 3 4 3 5 5" xfId="6428" xr:uid="{9751E63C-68C1-4FC0-85DA-7FBDCB2EEC59}"/>
    <cellStyle name="Normal 4 3 4 3 5 5 2" xfId="15536" xr:uid="{9EEB0B12-A7E1-42EC-80AF-96918D0D93F3}"/>
    <cellStyle name="Normal 4 3 4 3 5 6" xfId="15530" xr:uid="{278839BF-4C9B-411F-908B-0E6293929928}"/>
    <cellStyle name="Normal 4 3 4 3 6" xfId="6429" xr:uid="{009C48A0-DE33-4625-9BB8-3D30CADDAC09}"/>
    <cellStyle name="Normal 4 3 4 3 6 2" xfId="6430" xr:uid="{EFD6615F-2482-4BF8-AA0C-0E8A5DF33DB8}"/>
    <cellStyle name="Normal 4 3 4 3 6 2 2" xfId="15538" xr:uid="{0832B3C3-451B-42B5-B981-03E68C58F8E2}"/>
    <cellStyle name="Normal 4 3 4 3 6 3" xfId="6431" xr:uid="{567EC866-55B9-4621-9FAA-92D621D0FBC0}"/>
    <cellStyle name="Normal 4 3 4 3 6 3 2" xfId="15539" xr:uid="{E8CC6E47-981E-4A7B-9855-C01B867F035E}"/>
    <cellStyle name="Normal 4 3 4 3 6 4" xfId="15537" xr:uid="{2F4F7395-2F53-4E3D-BBC9-828181860FE2}"/>
    <cellStyle name="Normal 4 3 4 3 7" xfId="6432" xr:uid="{40C86D14-1A3C-4B35-967F-4FA143E05D16}"/>
    <cellStyle name="Normal 4 3 4 3 7 2" xfId="15540" xr:uid="{1F26855D-F90B-49A0-A9A3-224757772821}"/>
    <cellStyle name="Normal 4 3 4 3 8" xfId="6433" xr:uid="{254231DA-25EF-4B7C-8AB0-C69EE546820E}"/>
    <cellStyle name="Normal 4 3 4 3 8 2" xfId="15541" xr:uid="{567951E8-90A0-4286-AC5B-5D8D890542B5}"/>
    <cellStyle name="Normal 4 3 4 3 9" xfId="6434" xr:uid="{7408BDE2-9181-4078-ABF9-CF00E6DB8E15}"/>
    <cellStyle name="Normal 4 3 4 3 9 2" xfId="15542" xr:uid="{21C7CA3B-4C78-4A80-9627-06D71C555D26}"/>
    <cellStyle name="Normal 4 3 4 4" xfId="6435" xr:uid="{807E17A1-499D-42C1-84D6-5B00D111731E}"/>
    <cellStyle name="Normal 4 3 4 4 10" xfId="15543" xr:uid="{63C902E9-1E22-4359-BA31-7EF4F89C40D0}"/>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2 2" xfId="15548" xr:uid="{B7BDD59A-BC53-40B3-844F-783304B3E82D}"/>
    <cellStyle name="Normal 4 3 4 4 2 2 2 2 3" xfId="6441" xr:uid="{8C98E25C-554D-4EB1-A962-4CC903E686C5}"/>
    <cellStyle name="Normal 4 3 4 4 2 2 2 2 3 2" xfId="15549" xr:uid="{CD1623A6-3C0B-4965-A312-06FA9DFD3533}"/>
    <cellStyle name="Normal 4 3 4 4 2 2 2 2 4" xfId="15547" xr:uid="{B47FE263-2A18-4A1E-8C0B-85013F8B3967}"/>
    <cellStyle name="Normal 4 3 4 4 2 2 2 3" xfId="6442" xr:uid="{E173E393-D02A-4F48-87CA-B4003F7F4FCF}"/>
    <cellStyle name="Normal 4 3 4 4 2 2 2 3 2" xfId="15550" xr:uid="{307C6AB9-4B47-44C1-8AB2-BA5B37FBFD64}"/>
    <cellStyle name="Normal 4 3 4 4 2 2 2 4" xfId="6443" xr:uid="{F05F9963-3E58-4486-BB5E-28D626F5D2B2}"/>
    <cellStyle name="Normal 4 3 4 4 2 2 2 4 2" xfId="15551" xr:uid="{AB1D69C2-A1D4-4A2C-9431-F572F1D6649B}"/>
    <cellStyle name="Normal 4 3 4 4 2 2 2 5" xfId="6444" xr:uid="{8A3204AF-CF74-4296-AD03-C35D6B1A7984}"/>
    <cellStyle name="Normal 4 3 4 4 2 2 2 5 2" xfId="15552" xr:uid="{4CEF3D7F-783C-411E-BA10-6E5060717ED9}"/>
    <cellStyle name="Normal 4 3 4 4 2 2 2 6" xfId="15546" xr:uid="{34A969B4-9267-46A1-8608-AF83523D2019}"/>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2 2" xfId="15555" xr:uid="{A6F70999-8F8E-4EDF-8E79-7C0A066186FC}"/>
    <cellStyle name="Normal 4 3 4 4 2 2 3 2 3" xfId="6448" xr:uid="{0F6BB09B-1F1E-463F-B23F-0F368F017115}"/>
    <cellStyle name="Normal 4 3 4 4 2 2 3 2 3 2" xfId="15556" xr:uid="{821176EE-2AAF-4200-BD65-E5AD64319632}"/>
    <cellStyle name="Normal 4 3 4 4 2 2 3 2 4" xfId="15554" xr:uid="{F679CF69-E8BA-4D8F-B137-A3ECFED40EF4}"/>
    <cellStyle name="Normal 4 3 4 4 2 2 3 3" xfId="6449" xr:uid="{798B7682-2FCB-4E50-9E8F-6013D488114B}"/>
    <cellStyle name="Normal 4 3 4 4 2 2 3 3 2" xfId="15557" xr:uid="{CB0E7579-78AF-4E34-9478-8F200679FB4B}"/>
    <cellStyle name="Normal 4 3 4 4 2 2 3 4" xfId="6450" xr:uid="{A2C4D8AD-9470-4D38-BE34-E9B5DBDCC20E}"/>
    <cellStyle name="Normal 4 3 4 4 2 2 3 4 2" xfId="15558" xr:uid="{41C4D004-1042-4D16-BB6C-505680BB5035}"/>
    <cellStyle name="Normal 4 3 4 4 2 2 3 5" xfId="6451" xr:uid="{DF8840D9-53B2-4AF3-9358-E6F4582FEDE9}"/>
    <cellStyle name="Normal 4 3 4 4 2 2 3 5 2" xfId="15559" xr:uid="{57037A02-65E3-4D9D-A04E-DA7F767EC36D}"/>
    <cellStyle name="Normal 4 3 4 4 2 2 3 6" xfId="15553" xr:uid="{CD94A1A6-5B7C-4C93-A71B-0B9CF5E89BB3}"/>
    <cellStyle name="Normal 4 3 4 4 2 2 4" xfId="6452" xr:uid="{14A6EA5A-C52A-4982-B149-9456C4D196F5}"/>
    <cellStyle name="Normal 4 3 4 4 2 2 4 2" xfId="6453" xr:uid="{E0128205-0C7E-4700-8A7A-7EE9BCC1E0A4}"/>
    <cellStyle name="Normal 4 3 4 4 2 2 4 2 2" xfId="15561" xr:uid="{98EB46CE-004E-4592-990B-E2091F349D70}"/>
    <cellStyle name="Normal 4 3 4 4 2 2 4 3" xfId="6454" xr:uid="{E553EC18-E154-44B5-808D-FC434E0B4773}"/>
    <cellStyle name="Normal 4 3 4 4 2 2 4 3 2" xfId="15562" xr:uid="{A3145BC2-8241-4DE7-93FF-4E1F2477AD60}"/>
    <cellStyle name="Normal 4 3 4 4 2 2 4 4" xfId="15560" xr:uid="{487F6888-F46F-4A28-975F-AA7AC2C8D01C}"/>
    <cellStyle name="Normal 4 3 4 4 2 2 5" xfId="6455" xr:uid="{2F1B34A0-0166-4B52-AC00-5D8C53328F19}"/>
    <cellStyle name="Normal 4 3 4 4 2 2 5 2" xfId="15563" xr:uid="{7E16E94A-E56B-4A8C-BD59-CD29B446A88D}"/>
    <cellStyle name="Normal 4 3 4 4 2 2 6" xfId="6456" xr:uid="{31984E6D-3AB1-40F1-BD8B-3DDC7203F3E6}"/>
    <cellStyle name="Normal 4 3 4 4 2 2 6 2" xfId="15564" xr:uid="{730159EF-55CE-4228-89D1-64F10D6A5880}"/>
    <cellStyle name="Normal 4 3 4 4 2 2 7" xfId="6457" xr:uid="{85B64352-C64D-4B8A-9808-72FBA5D85C43}"/>
    <cellStyle name="Normal 4 3 4 4 2 2 7 2" xfId="15565" xr:uid="{2C09F633-D794-42DD-A431-9525C475E810}"/>
    <cellStyle name="Normal 4 3 4 4 2 2 8" xfId="15545" xr:uid="{70510B70-BB9F-4168-B579-C11D0290255E}"/>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2 2" xfId="15568" xr:uid="{95FF5951-D880-45D1-9F8A-140F4B92551E}"/>
    <cellStyle name="Normal 4 3 4 4 2 3 2 3" xfId="6461" xr:uid="{41E4C26A-F2C3-4B5D-B62B-DF13D4E51ED5}"/>
    <cellStyle name="Normal 4 3 4 4 2 3 2 3 2" xfId="15569" xr:uid="{59E2708A-1C43-4CA7-949B-55CCE5C0943F}"/>
    <cellStyle name="Normal 4 3 4 4 2 3 2 4" xfId="15567" xr:uid="{1E6542BF-494E-46F8-91AB-2EB2DE72BFFC}"/>
    <cellStyle name="Normal 4 3 4 4 2 3 3" xfId="6462" xr:uid="{1613DBC1-2A04-433F-B5F1-7F05839225C1}"/>
    <cellStyle name="Normal 4 3 4 4 2 3 3 2" xfId="15570" xr:uid="{A40A2805-7792-4671-934E-19536C11D356}"/>
    <cellStyle name="Normal 4 3 4 4 2 3 4" xfId="6463" xr:uid="{248E31D9-6BFB-49DB-B534-1BA8EA0A5527}"/>
    <cellStyle name="Normal 4 3 4 4 2 3 4 2" xfId="15571" xr:uid="{2DB00653-127A-4158-90FC-D99C17E253BE}"/>
    <cellStyle name="Normal 4 3 4 4 2 3 5" xfId="6464" xr:uid="{F5CEF7D5-DFAC-43ED-A615-0E1BB05F0569}"/>
    <cellStyle name="Normal 4 3 4 4 2 3 5 2" xfId="15572" xr:uid="{F1C1E333-6289-4BD9-9A1D-95D4438A4D85}"/>
    <cellStyle name="Normal 4 3 4 4 2 3 6" xfId="15566" xr:uid="{5472510A-8E4D-43EA-86A6-DFD69AE31C2D}"/>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2 2" xfId="15575" xr:uid="{EF1DE297-E71A-4E0D-842B-DE93D520D737}"/>
    <cellStyle name="Normal 4 3 4 4 2 4 2 3" xfId="6468" xr:uid="{FB290C07-15FD-4DED-8CB4-056F4FEFAB13}"/>
    <cellStyle name="Normal 4 3 4 4 2 4 2 3 2" xfId="15576" xr:uid="{DDB7312A-17D6-427B-B15B-53BBC45D3796}"/>
    <cellStyle name="Normal 4 3 4 4 2 4 2 4" xfId="15574" xr:uid="{53DB583F-32A5-4A4F-BCED-B353046C9A49}"/>
    <cellStyle name="Normal 4 3 4 4 2 4 3" xfId="6469" xr:uid="{6D9D88BA-FCB8-4915-9E4C-B46FE0658152}"/>
    <cellStyle name="Normal 4 3 4 4 2 4 3 2" xfId="15577" xr:uid="{569ECA42-7924-4CB1-9607-66D39747E8DE}"/>
    <cellStyle name="Normal 4 3 4 4 2 4 4" xfId="6470" xr:uid="{20D1B933-5E3C-448A-8B8E-B48299F94C67}"/>
    <cellStyle name="Normal 4 3 4 4 2 4 4 2" xfId="15578" xr:uid="{B0BC1753-9701-4181-8EB4-BF8F0E3C7D09}"/>
    <cellStyle name="Normal 4 3 4 4 2 4 5" xfId="6471" xr:uid="{9FC8C005-F594-49E8-9BFB-3AA78F9D0095}"/>
    <cellStyle name="Normal 4 3 4 4 2 4 5 2" xfId="15579" xr:uid="{623D0299-341B-42C8-A9E9-431BD138BB26}"/>
    <cellStyle name="Normal 4 3 4 4 2 4 6" xfId="15573" xr:uid="{540111D2-E50B-4699-B895-9B9148DA8329}"/>
    <cellStyle name="Normal 4 3 4 4 2 5" xfId="6472" xr:uid="{54CC25DA-4DCA-4533-87FB-0CBCEC6837FB}"/>
    <cellStyle name="Normal 4 3 4 4 2 5 2" xfId="6473" xr:uid="{D12B6376-8CB7-4CE9-8B60-7DA5D4266786}"/>
    <cellStyle name="Normal 4 3 4 4 2 5 2 2" xfId="15581" xr:uid="{AB71E0E1-2481-4E37-890B-197BDD3474A8}"/>
    <cellStyle name="Normal 4 3 4 4 2 5 3" xfId="6474" xr:uid="{AA2F8297-9838-46D0-8C9E-E75B03D7CDE2}"/>
    <cellStyle name="Normal 4 3 4 4 2 5 3 2" xfId="15582" xr:uid="{2A618C7F-06EF-433B-8614-3647BBD55CEF}"/>
    <cellStyle name="Normal 4 3 4 4 2 5 4" xfId="15580" xr:uid="{4CB03FAB-53AC-4E57-ACD6-EE7E95CD6CB8}"/>
    <cellStyle name="Normal 4 3 4 4 2 6" xfId="6475" xr:uid="{7477532E-C0F8-4D21-A6A8-790DB238B06F}"/>
    <cellStyle name="Normal 4 3 4 4 2 6 2" xfId="15583" xr:uid="{ACC85F03-96ED-47D6-998E-9ECF311BEE4E}"/>
    <cellStyle name="Normal 4 3 4 4 2 7" xfId="6476" xr:uid="{793A1DFC-7634-4D21-9BE1-AB78848541CE}"/>
    <cellStyle name="Normal 4 3 4 4 2 7 2" xfId="15584" xr:uid="{CB32245D-E276-41A5-9749-D38254371053}"/>
    <cellStyle name="Normal 4 3 4 4 2 8" xfId="6477" xr:uid="{A710ED82-3090-4BFF-8578-D48FD36EFA0C}"/>
    <cellStyle name="Normal 4 3 4 4 2 8 2" xfId="15585" xr:uid="{0769D048-7106-48D3-8978-821D89AF5D81}"/>
    <cellStyle name="Normal 4 3 4 4 2 9" xfId="15544" xr:uid="{1C15208F-0BBF-4379-A3DA-291B912FD22D}"/>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2 2" xfId="15589" xr:uid="{BDABA108-A289-421C-B358-385C4D5B23FA}"/>
    <cellStyle name="Normal 4 3 4 4 3 2 2 3" xfId="6482" xr:uid="{8B58C59F-AE6A-41E4-8167-0DAB4D4A426E}"/>
    <cellStyle name="Normal 4 3 4 4 3 2 2 3 2" xfId="15590" xr:uid="{E111FE2F-823E-4737-B486-0AB9AC7248CD}"/>
    <cellStyle name="Normal 4 3 4 4 3 2 2 4" xfId="15588" xr:uid="{FAF92006-7129-4FF8-A97E-24A174CA29EA}"/>
    <cellStyle name="Normal 4 3 4 4 3 2 3" xfId="6483" xr:uid="{29E4F446-EDF5-48FA-972C-9ACA9A2FC3DB}"/>
    <cellStyle name="Normal 4 3 4 4 3 2 3 2" xfId="15591" xr:uid="{E054A4C8-BA5E-45E2-9260-FC60988046C9}"/>
    <cellStyle name="Normal 4 3 4 4 3 2 4" xfId="6484" xr:uid="{3F295948-3186-4E8F-B563-8C2147AB44F2}"/>
    <cellStyle name="Normal 4 3 4 4 3 2 4 2" xfId="15592" xr:uid="{562353C6-5261-4F0E-8F9C-63B256BF0B5E}"/>
    <cellStyle name="Normal 4 3 4 4 3 2 5" xfId="6485" xr:uid="{526DD6D8-5E86-4FFA-ACF5-1C5202602AFD}"/>
    <cellStyle name="Normal 4 3 4 4 3 2 5 2" xfId="15593" xr:uid="{9F7E3A1E-3BBA-4210-A911-A9CFEAE6EAAA}"/>
    <cellStyle name="Normal 4 3 4 4 3 2 6" xfId="15587" xr:uid="{B94B044A-D3F1-4A4A-BF86-FA2C8A5648FB}"/>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2 2" xfId="15596" xr:uid="{B637B297-037D-49C0-B056-22C294E388A0}"/>
    <cellStyle name="Normal 4 3 4 4 3 3 2 3" xfId="6489" xr:uid="{4ED7063F-492E-4AEA-A0FF-4C95E9B1CA08}"/>
    <cellStyle name="Normal 4 3 4 4 3 3 2 3 2" xfId="15597" xr:uid="{B3E2F4BE-BA76-40EF-A444-1FD78EEBDBA3}"/>
    <cellStyle name="Normal 4 3 4 4 3 3 2 4" xfId="15595" xr:uid="{CF6CBF58-814B-470C-B99D-7923EB6A489B}"/>
    <cellStyle name="Normal 4 3 4 4 3 3 3" xfId="6490" xr:uid="{8BD6A72D-C746-4010-B70F-21CC2859E647}"/>
    <cellStyle name="Normal 4 3 4 4 3 3 3 2" xfId="15598" xr:uid="{A6420F9A-9A23-4025-BD66-827B1E3DEE54}"/>
    <cellStyle name="Normal 4 3 4 4 3 3 4" xfId="6491" xr:uid="{A7613F53-58C7-40BF-8EFA-4568325A052C}"/>
    <cellStyle name="Normal 4 3 4 4 3 3 4 2" xfId="15599" xr:uid="{8A900268-A691-43F8-8F35-006F475816F8}"/>
    <cellStyle name="Normal 4 3 4 4 3 3 5" xfId="6492" xr:uid="{4ABD360C-1058-4B36-9B2F-92C8A0667BD1}"/>
    <cellStyle name="Normal 4 3 4 4 3 3 5 2" xfId="15600" xr:uid="{7D975ED8-9397-472A-95FD-FBD8AC701E78}"/>
    <cellStyle name="Normal 4 3 4 4 3 3 6" xfId="15594" xr:uid="{2B9879EC-B125-497F-B1BA-061F50BBD333}"/>
    <cellStyle name="Normal 4 3 4 4 3 4" xfId="6493" xr:uid="{F1307AA2-D9F8-41FE-B9A1-4933A02F14B4}"/>
    <cellStyle name="Normal 4 3 4 4 3 4 2" xfId="6494" xr:uid="{E425E269-9FF7-4D7A-9B3A-608BF5323899}"/>
    <cellStyle name="Normal 4 3 4 4 3 4 2 2" xfId="15602" xr:uid="{2C267288-21F1-445B-B193-3DCE0172ADCC}"/>
    <cellStyle name="Normal 4 3 4 4 3 4 3" xfId="6495" xr:uid="{9447A293-146B-4765-BCFD-EBDC4D4AC90F}"/>
    <cellStyle name="Normal 4 3 4 4 3 4 3 2" xfId="15603" xr:uid="{09E1F1BC-4F95-4E89-A632-6FE29D829CD4}"/>
    <cellStyle name="Normal 4 3 4 4 3 4 4" xfId="15601" xr:uid="{3F81C7F0-5BCE-4BE9-AA0F-CC267E405BC6}"/>
    <cellStyle name="Normal 4 3 4 4 3 5" xfId="6496" xr:uid="{70A28EC1-7317-497A-B185-9745DC56FF8C}"/>
    <cellStyle name="Normal 4 3 4 4 3 5 2" xfId="15604" xr:uid="{58B8D76C-5C42-4F83-9244-700C300DD8C4}"/>
    <cellStyle name="Normal 4 3 4 4 3 6" xfId="6497" xr:uid="{D156D526-F976-413E-99A7-7BB4D1B40437}"/>
    <cellStyle name="Normal 4 3 4 4 3 6 2" xfId="15605" xr:uid="{502232FB-49F4-4A1A-997B-D0032C8F9901}"/>
    <cellStyle name="Normal 4 3 4 4 3 7" xfId="6498" xr:uid="{2CC579E7-C29B-4792-8DDF-D27FEFFDA993}"/>
    <cellStyle name="Normal 4 3 4 4 3 7 2" xfId="15606" xr:uid="{18A45415-A6C2-4174-84FB-6ED50ACBF8B8}"/>
    <cellStyle name="Normal 4 3 4 4 3 8" xfId="15586" xr:uid="{2A6D8132-D29F-487A-8175-87912CDE0BA5}"/>
    <cellStyle name="Normal 4 3 4 4 4" xfId="6499" xr:uid="{E64CA0E7-30F6-41D9-B94C-A2C58B00D9D7}"/>
    <cellStyle name="Normal 4 3 4 4 4 2" xfId="6500" xr:uid="{C724F463-2A41-461B-8848-5842114CB38C}"/>
    <cellStyle name="Normal 4 3 4 4 4 2 2" xfId="6501" xr:uid="{63600BCD-C9A3-4970-A11E-C5DF231DCE45}"/>
    <cellStyle name="Normal 4 3 4 4 4 2 2 2" xfId="15609" xr:uid="{04B7B8C2-82A5-411D-AC21-2D9E4A773577}"/>
    <cellStyle name="Normal 4 3 4 4 4 2 3" xfId="6502" xr:uid="{019EDB06-3629-4E22-BAEB-28A71E24E27E}"/>
    <cellStyle name="Normal 4 3 4 4 4 2 3 2" xfId="15610" xr:uid="{4F9CD9C3-5884-44CB-B51D-0C0DA7AFBF59}"/>
    <cellStyle name="Normal 4 3 4 4 4 2 4" xfId="15608" xr:uid="{0038C6ED-DA5A-4F15-829F-EC025F40E2AF}"/>
    <cellStyle name="Normal 4 3 4 4 4 3" xfId="6503" xr:uid="{9107CC15-67EC-4910-BDD0-91D251B0EE34}"/>
    <cellStyle name="Normal 4 3 4 4 4 3 2" xfId="15611" xr:uid="{A0F25DCB-735B-4AF6-A381-2267BCC5C948}"/>
    <cellStyle name="Normal 4 3 4 4 4 4" xfId="6504" xr:uid="{737A71FE-9832-4DB7-9F8F-860114AB9266}"/>
    <cellStyle name="Normal 4 3 4 4 4 4 2" xfId="15612" xr:uid="{5B104B98-E72E-4DDB-A1F2-F968086F814C}"/>
    <cellStyle name="Normal 4 3 4 4 4 5" xfId="6505" xr:uid="{61859EC6-6D3D-4318-9D3E-DE6B6AB9B545}"/>
    <cellStyle name="Normal 4 3 4 4 4 5 2" xfId="15613" xr:uid="{AF6A63F5-A8B8-4A67-8B1B-99596F22B8E2}"/>
    <cellStyle name="Normal 4 3 4 4 4 6" xfId="15607" xr:uid="{72EEB009-60EE-464B-BF6D-57D3F86AA5EB}"/>
    <cellStyle name="Normal 4 3 4 4 5" xfId="6506" xr:uid="{E7B5266F-7B48-4561-97F4-A329EA0C9737}"/>
    <cellStyle name="Normal 4 3 4 4 5 2" xfId="6507" xr:uid="{3A5C43C7-CF64-418B-9899-90772E871228}"/>
    <cellStyle name="Normal 4 3 4 4 5 2 2" xfId="6508" xr:uid="{23941421-9FC9-41F1-9715-2118812499C8}"/>
    <cellStyle name="Normal 4 3 4 4 5 2 2 2" xfId="15616" xr:uid="{8F31511B-1CC1-4763-9B9A-B0190B9EC049}"/>
    <cellStyle name="Normal 4 3 4 4 5 2 3" xfId="6509" xr:uid="{30D56459-9622-4699-AF54-772F197C0171}"/>
    <cellStyle name="Normal 4 3 4 4 5 2 3 2" xfId="15617" xr:uid="{3BCF3B5F-8738-4206-AEC1-DD8F24A9CC94}"/>
    <cellStyle name="Normal 4 3 4 4 5 2 4" xfId="15615" xr:uid="{137D35A0-A354-4719-88AE-4666D5D615C8}"/>
    <cellStyle name="Normal 4 3 4 4 5 3" xfId="6510" xr:uid="{710938A9-4678-4677-A329-2FD55B41626C}"/>
    <cellStyle name="Normal 4 3 4 4 5 3 2" xfId="15618" xr:uid="{447817B8-603D-4C0D-BDCA-7F8AD777AB3A}"/>
    <cellStyle name="Normal 4 3 4 4 5 4" xfId="6511" xr:uid="{1C3E51A9-EEF1-4E12-985A-A0340F9288CD}"/>
    <cellStyle name="Normal 4 3 4 4 5 4 2" xfId="15619" xr:uid="{A81F08C8-CF61-4E56-9C4F-5527CEB419C7}"/>
    <cellStyle name="Normal 4 3 4 4 5 5" xfId="6512" xr:uid="{385A0130-B071-466E-A80A-FCECD410F127}"/>
    <cellStyle name="Normal 4 3 4 4 5 5 2" xfId="15620" xr:uid="{FCE68287-76E3-4774-B370-328235D734F3}"/>
    <cellStyle name="Normal 4 3 4 4 5 6" xfId="15614" xr:uid="{0CBF8E84-8894-444D-B878-0FACAAFDA9C0}"/>
    <cellStyle name="Normal 4 3 4 4 6" xfId="6513" xr:uid="{9BBC0571-AE0A-451D-ADFC-DC458BDA0A7F}"/>
    <cellStyle name="Normal 4 3 4 4 6 2" xfId="6514" xr:uid="{D241AF2D-9583-446F-82B3-77779A3B3C6E}"/>
    <cellStyle name="Normal 4 3 4 4 6 2 2" xfId="15622" xr:uid="{8D2B8CD2-AEA6-4E29-ACD2-F3CEF4A8E804}"/>
    <cellStyle name="Normal 4 3 4 4 6 3" xfId="6515" xr:uid="{147F8E52-E1DE-4A39-B599-4D9FC88BAABA}"/>
    <cellStyle name="Normal 4 3 4 4 6 3 2" xfId="15623" xr:uid="{96AD322B-4A0F-48C2-AE60-A291BEA92DC1}"/>
    <cellStyle name="Normal 4 3 4 4 6 4" xfId="15621" xr:uid="{26908EC6-2596-4119-8F91-D2E370A11D66}"/>
    <cellStyle name="Normal 4 3 4 4 7" xfId="6516" xr:uid="{58A09053-5C45-40AB-9E3C-24091698A998}"/>
    <cellStyle name="Normal 4 3 4 4 7 2" xfId="15624" xr:uid="{CEDE2746-B2F4-4EC3-977B-C1BFAA30C4E0}"/>
    <cellStyle name="Normal 4 3 4 4 8" xfId="6517" xr:uid="{884658B6-90B1-44C0-B771-60E1CF73937E}"/>
    <cellStyle name="Normal 4 3 4 4 8 2" xfId="15625" xr:uid="{C3987CE9-91A1-4629-9AEC-F66D6E7EDC04}"/>
    <cellStyle name="Normal 4 3 4 4 9" xfId="6518" xr:uid="{2AF250BF-23F0-48A2-9FE5-69BDD289DF79}"/>
    <cellStyle name="Normal 4 3 4 4 9 2" xfId="15626" xr:uid="{481BDB63-D6B9-46C0-9B1C-D13FF00091C5}"/>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2 2" xfId="15631" xr:uid="{E63E5F9D-7306-4177-B16B-73C3B97F1CFB}"/>
    <cellStyle name="Normal 4 3 4 5 2 2 2 3" xfId="6524" xr:uid="{6FDA7997-C84B-42B2-8756-B69F7903220A}"/>
    <cellStyle name="Normal 4 3 4 5 2 2 2 3 2" xfId="15632" xr:uid="{0084E9B6-3D49-4E2E-A813-A64D573C0AAE}"/>
    <cellStyle name="Normal 4 3 4 5 2 2 2 4" xfId="15630" xr:uid="{BAF2F29C-BEE0-4AD3-87E2-FE8DD038C197}"/>
    <cellStyle name="Normal 4 3 4 5 2 2 3" xfId="6525" xr:uid="{B4338A45-B712-44F5-AB1F-CF91F558D803}"/>
    <cellStyle name="Normal 4 3 4 5 2 2 3 2" xfId="15633" xr:uid="{FFD43A83-5D19-4DDE-A7CB-62B434947C84}"/>
    <cellStyle name="Normal 4 3 4 5 2 2 4" xfId="6526" xr:uid="{62925900-71DD-4300-8262-E8EE12C3AF84}"/>
    <cellStyle name="Normal 4 3 4 5 2 2 4 2" xfId="15634" xr:uid="{CA816CFE-1ED8-45D3-83C3-A494AB24DE12}"/>
    <cellStyle name="Normal 4 3 4 5 2 2 5" xfId="6527" xr:uid="{8089DF15-04B7-419D-8AC8-9C877A69887F}"/>
    <cellStyle name="Normal 4 3 4 5 2 2 5 2" xfId="15635" xr:uid="{CBABE3FF-F4D9-4057-8ED3-C169DE8AD951}"/>
    <cellStyle name="Normal 4 3 4 5 2 2 6" xfId="15629" xr:uid="{4CE1B49A-3792-4D0D-9B50-AA2F0B0BD127}"/>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2 2" xfId="15638" xr:uid="{189E5271-2AFC-4127-AE4D-9A58719DAC39}"/>
    <cellStyle name="Normal 4 3 4 5 2 3 2 3" xfId="6531" xr:uid="{8780BB6C-3F20-45DE-BFB8-35CC65F1105A}"/>
    <cellStyle name="Normal 4 3 4 5 2 3 2 3 2" xfId="15639" xr:uid="{E8049923-D389-451D-8B2F-EF4666378B30}"/>
    <cellStyle name="Normal 4 3 4 5 2 3 2 4" xfId="15637" xr:uid="{6393BB56-E04E-4795-9B9A-1B83B29D7C1D}"/>
    <cellStyle name="Normal 4 3 4 5 2 3 3" xfId="6532" xr:uid="{0B29BEE8-BD3A-4577-B7B7-826FA46BF409}"/>
    <cellStyle name="Normal 4 3 4 5 2 3 3 2" xfId="15640" xr:uid="{878B8D81-C048-4892-8BE8-C989ECAC6E79}"/>
    <cellStyle name="Normal 4 3 4 5 2 3 4" xfId="6533" xr:uid="{F1197AF5-E166-4E41-95D9-241EBA62B620}"/>
    <cellStyle name="Normal 4 3 4 5 2 3 4 2" xfId="15641" xr:uid="{615140D0-10E0-4E77-A9E5-1B27E0FD1956}"/>
    <cellStyle name="Normal 4 3 4 5 2 3 5" xfId="6534" xr:uid="{7A0A7A4B-224F-4A30-86EE-4B9B0FE65142}"/>
    <cellStyle name="Normal 4 3 4 5 2 3 5 2" xfId="15642" xr:uid="{1E5453F9-8C9D-4DE3-8183-8756DC9DEE6F}"/>
    <cellStyle name="Normal 4 3 4 5 2 3 6" xfId="15636" xr:uid="{12AB2804-665E-4773-AC9E-793F094C6D74}"/>
    <cellStyle name="Normal 4 3 4 5 2 4" xfId="6535" xr:uid="{DDADC89F-9693-4A43-97DA-CF9EB57A8E61}"/>
    <cellStyle name="Normal 4 3 4 5 2 4 2" xfId="6536" xr:uid="{C5F71CC5-9229-499F-85EB-9BF14EBB13F5}"/>
    <cellStyle name="Normal 4 3 4 5 2 4 2 2" xfId="15644" xr:uid="{D16CD6EE-BC5F-45D0-85BB-A078B32B80B9}"/>
    <cellStyle name="Normal 4 3 4 5 2 4 3" xfId="6537" xr:uid="{81DF619A-07DB-462A-9973-E61D5864C67B}"/>
    <cellStyle name="Normal 4 3 4 5 2 4 3 2" xfId="15645" xr:uid="{FE87DCDB-ED75-42C2-BE6A-5E894FB2A615}"/>
    <cellStyle name="Normal 4 3 4 5 2 4 4" xfId="15643" xr:uid="{BFDBBF75-A770-484F-80CC-E9321932790E}"/>
    <cellStyle name="Normal 4 3 4 5 2 5" xfId="6538" xr:uid="{9A958A20-2935-41BC-B2FD-A912D4C0806D}"/>
    <cellStyle name="Normal 4 3 4 5 2 5 2" xfId="15646" xr:uid="{0E65F81F-0C16-4067-9038-6A065E2316E1}"/>
    <cellStyle name="Normal 4 3 4 5 2 6" xfId="6539" xr:uid="{6A10FC9C-00CA-413C-B782-4FE92D4A69F0}"/>
    <cellStyle name="Normal 4 3 4 5 2 6 2" xfId="15647" xr:uid="{F6362D0A-15D5-4818-8AC3-89811C311391}"/>
    <cellStyle name="Normal 4 3 4 5 2 7" xfId="6540" xr:uid="{4D7EE071-13D4-4295-B028-FE889523AB82}"/>
    <cellStyle name="Normal 4 3 4 5 2 7 2" xfId="15648" xr:uid="{5CC76542-CB67-41D1-8E19-F3A8551BA8D1}"/>
    <cellStyle name="Normal 4 3 4 5 2 8" xfId="15628" xr:uid="{0B4D4CED-5A03-4B06-BB53-20F42ACBB8F4}"/>
    <cellStyle name="Normal 4 3 4 5 3" xfId="6541" xr:uid="{8D3C3835-9ECE-4B49-9F6C-E9CCBC333E6A}"/>
    <cellStyle name="Normal 4 3 4 5 3 2" xfId="6542" xr:uid="{FB76E296-A89E-4873-A27E-3D6954EE0EBE}"/>
    <cellStyle name="Normal 4 3 4 5 3 2 2" xfId="6543" xr:uid="{60B9CDF9-731A-4AE5-8978-C17581D8871A}"/>
    <cellStyle name="Normal 4 3 4 5 3 2 2 2" xfId="15651" xr:uid="{D203240F-81E6-465F-ABDC-88BE5F41F957}"/>
    <cellStyle name="Normal 4 3 4 5 3 2 3" xfId="6544" xr:uid="{271B0920-F964-40C1-AFEC-0DF9DE43CDD2}"/>
    <cellStyle name="Normal 4 3 4 5 3 2 3 2" xfId="15652" xr:uid="{82AC0E60-6941-4479-802F-CF9AFE231E21}"/>
    <cellStyle name="Normal 4 3 4 5 3 2 4" xfId="15650" xr:uid="{B3DF433C-8230-42CA-AFD7-34151D0A17D1}"/>
    <cellStyle name="Normal 4 3 4 5 3 3" xfId="6545" xr:uid="{D30917FB-10D6-4673-B04C-5B212F1B0D77}"/>
    <cellStyle name="Normal 4 3 4 5 3 3 2" xfId="15653" xr:uid="{87BFCF2B-9779-4F15-AC96-CFD16FE82E4B}"/>
    <cellStyle name="Normal 4 3 4 5 3 4" xfId="6546" xr:uid="{3FFA89BD-50D6-4D14-864A-FCD5B0A3862B}"/>
    <cellStyle name="Normal 4 3 4 5 3 4 2" xfId="15654" xr:uid="{4A403259-C103-47BD-B5AD-19F59D394F06}"/>
    <cellStyle name="Normal 4 3 4 5 3 5" xfId="6547" xr:uid="{592F7EA2-2AE5-45B3-904B-6E3FEB7A632D}"/>
    <cellStyle name="Normal 4 3 4 5 3 5 2" xfId="15655" xr:uid="{5A1C6EBE-AAE3-4BFB-A310-229FC30F633D}"/>
    <cellStyle name="Normal 4 3 4 5 3 6" xfId="15649" xr:uid="{C667ACA3-150E-4395-A181-CC422A73B78D}"/>
    <cellStyle name="Normal 4 3 4 5 4" xfId="6548" xr:uid="{F90ED3C5-A4E7-4E80-B4B5-FD0F20B27F88}"/>
    <cellStyle name="Normal 4 3 4 5 4 2" xfId="6549" xr:uid="{E5720714-C17F-4376-B48E-776BC366E777}"/>
    <cellStyle name="Normal 4 3 4 5 4 2 2" xfId="6550" xr:uid="{337A1887-EFEC-49F9-ADF2-DD6C288B5933}"/>
    <cellStyle name="Normal 4 3 4 5 4 2 2 2" xfId="15658" xr:uid="{618B2698-3F4F-436F-B4BA-8789E55E8E77}"/>
    <cellStyle name="Normal 4 3 4 5 4 2 3" xfId="6551" xr:uid="{16F963C5-3051-4BE9-AD3A-1F0566DBAB29}"/>
    <cellStyle name="Normal 4 3 4 5 4 2 3 2" xfId="15659" xr:uid="{6A53FCB4-979B-4977-9353-472964288650}"/>
    <cellStyle name="Normal 4 3 4 5 4 2 4" xfId="15657" xr:uid="{128192CB-C088-406C-AF9C-BFC9FD12826D}"/>
    <cellStyle name="Normal 4 3 4 5 4 3" xfId="6552" xr:uid="{8D8680AA-05E2-4C19-BC6C-383F01D138E8}"/>
    <cellStyle name="Normal 4 3 4 5 4 3 2" xfId="15660" xr:uid="{5B8AD086-E2BB-4617-AEF6-87B4155E6AB4}"/>
    <cellStyle name="Normal 4 3 4 5 4 4" xfId="6553" xr:uid="{F88FBAF4-2FF5-4354-8A1A-3BA95A1C7B35}"/>
    <cellStyle name="Normal 4 3 4 5 4 4 2" xfId="15661" xr:uid="{D2931039-12AA-44EF-910E-DCBEC2AAC425}"/>
    <cellStyle name="Normal 4 3 4 5 4 5" xfId="6554" xr:uid="{9CFF3391-9FA8-4FD0-B109-18402B91BE48}"/>
    <cellStyle name="Normal 4 3 4 5 4 5 2" xfId="15662" xr:uid="{F2933153-F20B-4A57-8E0F-D0E8C426E386}"/>
    <cellStyle name="Normal 4 3 4 5 4 6" xfId="15656" xr:uid="{8CBB49A6-D37B-46AD-A641-2145F1F6D57E}"/>
    <cellStyle name="Normal 4 3 4 5 5" xfId="6555" xr:uid="{9E36A971-907A-4383-A70F-265981F66545}"/>
    <cellStyle name="Normal 4 3 4 5 5 2" xfId="6556" xr:uid="{9B846142-A93B-4D65-94FC-06054EF39493}"/>
    <cellStyle name="Normal 4 3 4 5 5 2 2" xfId="15664" xr:uid="{C8878D47-A807-4110-80FC-C62DE9B070A7}"/>
    <cellStyle name="Normal 4 3 4 5 5 3" xfId="6557" xr:uid="{ED116A61-E483-420F-9994-C48B3C3B28F8}"/>
    <cellStyle name="Normal 4 3 4 5 5 3 2" xfId="15665" xr:uid="{FF02BA43-DE03-4611-B308-8BE642508324}"/>
    <cellStyle name="Normal 4 3 4 5 5 4" xfId="15663" xr:uid="{29F47099-7103-482D-B600-BF9612889310}"/>
    <cellStyle name="Normal 4 3 4 5 6" xfId="6558" xr:uid="{C25D0626-9B0E-441C-9109-B77583FC4528}"/>
    <cellStyle name="Normal 4 3 4 5 6 2" xfId="15666" xr:uid="{F899AF9B-2075-4586-BB39-2581854F0122}"/>
    <cellStyle name="Normal 4 3 4 5 7" xfId="6559" xr:uid="{9CE33C08-A8DE-480C-8446-1E5B4C67B54D}"/>
    <cellStyle name="Normal 4 3 4 5 7 2" xfId="15667" xr:uid="{943B0B6F-FAC2-44C9-8FFA-CFF0A2AAE772}"/>
    <cellStyle name="Normal 4 3 4 5 8" xfId="6560" xr:uid="{AF7B8D40-A13E-4717-9817-36D0A3C38CEF}"/>
    <cellStyle name="Normal 4 3 4 5 8 2" xfId="15668" xr:uid="{BC394526-4F0D-4472-A7F8-865F5F873B90}"/>
    <cellStyle name="Normal 4 3 4 5 9" xfId="15627" xr:uid="{458D25B2-AD03-4111-9A77-2BFAA8FE96A8}"/>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2 2" xfId="15672" xr:uid="{037D2AEF-C90E-472E-B6CC-6DAD58DD0BEF}"/>
    <cellStyle name="Normal 4 3 4 6 2 2 3" xfId="6565" xr:uid="{568FCF1C-1180-4781-956B-6E58F7998315}"/>
    <cellStyle name="Normal 4 3 4 6 2 2 3 2" xfId="15673" xr:uid="{D158A35A-E4F0-43D2-BF3B-270FAA2B6B1F}"/>
    <cellStyle name="Normal 4 3 4 6 2 2 4" xfId="15671" xr:uid="{29D0373C-F2BB-4740-8E7A-D9365D3AF344}"/>
    <cellStyle name="Normal 4 3 4 6 2 3" xfId="6566" xr:uid="{54DDEDBF-EC09-4064-91B3-9135B90C34B8}"/>
    <cellStyle name="Normal 4 3 4 6 2 3 2" xfId="15674" xr:uid="{5EBFAA18-68FD-49E9-ACD9-C8E182AE977F}"/>
    <cellStyle name="Normal 4 3 4 6 2 4" xfId="6567" xr:uid="{05147E0C-A365-4B71-929D-B371D786D1E5}"/>
    <cellStyle name="Normal 4 3 4 6 2 4 2" xfId="15675" xr:uid="{9AB20EB0-FA5E-43A2-B924-28CF2769AB26}"/>
    <cellStyle name="Normal 4 3 4 6 2 5" xfId="6568" xr:uid="{C4476193-E88B-4871-B3FB-572A28379070}"/>
    <cellStyle name="Normal 4 3 4 6 2 5 2" xfId="15676" xr:uid="{8E74C16F-4010-4F95-9998-A479CDEAEC9D}"/>
    <cellStyle name="Normal 4 3 4 6 2 6" xfId="15670" xr:uid="{39E915D9-6A10-466B-99AE-FBB71F0554A5}"/>
    <cellStyle name="Normal 4 3 4 6 3" xfId="6569" xr:uid="{1E1C872B-78E3-4D72-9C17-473E66764597}"/>
    <cellStyle name="Normal 4 3 4 6 3 2" xfId="6570" xr:uid="{5D18C375-1CD9-4476-9735-F96D74018641}"/>
    <cellStyle name="Normal 4 3 4 6 3 2 2" xfId="6571" xr:uid="{759B0B58-EE66-4400-B290-484721520246}"/>
    <cellStyle name="Normal 4 3 4 6 3 2 2 2" xfId="15679" xr:uid="{771EB7FD-07FF-463F-A69C-6B7FFA2D64BE}"/>
    <cellStyle name="Normal 4 3 4 6 3 2 3" xfId="6572" xr:uid="{9618F32E-C88B-42C7-84F5-103E4463A735}"/>
    <cellStyle name="Normal 4 3 4 6 3 2 3 2" xfId="15680" xr:uid="{58F327E1-ADCD-4627-98AB-5964058AC7A5}"/>
    <cellStyle name="Normal 4 3 4 6 3 2 4" xfId="15678" xr:uid="{17C7A7DE-9817-466F-93C0-CB2E2FFB118B}"/>
    <cellStyle name="Normal 4 3 4 6 3 3" xfId="6573" xr:uid="{F0DEABA1-1675-4546-874A-A9E5F4D40CE1}"/>
    <cellStyle name="Normal 4 3 4 6 3 3 2" xfId="15681" xr:uid="{05E065F3-D7B4-49A9-821C-F42CB9663A05}"/>
    <cellStyle name="Normal 4 3 4 6 3 4" xfId="6574" xr:uid="{1EAA07AB-8D9B-45A2-98CE-C0FF9C8EE259}"/>
    <cellStyle name="Normal 4 3 4 6 3 4 2" xfId="15682" xr:uid="{FFDA18EB-625B-4B9E-8C98-0F9744341C67}"/>
    <cellStyle name="Normal 4 3 4 6 3 5" xfId="6575" xr:uid="{C5826E0B-78AD-45B8-8ADD-3108789EAACC}"/>
    <cellStyle name="Normal 4 3 4 6 3 5 2" xfId="15683" xr:uid="{FBEA35B3-BE9A-474A-822C-506480B1A629}"/>
    <cellStyle name="Normal 4 3 4 6 3 6" xfId="15677" xr:uid="{568FA84E-7A65-4285-A1D8-0A20431983A1}"/>
    <cellStyle name="Normal 4 3 4 6 4" xfId="6576" xr:uid="{3AA975D8-B9C4-4359-BB55-1EC40771BB8D}"/>
    <cellStyle name="Normal 4 3 4 6 4 2" xfId="6577" xr:uid="{F40C9950-52BB-465E-B7DE-A800A8186634}"/>
    <cellStyle name="Normal 4 3 4 6 4 2 2" xfId="15685" xr:uid="{F4D2B0D4-E14F-47DD-B4BA-9AA70CEB7A48}"/>
    <cellStyle name="Normal 4 3 4 6 4 3" xfId="6578" xr:uid="{3B6EFD6A-A599-4282-B291-995209208B84}"/>
    <cellStyle name="Normal 4 3 4 6 4 3 2" xfId="15686" xr:uid="{050B8B04-3DD3-4295-9963-1BE8363F7790}"/>
    <cellStyle name="Normal 4 3 4 6 4 4" xfId="15684" xr:uid="{90A98699-AF64-4A67-B8B2-389B85499B9D}"/>
    <cellStyle name="Normal 4 3 4 6 5" xfId="6579" xr:uid="{54AE9387-E824-49DF-9D61-E924C2421AED}"/>
    <cellStyle name="Normal 4 3 4 6 5 2" xfId="15687" xr:uid="{03232A51-2E23-4822-B05F-EE23D783C17B}"/>
    <cellStyle name="Normal 4 3 4 6 6" xfId="6580" xr:uid="{135277A1-2A58-46BF-9C15-B80765D54B46}"/>
    <cellStyle name="Normal 4 3 4 6 6 2" xfId="15688" xr:uid="{A3FE388F-8479-4B58-801A-FAA0E9108DED}"/>
    <cellStyle name="Normal 4 3 4 6 7" xfId="6581" xr:uid="{D2772D1A-5A1F-4C8E-9CB0-62B12E423804}"/>
    <cellStyle name="Normal 4 3 4 6 7 2" xfId="15689" xr:uid="{22599FD0-AE52-46EE-AFB7-ADC5BCABADCF}"/>
    <cellStyle name="Normal 4 3 4 6 8" xfId="15669" xr:uid="{B98222FC-6EB0-4FB7-9138-38CB06B4EC86}"/>
    <cellStyle name="Normal 4 3 4 7" xfId="6582" xr:uid="{DBFBACFD-8EB9-4FDC-B2D3-5C151C36847C}"/>
    <cellStyle name="Normal 4 3 4 7 2" xfId="6583" xr:uid="{3754CDEE-B58D-4E05-A9F0-813A9A84C01B}"/>
    <cellStyle name="Normal 4 3 4 7 2 2" xfId="6584" xr:uid="{E353BE23-52DB-4BCC-B863-B8D6B98C53E5}"/>
    <cellStyle name="Normal 4 3 4 7 2 2 2" xfId="15692" xr:uid="{E4A9F636-ECFF-4A01-90EC-B931283028BF}"/>
    <cellStyle name="Normal 4 3 4 7 2 3" xfId="6585" xr:uid="{E1EAF571-52DE-4199-8BCE-13991891637E}"/>
    <cellStyle name="Normal 4 3 4 7 2 3 2" xfId="15693" xr:uid="{409D5C7F-C881-4762-993B-8D62A4842D5A}"/>
    <cellStyle name="Normal 4 3 4 7 2 4" xfId="15691" xr:uid="{C0255470-2AF8-467E-A0E6-76F4E780FBF0}"/>
    <cellStyle name="Normal 4 3 4 7 3" xfId="6586" xr:uid="{D55C9268-9F26-46CC-B20F-88C14C1E804F}"/>
    <cellStyle name="Normal 4 3 4 7 3 2" xfId="15694" xr:uid="{B61E0DDB-ACA1-4799-85F1-B6BAEFCD3872}"/>
    <cellStyle name="Normal 4 3 4 7 4" xfId="6587" xr:uid="{00F0490C-CD6E-439D-AE04-750517C92D6E}"/>
    <cellStyle name="Normal 4 3 4 7 4 2" xfId="15695" xr:uid="{337D110E-FF09-4E33-9964-72A313586553}"/>
    <cellStyle name="Normal 4 3 4 7 5" xfId="6588" xr:uid="{38C24F3B-6366-4082-8B15-97231DAC4FF2}"/>
    <cellStyle name="Normal 4 3 4 7 5 2" xfId="15696" xr:uid="{A2CCD556-64FB-4D0E-8823-72094FFFFAC2}"/>
    <cellStyle name="Normal 4 3 4 7 6" xfId="15690" xr:uid="{6E2332D9-10CA-4F2C-88EA-2073B547CC97}"/>
    <cellStyle name="Normal 4 3 4 8" xfId="6589" xr:uid="{4DA36DCD-7A0B-4C01-8240-55051086A656}"/>
    <cellStyle name="Normal 4 3 4 8 2" xfId="6590" xr:uid="{F3FA31A9-41D0-441E-836C-81751E6151F2}"/>
    <cellStyle name="Normal 4 3 4 8 2 2" xfId="6591" xr:uid="{E7931812-19A7-43CA-822C-18B4ECBD432D}"/>
    <cellStyle name="Normal 4 3 4 8 2 2 2" xfId="15699" xr:uid="{3587AC7A-5008-462C-951B-5379592861AA}"/>
    <cellStyle name="Normal 4 3 4 8 2 3" xfId="6592" xr:uid="{0C20345B-3A7F-4835-AE64-30775DD2B528}"/>
    <cellStyle name="Normal 4 3 4 8 2 3 2" xfId="15700" xr:uid="{35EC7B69-B220-4940-994B-E3BE8931E55E}"/>
    <cellStyle name="Normal 4 3 4 8 2 4" xfId="15698" xr:uid="{2B4109CF-BAD3-42C0-9D42-671695D3F9BF}"/>
    <cellStyle name="Normal 4 3 4 8 3" xfId="6593" xr:uid="{8A508B65-F8DD-47C5-A0EA-4FB250422221}"/>
    <cellStyle name="Normal 4 3 4 8 3 2" xfId="15701" xr:uid="{D29BF8C9-D625-428D-95AB-C94181124CB9}"/>
    <cellStyle name="Normal 4 3 4 8 4" xfId="6594" xr:uid="{252B926B-566E-49EE-9B32-49C61F04B33E}"/>
    <cellStyle name="Normal 4 3 4 8 4 2" xfId="15702" xr:uid="{9AA93A98-B97D-4280-BA3C-4922C896DFC7}"/>
    <cellStyle name="Normal 4 3 4 8 5" xfId="6595" xr:uid="{AE237E3F-834F-4E00-BD4A-C4DD05A7BA55}"/>
    <cellStyle name="Normal 4 3 4 8 5 2" xfId="15703" xr:uid="{521E9735-8BF3-4EA3-BC7D-DEE1F0900531}"/>
    <cellStyle name="Normal 4 3 4 8 6" xfId="15697" xr:uid="{35B02A0B-E21A-46FE-96F9-C083CDEE857E}"/>
    <cellStyle name="Normal 4 3 4 9" xfId="6596" xr:uid="{9B881463-CE65-47B9-8091-D5419483F123}"/>
    <cellStyle name="Normal 4 3 4 9 2" xfId="6597" xr:uid="{EA7EBD8A-8211-411E-A7D2-9C3B4A376651}"/>
    <cellStyle name="Normal 4 3 4 9 2 2" xfId="15705" xr:uid="{54285611-8A3E-4EA9-BF8D-15B1D12D17BE}"/>
    <cellStyle name="Normal 4 3 4 9 3" xfId="6598" xr:uid="{AF9A3ED4-A141-4EFA-80C5-4CB8B15C8A2F}"/>
    <cellStyle name="Normal 4 3 4 9 3 2" xfId="15706" xr:uid="{F08D3C9E-2B66-4AC3-BD7E-D25EE2904009}"/>
    <cellStyle name="Normal 4 3 4 9 4" xfId="15704" xr:uid="{1AEE06A0-D9F2-4537-9B4D-C0AE1B9F01D3}"/>
    <cellStyle name="Normal 4 3 5" xfId="6599" xr:uid="{2C161249-B901-4F45-BE87-D7B0A0202ED9}"/>
    <cellStyle name="Normal 4 3 5 10" xfId="15707" xr:uid="{DCD7DEC1-0B12-490E-8910-B549AA4D0A14}"/>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2 2" xfId="15712" xr:uid="{E057E89C-2CBB-4241-AA03-F90604E5964F}"/>
    <cellStyle name="Normal 4 3 5 2 2 2 2 3" xfId="6605" xr:uid="{1846FC29-9C71-41A1-973D-214C859A4E33}"/>
    <cellStyle name="Normal 4 3 5 2 2 2 2 3 2" xfId="15713" xr:uid="{F02C53CB-4418-47B7-A8FC-D7CA7049FCAE}"/>
    <cellStyle name="Normal 4 3 5 2 2 2 2 4" xfId="15711" xr:uid="{AB751551-5EB9-4F11-983A-5CB208FB0CF5}"/>
    <cellStyle name="Normal 4 3 5 2 2 2 3" xfId="6606" xr:uid="{16C22088-1BC5-49F9-A465-0A3EACBF6AC7}"/>
    <cellStyle name="Normal 4 3 5 2 2 2 3 2" xfId="15714" xr:uid="{ADC1F398-A305-4BC3-B54F-A4239E9BC800}"/>
    <cellStyle name="Normal 4 3 5 2 2 2 4" xfId="6607" xr:uid="{C033E47F-C36D-40BD-AF39-49A79380FA93}"/>
    <cellStyle name="Normal 4 3 5 2 2 2 4 2" xfId="15715" xr:uid="{32EE7C47-2A9B-47DA-BEF9-0420523117D0}"/>
    <cellStyle name="Normal 4 3 5 2 2 2 5" xfId="6608" xr:uid="{2D2C6E15-EAC3-422E-807B-9465971338A3}"/>
    <cellStyle name="Normal 4 3 5 2 2 2 5 2" xfId="15716" xr:uid="{0ECE316C-7F4C-40A2-A694-DD49D4ACF7AA}"/>
    <cellStyle name="Normal 4 3 5 2 2 2 6" xfId="15710" xr:uid="{B5516B3A-28E4-451A-9D2D-32CBB9E80872}"/>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2 2" xfId="15719" xr:uid="{EAF4594A-E555-49D9-9165-62AEBA92E03D}"/>
    <cellStyle name="Normal 4 3 5 2 2 3 2 3" xfId="6612" xr:uid="{FFFCCEC4-650C-4005-B20F-646C9EF89540}"/>
    <cellStyle name="Normal 4 3 5 2 2 3 2 3 2" xfId="15720" xr:uid="{59AEA3DB-1D0D-4DCC-915F-1BFB7652DB2E}"/>
    <cellStyle name="Normal 4 3 5 2 2 3 2 4" xfId="15718" xr:uid="{207BFF89-B56E-4172-80B1-31BEEC90EDCE}"/>
    <cellStyle name="Normal 4 3 5 2 2 3 3" xfId="6613" xr:uid="{C57C8E24-6DA1-4050-91F8-10466A01D62A}"/>
    <cellStyle name="Normal 4 3 5 2 2 3 3 2" xfId="15721" xr:uid="{CE944D80-7DAF-4014-9EE7-B5762A56611D}"/>
    <cellStyle name="Normal 4 3 5 2 2 3 4" xfId="6614" xr:uid="{792062CF-8A48-4140-9906-F8D535DC2124}"/>
    <cellStyle name="Normal 4 3 5 2 2 3 4 2" xfId="15722" xr:uid="{007B7FB9-586C-470E-A7A5-AE64C8A4914A}"/>
    <cellStyle name="Normal 4 3 5 2 2 3 5" xfId="6615" xr:uid="{D57D52E0-ACBF-4AA4-B24A-8AEE938607E6}"/>
    <cellStyle name="Normal 4 3 5 2 2 3 5 2" xfId="15723" xr:uid="{685E72DC-C532-4809-BBDC-CCF6BEFABEEB}"/>
    <cellStyle name="Normal 4 3 5 2 2 3 6" xfId="15717" xr:uid="{B8002CB4-A161-46AC-B4E6-1EBF7F36B529}"/>
    <cellStyle name="Normal 4 3 5 2 2 4" xfId="6616" xr:uid="{ACAB037F-DE35-472F-A385-45FB3F1E24B8}"/>
    <cellStyle name="Normal 4 3 5 2 2 4 2" xfId="6617" xr:uid="{C25E0993-E55A-42E4-BB64-D573CDF2E4F4}"/>
    <cellStyle name="Normal 4 3 5 2 2 4 2 2" xfId="15725" xr:uid="{5EB419D9-C658-457E-B925-05271F5E7AD5}"/>
    <cellStyle name="Normal 4 3 5 2 2 4 3" xfId="6618" xr:uid="{7F16C298-73CA-4BE5-92FC-C11682E03333}"/>
    <cellStyle name="Normal 4 3 5 2 2 4 3 2" xfId="15726" xr:uid="{2AAC2BA8-9CD3-4FE6-AFC3-58A302034901}"/>
    <cellStyle name="Normal 4 3 5 2 2 4 4" xfId="15724" xr:uid="{A332CCA0-C2E9-4F8F-A157-03BF5AEB2F3C}"/>
    <cellStyle name="Normal 4 3 5 2 2 5" xfId="6619" xr:uid="{93FB0C6C-928D-4DCD-BEC2-B7439459FE41}"/>
    <cellStyle name="Normal 4 3 5 2 2 5 2" xfId="15727" xr:uid="{D503238D-8360-416D-90DB-E24C2A6FB946}"/>
    <cellStyle name="Normal 4 3 5 2 2 6" xfId="6620" xr:uid="{5B48EEA0-12ED-439E-B84B-1CDD2300E90A}"/>
    <cellStyle name="Normal 4 3 5 2 2 6 2" xfId="15728" xr:uid="{EE7121A8-6980-4D63-9A75-97FBFAAC98F5}"/>
    <cellStyle name="Normal 4 3 5 2 2 7" xfId="6621" xr:uid="{8A5FA233-0A84-4C68-A51C-7FDB7BB8B6E8}"/>
    <cellStyle name="Normal 4 3 5 2 2 7 2" xfId="15729" xr:uid="{68555396-0AE8-40F9-AFF4-B7B0C9F9AE81}"/>
    <cellStyle name="Normal 4 3 5 2 2 8" xfId="15709" xr:uid="{45060621-F42D-4EAE-9281-09E06302EB75}"/>
    <cellStyle name="Normal 4 3 5 2 3" xfId="6622" xr:uid="{75E04293-4D1B-4F86-916D-12A5D72AB185}"/>
    <cellStyle name="Normal 4 3 5 2 3 2" xfId="6623" xr:uid="{12AA42D8-CF35-4290-9AB0-6995DFC124EB}"/>
    <cellStyle name="Normal 4 3 5 2 3 2 2" xfId="6624" xr:uid="{9BB14BC7-0491-41A6-8981-95C9BC78186D}"/>
    <cellStyle name="Normal 4 3 5 2 3 2 2 2" xfId="15732" xr:uid="{0EF2FC32-BAD1-4AAC-AAC2-B5010D59591C}"/>
    <cellStyle name="Normal 4 3 5 2 3 2 3" xfId="6625" xr:uid="{A027F26B-CB69-4C49-8595-315D2A300937}"/>
    <cellStyle name="Normal 4 3 5 2 3 2 3 2" xfId="15733" xr:uid="{EE09EF2A-9B05-428B-8D3A-681B0F95848C}"/>
    <cellStyle name="Normal 4 3 5 2 3 2 4" xfId="15731" xr:uid="{09F25ED7-2532-4869-B2CD-3EA5339131AB}"/>
    <cellStyle name="Normal 4 3 5 2 3 3" xfId="6626" xr:uid="{641025BD-17FF-47CE-ABE6-A2F1F08C5A3D}"/>
    <cellStyle name="Normal 4 3 5 2 3 3 2" xfId="15734" xr:uid="{7440F6D5-4C38-4DFC-8EA2-8C862566E8EC}"/>
    <cellStyle name="Normal 4 3 5 2 3 4" xfId="6627" xr:uid="{5201A2FF-9991-4B74-9DF4-F9BE95DEB672}"/>
    <cellStyle name="Normal 4 3 5 2 3 4 2" xfId="15735" xr:uid="{1ED9C5C9-C1D6-45D1-9614-63F4942D1EB0}"/>
    <cellStyle name="Normal 4 3 5 2 3 5" xfId="6628" xr:uid="{CA3B1BFD-DC19-4A90-9F84-A8272EA03650}"/>
    <cellStyle name="Normal 4 3 5 2 3 5 2" xfId="15736" xr:uid="{90EDE25A-93B0-4349-83D9-926EEC0DD9DC}"/>
    <cellStyle name="Normal 4 3 5 2 3 6" xfId="15730" xr:uid="{8B6805DF-1979-4189-968E-BEE88DAB30E8}"/>
    <cellStyle name="Normal 4 3 5 2 4" xfId="6629" xr:uid="{933E5A60-2DC4-4F7F-8182-45A6F14EA60D}"/>
    <cellStyle name="Normal 4 3 5 2 4 2" xfId="6630" xr:uid="{9BC4EE12-C9BF-44A0-90CB-510B72B68E5D}"/>
    <cellStyle name="Normal 4 3 5 2 4 2 2" xfId="6631" xr:uid="{08E09BEA-C78C-4C49-B83B-0B4361D752DD}"/>
    <cellStyle name="Normal 4 3 5 2 4 2 2 2" xfId="15739" xr:uid="{6AD80D2F-EBBE-46EA-B7D8-75CC9CD31900}"/>
    <cellStyle name="Normal 4 3 5 2 4 2 3" xfId="6632" xr:uid="{E6A0D852-E92D-4F8F-BD11-CAB82A944B63}"/>
    <cellStyle name="Normal 4 3 5 2 4 2 3 2" xfId="15740" xr:uid="{57EDE3A3-19E5-4375-AE07-FF3B1651E3C9}"/>
    <cellStyle name="Normal 4 3 5 2 4 2 4" xfId="15738" xr:uid="{4027239D-6C4F-4437-8EF2-6B95E94FEB8B}"/>
    <cellStyle name="Normal 4 3 5 2 4 3" xfId="6633" xr:uid="{724CCEBD-25C3-4C5B-9FF5-FC170B5E6116}"/>
    <cellStyle name="Normal 4 3 5 2 4 3 2" xfId="15741" xr:uid="{A25B59BC-2F17-4799-9A3E-150711BC95A3}"/>
    <cellStyle name="Normal 4 3 5 2 4 4" xfId="6634" xr:uid="{3737F527-A1C6-4349-8D51-EFA0F40C1634}"/>
    <cellStyle name="Normal 4 3 5 2 4 4 2" xfId="15742" xr:uid="{D8C11305-3BAC-4C14-B423-B505E4ECEF2D}"/>
    <cellStyle name="Normal 4 3 5 2 4 5" xfId="6635" xr:uid="{A089F57B-A5FF-4B6E-865E-F9BF82DFBE80}"/>
    <cellStyle name="Normal 4 3 5 2 4 5 2" xfId="15743" xr:uid="{15FF54AA-776D-47CB-9623-47BC0FBD5D21}"/>
    <cellStyle name="Normal 4 3 5 2 4 6" xfId="15737" xr:uid="{E2209F49-DC00-412A-8002-FD57DF1B1ADE}"/>
    <cellStyle name="Normal 4 3 5 2 5" xfId="6636" xr:uid="{41091C4D-8631-4ADE-9A8D-03F8EF0D158A}"/>
    <cellStyle name="Normal 4 3 5 2 5 2" xfId="6637" xr:uid="{BFD8F918-37D2-41C9-87F4-A939F1E35EDD}"/>
    <cellStyle name="Normal 4 3 5 2 5 2 2" xfId="15745" xr:uid="{361C5E48-A1E4-4802-83D5-D1BD9D93ADB2}"/>
    <cellStyle name="Normal 4 3 5 2 5 3" xfId="6638" xr:uid="{D70A1E44-1FF2-409F-9D92-969AF68D091E}"/>
    <cellStyle name="Normal 4 3 5 2 5 3 2" xfId="15746" xr:uid="{F5EE486C-60B4-44DD-9B37-7434250C613C}"/>
    <cellStyle name="Normal 4 3 5 2 5 4" xfId="15744" xr:uid="{B9B93F65-B053-419F-936E-5D4131621526}"/>
    <cellStyle name="Normal 4 3 5 2 6" xfId="6639" xr:uid="{D523907E-93C5-4CEB-8ADD-B0EFFDC5918F}"/>
    <cellStyle name="Normal 4 3 5 2 6 2" xfId="15747" xr:uid="{EAF85955-BDEB-40BE-B7A7-74C371477DAE}"/>
    <cellStyle name="Normal 4 3 5 2 7" xfId="6640" xr:uid="{BEAA8705-BBE7-45C5-8730-0DB4B9F5E6D0}"/>
    <cellStyle name="Normal 4 3 5 2 7 2" xfId="15748" xr:uid="{752292D3-FA7E-4AE4-B79A-6D47985470A8}"/>
    <cellStyle name="Normal 4 3 5 2 8" xfId="6641" xr:uid="{3271F4B2-F051-42FB-A85D-41095876A355}"/>
    <cellStyle name="Normal 4 3 5 2 8 2" xfId="15749" xr:uid="{73925815-F27D-46B1-B419-117AB8E3FF15}"/>
    <cellStyle name="Normal 4 3 5 2 9" xfId="15708" xr:uid="{3848AD22-33CC-46D9-BB46-13ACE00D1404}"/>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2 2" xfId="15753" xr:uid="{5A078BFF-C015-4DF0-9105-6772F65DDC11}"/>
    <cellStyle name="Normal 4 3 5 3 2 2 3" xfId="6646" xr:uid="{709A6DE1-8857-431F-8926-E9B5C922F369}"/>
    <cellStyle name="Normal 4 3 5 3 2 2 3 2" xfId="15754" xr:uid="{4AB8774E-677E-4BE7-9574-8E60D78A361B}"/>
    <cellStyle name="Normal 4 3 5 3 2 2 4" xfId="15752" xr:uid="{11BEF4B3-A5C5-4AA1-9565-8C55D45A325B}"/>
    <cellStyle name="Normal 4 3 5 3 2 3" xfId="6647" xr:uid="{E5671231-FD74-45CE-8DE6-F83B98F23E22}"/>
    <cellStyle name="Normal 4 3 5 3 2 3 2" xfId="15755" xr:uid="{E5FC8E14-06CF-4B86-8B79-4C510767BA57}"/>
    <cellStyle name="Normal 4 3 5 3 2 4" xfId="6648" xr:uid="{E1E0BFC6-DB86-4DE6-81C5-4D976F8F664F}"/>
    <cellStyle name="Normal 4 3 5 3 2 4 2" xfId="15756" xr:uid="{D4CD57DA-09DB-4F4C-985A-88B14D463FC7}"/>
    <cellStyle name="Normal 4 3 5 3 2 5" xfId="6649" xr:uid="{AA6A59BE-6808-486D-A979-51EC92F426C1}"/>
    <cellStyle name="Normal 4 3 5 3 2 5 2" xfId="15757" xr:uid="{201C480A-10B9-48D4-A305-506E464804FE}"/>
    <cellStyle name="Normal 4 3 5 3 2 6" xfId="15751" xr:uid="{09892839-40D8-4E08-BBDC-B3628A04A516}"/>
    <cellStyle name="Normal 4 3 5 3 3" xfId="6650" xr:uid="{E29801C0-C0F7-4910-A290-640F578A9B0D}"/>
    <cellStyle name="Normal 4 3 5 3 3 2" xfId="6651" xr:uid="{D37F9B26-271F-43E6-A1B8-C97A04825EFC}"/>
    <cellStyle name="Normal 4 3 5 3 3 2 2" xfId="6652" xr:uid="{18DCDE2E-7581-4A0D-B074-8C732BEACA0E}"/>
    <cellStyle name="Normal 4 3 5 3 3 2 2 2" xfId="15760" xr:uid="{0FDAEA8D-723B-4AFF-8DB9-ABFF1B8550D3}"/>
    <cellStyle name="Normal 4 3 5 3 3 2 3" xfId="6653" xr:uid="{E41D3C37-AC73-4F62-B900-38916DE2537C}"/>
    <cellStyle name="Normal 4 3 5 3 3 2 3 2" xfId="15761" xr:uid="{8BFDBF74-2A16-4A0E-83E2-B0D42FD4C81D}"/>
    <cellStyle name="Normal 4 3 5 3 3 2 4" xfId="15759" xr:uid="{A401F17F-A7C0-40E9-B262-075C0D1E3F99}"/>
    <cellStyle name="Normal 4 3 5 3 3 3" xfId="6654" xr:uid="{C7267419-8810-4C07-BD77-94F0B36AF08E}"/>
    <cellStyle name="Normal 4 3 5 3 3 3 2" xfId="15762" xr:uid="{A8849C28-55F3-4B28-B46C-085128CDC877}"/>
    <cellStyle name="Normal 4 3 5 3 3 4" xfId="6655" xr:uid="{3C989D4D-4EB9-478F-B8BC-654BD741BD55}"/>
    <cellStyle name="Normal 4 3 5 3 3 4 2" xfId="15763" xr:uid="{61408DBC-D1AF-4215-9ECB-D34B43D3C299}"/>
    <cellStyle name="Normal 4 3 5 3 3 5" xfId="6656" xr:uid="{08C54080-898E-4F64-9A6B-5BB4E9357456}"/>
    <cellStyle name="Normal 4 3 5 3 3 5 2" xfId="15764" xr:uid="{1B59055E-A0AC-4489-9989-054CEC5AF2DF}"/>
    <cellStyle name="Normal 4 3 5 3 3 6" xfId="15758" xr:uid="{D0C6FFB3-0C7E-4527-9759-F21F9FD60FBC}"/>
    <cellStyle name="Normal 4 3 5 3 4" xfId="6657" xr:uid="{4F5CC808-5DD9-48E2-A13C-0CEB71F9D94C}"/>
    <cellStyle name="Normal 4 3 5 3 4 2" xfId="6658" xr:uid="{D1949D1C-0A88-4B9B-AF7C-F5220400409B}"/>
    <cellStyle name="Normal 4 3 5 3 4 2 2" xfId="15766" xr:uid="{B0D769EB-3751-4DB8-B387-E32D252BB1A9}"/>
    <cellStyle name="Normal 4 3 5 3 4 3" xfId="6659" xr:uid="{C584DF89-1784-470D-ADD3-DCB247A00A4E}"/>
    <cellStyle name="Normal 4 3 5 3 4 3 2" xfId="15767" xr:uid="{986C1D26-2A9B-4144-AB15-D227290A1CCC}"/>
    <cellStyle name="Normal 4 3 5 3 4 4" xfId="15765" xr:uid="{F7C2C51C-FD53-4D62-91A5-EA807BE5C630}"/>
    <cellStyle name="Normal 4 3 5 3 5" xfId="6660" xr:uid="{6274B0B1-757C-437C-8F62-11FBAC015111}"/>
    <cellStyle name="Normal 4 3 5 3 5 2" xfId="15768" xr:uid="{6AC4E441-4917-427B-BEC1-294AF4196E22}"/>
    <cellStyle name="Normal 4 3 5 3 6" xfId="6661" xr:uid="{0D19AE46-E8FF-4703-8CC4-8A1E2729B16D}"/>
    <cellStyle name="Normal 4 3 5 3 6 2" xfId="15769" xr:uid="{2436EEC2-8070-44E2-99CA-A9E3FE817B0E}"/>
    <cellStyle name="Normal 4 3 5 3 7" xfId="6662" xr:uid="{9E5BF2BD-C519-4753-AC0E-735A79A8FB64}"/>
    <cellStyle name="Normal 4 3 5 3 7 2" xfId="15770" xr:uid="{FB40F945-A984-4606-81B2-B1D2D6360FD1}"/>
    <cellStyle name="Normal 4 3 5 3 8" xfId="15750" xr:uid="{AC064CB9-DE2A-4071-B450-4B74B6540FE7}"/>
    <cellStyle name="Normal 4 3 5 4" xfId="6663" xr:uid="{1A76F739-55B0-4FED-9010-87B9FE4BC15D}"/>
    <cellStyle name="Normal 4 3 5 4 2" xfId="6664" xr:uid="{ACE2AE70-B5DF-4F99-A570-D4FDC138D3E2}"/>
    <cellStyle name="Normal 4 3 5 4 2 2" xfId="6665" xr:uid="{FE80D729-9D11-4A3A-B9D5-F3231254A4DB}"/>
    <cellStyle name="Normal 4 3 5 4 2 2 2" xfId="15773" xr:uid="{B52A92F1-A2A5-4BA2-8E5F-A7FB312B3AE7}"/>
    <cellStyle name="Normal 4 3 5 4 2 3" xfId="6666" xr:uid="{1191AF2F-6DA5-4991-822F-FCC3E5163738}"/>
    <cellStyle name="Normal 4 3 5 4 2 3 2" xfId="15774" xr:uid="{A9F56344-AC78-4115-B294-79FE59221724}"/>
    <cellStyle name="Normal 4 3 5 4 2 4" xfId="15772" xr:uid="{9AB6ACF1-36E6-4DC3-9591-F570B946D558}"/>
    <cellStyle name="Normal 4 3 5 4 3" xfId="6667" xr:uid="{2B5E8114-486E-4086-B4CB-54A1D658B082}"/>
    <cellStyle name="Normal 4 3 5 4 3 2" xfId="15775" xr:uid="{F9077AED-1FA9-457D-AB2B-592268E707A7}"/>
    <cellStyle name="Normal 4 3 5 4 4" xfId="6668" xr:uid="{FB6FD24C-663B-49F4-A05E-D57710947B41}"/>
    <cellStyle name="Normal 4 3 5 4 4 2" xfId="15776" xr:uid="{71830FDC-D82B-441C-8BA9-9867DF09E96C}"/>
    <cellStyle name="Normal 4 3 5 4 5" xfId="6669" xr:uid="{EEB278F3-7776-411C-AF74-CE13BF11D220}"/>
    <cellStyle name="Normal 4 3 5 4 5 2" xfId="15777" xr:uid="{0C224597-A8EE-4461-BD5D-AFCCE88AB8DD}"/>
    <cellStyle name="Normal 4 3 5 4 6" xfId="15771" xr:uid="{A4F25366-1A7D-4B5B-8623-AD5207CE002D}"/>
    <cellStyle name="Normal 4 3 5 5" xfId="6670" xr:uid="{895AF991-4D7B-4F5F-8E39-65AFAF4DAC77}"/>
    <cellStyle name="Normal 4 3 5 5 2" xfId="6671" xr:uid="{87A54099-CDCC-45E3-9418-41D2FCFC3B89}"/>
    <cellStyle name="Normal 4 3 5 5 2 2" xfId="6672" xr:uid="{F509663F-6C8E-4AC7-BF75-0383B1F2F2BA}"/>
    <cellStyle name="Normal 4 3 5 5 2 2 2" xfId="15780" xr:uid="{5D40BEBA-8FFC-4C3D-9390-6ADDB0E9BCE8}"/>
    <cellStyle name="Normal 4 3 5 5 2 3" xfId="6673" xr:uid="{62402EBF-A8BB-45D1-BA6A-FD52BD081BF0}"/>
    <cellStyle name="Normal 4 3 5 5 2 3 2" xfId="15781" xr:uid="{4D746A45-636A-4DA2-95B3-FA1FDAB2F9C0}"/>
    <cellStyle name="Normal 4 3 5 5 2 4" xfId="15779" xr:uid="{926D61C3-C4B1-4C96-9EA9-6FB3ECBC0940}"/>
    <cellStyle name="Normal 4 3 5 5 3" xfId="6674" xr:uid="{8C2482F8-C0E2-417F-9AF0-C1BD5B1CC777}"/>
    <cellStyle name="Normal 4 3 5 5 3 2" xfId="15782" xr:uid="{66C8D109-E48A-4DAF-B6E7-35E4BD5A5D62}"/>
    <cellStyle name="Normal 4 3 5 5 4" xfId="6675" xr:uid="{504D96C7-BBE4-4DCA-B4C3-3C263EBC7526}"/>
    <cellStyle name="Normal 4 3 5 5 4 2" xfId="15783" xr:uid="{59508B9C-2418-4E3A-BFB0-52DC737E46C8}"/>
    <cellStyle name="Normal 4 3 5 5 5" xfId="6676" xr:uid="{45DC414C-C1E9-4718-88CC-8D729DA59E6F}"/>
    <cellStyle name="Normal 4 3 5 5 5 2" xfId="15784" xr:uid="{0D1FDD9D-5157-4992-87F5-700E000F50C0}"/>
    <cellStyle name="Normal 4 3 5 5 6" xfId="15778" xr:uid="{91EFBE3F-6280-478C-8C2C-D990670D17F4}"/>
    <cellStyle name="Normal 4 3 5 6" xfId="6677" xr:uid="{B32C9841-0114-4BA4-8FE4-EAB71CDECD7E}"/>
    <cellStyle name="Normal 4 3 5 6 2" xfId="6678" xr:uid="{8447E82B-5603-4089-B2EE-B307DBCE7A16}"/>
    <cellStyle name="Normal 4 3 5 6 2 2" xfId="15786" xr:uid="{3666603E-090E-4458-A8A3-4AEDA0B2113B}"/>
    <cellStyle name="Normal 4 3 5 6 3" xfId="6679" xr:uid="{CFF3143E-580A-4A9E-8D33-36FF18555440}"/>
    <cellStyle name="Normal 4 3 5 6 3 2" xfId="15787" xr:uid="{23A68C06-3B5B-45EC-A361-6092BE7659AB}"/>
    <cellStyle name="Normal 4 3 5 6 4" xfId="15785" xr:uid="{7F7C8117-D751-40BF-99A8-3E0C73DC1665}"/>
    <cellStyle name="Normal 4 3 5 7" xfId="6680" xr:uid="{CD10A09D-3033-429B-9466-5EC9D9BFA70F}"/>
    <cellStyle name="Normal 4 3 5 7 2" xfId="15788" xr:uid="{10143D8D-B093-42C7-A7EC-153AD28EE0A9}"/>
    <cellStyle name="Normal 4 3 5 8" xfId="6681" xr:uid="{C5D75179-05D5-48DE-A035-4EEE9B7FA789}"/>
    <cellStyle name="Normal 4 3 5 8 2" xfId="15789" xr:uid="{DA22FC9E-7DCA-4CE5-90C9-D4D5CBBCC74D}"/>
    <cellStyle name="Normal 4 3 5 9" xfId="6682" xr:uid="{A3C1739F-BC98-46B1-BB0C-994D77B5D91F}"/>
    <cellStyle name="Normal 4 3 5 9 2" xfId="15790" xr:uid="{68D077EE-B5B4-4AD8-97E2-127FCBA713C5}"/>
    <cellStyle name="Normal 4 3 6" xfId="6683" xr:uid="{5C14891F-A00F-4974-862E-918E5B75C910}"/>
    <cellStyle name="Normal 4 3 6 10" xfId="15791" xr:uid="{DF82DBAD-210A-4072-819C-4CB5C4123402}"/>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2 2" xfId="15796" xr:uid="{ECC47AEA-C24E-4901-A9BD-B1AF245416EE}"/>
    <cellStyle name="Normal 4 3 6 2 2 2 2 3" xfId="6689" xr:uid="{7C9D7185-603C-4CB7-881B-69D43E87BF9C}"/>
    <cellStyle name="Normal 4 3 6 2 2 2 2 3 2" xfId="15797" xr:uid="{1EDF8F59-4B06-4658-8D41-BAC4662A34EC}"/>
    <cellStyle name="Normal 4 3 6 2 2 2 2 4" xfId="15795" xr:uid="{F89EDC8C-708A-46BA-BDAD-6352251249EC}"/>
    <cellStyle name="Normal 4 3 6 2 2 2 3" xfId="6690" xr:uid="{2F14EE75-41A0-42FB-9538-820FBF35C391}"/>
    <cellStyle name="Normal 4 3 6 2 2 2 3 2" xfId="15798" xr:uid="{6D18783B-BCDA-4720-8751-94D38F0D30C6}"/>
    <cellStyle name="Normal 4 3 6 2 2 2 4" xfId="6691" xr:uid="{60E8DA8D-91AA-4510-BA14-2B1100A5E2B5}"/>
    <cellStyle name="Normal 4 3 6 2 2 2 4 2" xfId="15799" xr:uid="{0E94689E-9B1C-4AE9-8529-56581458C24B}"/>
    <cellStyle name="Normal 4 3 6 2 2 2 5" xfId="6692" xr:uid="{8D4E1386-4A67-4639-BB53-F8DFCC88783A}"/>
    <cellStyle name="Normal 4 3 6 2 2 2 5 2" xfId="15800" xr:uid="{D4A9990C-483B-4E55-9B82-886E9F70B4C1}"/>
    <cellStyle name="Normal 4 3 6 2 2 2 6" xfId="15794" xr:uid="{26FC3E31-D09E-4B9C-B42B-B0794DC9096B}"/>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2 2" xfId="15803" xr:uid="{406D547E-D9D3-4AB4-8DAE-79A78887589C}"/>
    <cellStyle name="Normal 4 3 6 2 2 3 2 3" xfId="6696" xr:uid="{0C04FAA1-76EF-457D-8EC1-EE6927DBFB89}"/>
    <cellStyle name="Normal 4 3 6 2 2 3 2 3 2" xfId="15804" xr:uid="{32E72999-0E36-44A5-94F9-B172C9F5B4A3}"/>
    <cellStyle name="Normal 4 3 6 2 2 3 2 4" xfId="15802" xr:uid="{B11EFF98-2EA3-4BF1-9D81-6DFC412EA233}"/>
    <cellStyle name="Normal 4 3 6 2 2 3 3" xfId="6697" xr:uid="{A7AF039A-CAC9-444D-8737-D0650D6028E4}"/>
    <cellStyle name="Normal 4 3 6 2 2 3 3 2" xfId="15805" xr:uid="{48972575-69CB-494A-8468-DF01371C9BDA}"/>
    <cellStyle name="Normal 4 3 6 2 2 3 4" xfId="6698" xr:uid="{0B132867-444F-4F5A-A03F-CBF4AD872A12}"/>
    <cellStyle name="Normal 4 3 6 2 2 3 4 2" xfId="15806" xr:uid="{63F88C73-87A7-43C1-8F89-31CC4E837B18}"/>
    <cellStyle name="Normal 4 3 6 2 2 3 5" xfId="6699" xr:uid="{9C29F3CA-C7FC-40C0-9A57-344E51045AE2}"/>
    <cellStyle name="Normal 4 3 6 2 2 3 5 2" xfId="15807" xr:uid="{66C0041B-5F47-4ABB-92E0-F6833727E6A5}"/>
    <cellStyle name="Normal 4 3 6 2 2 3 6" xfId="15801" xr:uid="{E2CA14FF-4D4F-4D00-8A29-ACAC254189B4}"/>
    <cellStyle name="Normal 4 3 6 2 2 4" xfId="6700" xr:uid="{491F900D-2FEA-41E1-A9C9-4BBA25529F4E}"/>
    <cellStyle name="Normal 4 3 6 2 2 4 2" xfId="6701" xr:uid="{39711ACC-17F7-42A1-B98E-41B4C5E1C3BC}"/>
    <cellStyle name="Normal 4 3 6 2 2 4 2 2" xfId="15809" xr:uid="{819AFC01-A876-45BD-A220-29C1EC1FB5A2}"/>
    <cellStyle name="Normal 4 3 6 2 2 4 3" xfId="6702" xr:uid="{FCA67FEE-45B1-4F79-8B15-1FA52B18D500}"/>
    <cellStyle name="Normal 4 3 6 2 2 4 3 2" xfId="15810" xr:uid="{943BEE6D-A9AB-4FF0-9151-36A5A52C4D6A}"/>
    <cellStyle name="Normal 4 3 6 2 2 4 4" xfId="15808" xr:uid="{A0537991-8829-4315-A800-F9D37B0C9A30}"/>
    <cellStyle name="Normal 4 3 6 2 2 5" xfId="6703" xr:uid="{381C0771-2F60-41D3-9F0C-F294400A19FA}"/>
    <cellStyle name="Normal 4 3 6 2 2 5 2" xfId="15811" xr:uid="{81E59AFE-0404-41BA-9F2B-17A7540DC5F5}"/>
    <cellStyle name="Normal 4 3 6 2 2 6" xfId="6704" xr:uid="{58207701-46AF-43B8-AED4-2C0E52CF2F27}"/>
    <cellStyle name="Normal 4 3 6 2 2 6 2" xfId="15812" xr:uid="{CCEE412D-7823-4802-9ACE-6208C5BD6765}"/>
    <cellStyle name="Normal 4 3 6 2 2 7" xfId="6705" xr:uid="{BAAEC696-E822-4362-B2FF-37CC1585327E}"/>
    <cellStyle name="Normal 4 3 6 2 2 7 2" xfId="15813" xr:uid="{9903E50A-3530-4CE4-AA9B-75F21000A32D}"/>
    <cellStyle name="Normal 4 3 6 2 2 8" xfId="15793" xr:uid="{F83B379B-18D6-47FD-9615-2144BB141ECF}"/>
    <cellStyle name="Normal 4 3 6 2 3" xfId="6706" xr:uid="{3BF92EC2-F45D-4996-A3C9-2F73EB411102}"/>
    <cellStyle name="Normal 4 3 6 2 3 2" xfId="6707" xr:uid="{64C0A1F8-BF57-4626-889D-5F7AD69E593A}"/>
    <cellStyle name="Normal 4 3 6 2 3 2 2" xfId="6708" xr:uid="{43AADB56-B942-4FFE-94F5-43896A2BF296}"/>
    <cellStyle name="Normal 4 3 6 2 3 2 2 2" xfId="15816" xr:uid="{D15E880D-70CE-4CEF-8B76-4596D6CDC82E}"/>
    <cellStyle name="Normal 4 3 6 2 3 2 3" xfId="6709" xr:uid="{F6537DFD-5353-4DCF-A866-7549EB3FDA65}"/>
    <cellStyle name="Normal 4 3 6 2 3 2 3 2" xfId="15817" xr:uid="{50C3A260-3C04-4237-813E-6D9488DE9843}"/>
    <cellStyle name="Normal 4 3 6 2 3 2 4" xfId="15815" xr:uid="{8E84E9A0-C452-4B9F-80F7-32CF6D3C7B56}"/>
    <cellStyle name="Normal 4 3 6 2 3 3" xfId="6710" xr:uid="{A04E75BE-5228-431C-8849-C0947EFA31FC}"/>
    <cellStyle name="Normal 4 3 6 2 3 3 2" xfId="15818" xr:uid="{500678B5-2725-4B64-9408-E8F428672695}"/>
    <cellStyle name="Normal 4 3 6 2 3 4" xfId="6711" xr:uid="{8B10109B-A73B-4398-932A-700F8FEBA17B}"/>
    <cellStyle name="Normal 4 3 6 2 3 4 2" xfId="15819" xr:uid="{4306176A-E171-4260-9340-071E1F51D9BF}"/>
    <cellStyle name="Normal 4 3 6 2 3 5" xfId="6712" xr:uid="{E2E9286F-F774-4DD5-999E-2796425B4BF2}"/>
    <cellStyle name="Normal 4 3 6 2 3 5 2" xfId="15820" xr:uid="{9E842CEC-CBB4-46D4-BD31-40D0D9982BD4}"/>
    <cellStyle name="Normal 4 3 6 2 3 6" xfId="15814" xr:uid="{EBEF2E72-539E-45FC-B111-8BC8FEBCC921}"/>
    <cellStyle name="Normal 4 3 6 2 4" xfId="6713" xr:uid="{C20F3F1F-E378-4802-A25C-DE89BA33E6E2}"/>
    <cellStyle name="Normal 4 3 6 2 4 2" xfId="6714" xr:uid="{8994A826-C877-4C0A-AF99-7ADB21130B57}"/>
    <cellStyle name="Normal 4 3 6 2 4 2 2" xfId="6715" xr:uid="{6D8A6C1D-F637-4D96-A034-816B51964195}"/>
    <cellStyle name="Normal 4 3 6 2 4 2 2 2" xfId="15823" xr:uid="{3628D370-EA1E-48CE-812B-E2B74A431C8C}"/>
    <cellStyle name="Normal 4 3 6 2 4 2 3" xfId="6716" xr:uid="{8F9D62B7-B9C6-483E-96AE-E6A88E5DF5F7}"/>
    <cellStyle name="Normal 4 3 6 2 4 2 3 2" xfId="15824" xr:uid="{CAFF88D4-082E-4A2D-B939-BDEC635E95F7}"/>
    <cellStyle name="Normal 4 3 6 2 4 2 4" xfId="15822" xr:uid="{6BDF67F4-1E60-463C-90CB-B8A6BC1EA980}"/>
    <cellStyle name="Normal 4 3 6 2 4 3" xfId="6717" xr:uid="{BE31F1AB-1525-41CF-B146-8067A4013336}"/>
    <cellStyle name="Normal 4 3 6 2 4 3 2" xfId="15825" xr:uid="{4C004F56-362A-4F23-8CEE-DD88F5F4E051}"/>
    <cellStyle name="Normal 4 3 6 2 4 4" xfId="6718" xr:uid="{AE6766C5-F9CD-4166-A0A2-46ACB6DDA2E1}"/>
    <cellStyle name="Normal 4 3 6 2 4 4 2" xfId="15826" xr:uid="{B00BD561-7F8E-42BE-8E4D-35FF0D4DA576}"/>
    <cellStyle name="Normal 4 3 6 2 4 5" xfId="6719" xr:uid="{D311ED10-82F1-4FC1-87E4-0913E24B3680}"/>
    <cellStyle name="Normal 4 3 6 2 4 5 2" xfId="15827" xr:uid="{8C24AAF3-8FF2-4EDC-9213-3A15FB8B53E2}"/>
    <cellStyle name="Normal 4 3 6 2 4 6" xfId="15821" xr:uid="{D75430F9-ED79-4B80-8898-F114331BA58D}"/>
    <cellStyle name="Normal 4 3 6 2 5" xfId="6720" xr:uid="{B5CE7F46-3AE6-46B0-B092-ECE5DE66760D}"/>
    <cellStyle name="Normal 4 3 6 2 5 2" xfId="6721" xr:uid="{3E060F03-FF8E-4A7D-A055-0B22B6CB9E8E}"/>
    <cellStyle name="Normal 4 3 6 2 5 2 2" xfId="15829" xr:uid="{C2570066-3F60-4CAE-9B06-31433F1E82C0}"/>
    <cellStyle name="Normal 4 3 6 2 5 3" xfId="6722" xr:uid="{219029AA-7EF9-4621-839B-EF1D14E8B22F}"/>
    <cellStyle name="Normal 4 3 6 2 5 3 2" xfId="15830" xr:uid="{A1760B95-62E3-40AF-BC2C-3560D561C117}"/>
    <cellStyle name="Normal 4 3 6 2 5 4" xfId="15828" xr:uid="{AEAE093C-32F7-4B0F-9FAB-02FCEB80EFD7}"/>
    <cellStyle name="Normal 4 3 6 2 6" xfId="6723" xr:uid="{B6C2ACCF-7C50-4A51-9771-68BEB01BA225}"/>
    <cellStyle name="Normal 4 3 6 2 6 2" xfId="15831" xr:uid="{0583148B-8EA2-49F7-A27D-9C97CECFE14F}"/>
    <cellStyle name="Normal 4 3 6 2 7" xfId="6724" xr:uid="{F4EE998E-1ADA-420C-B68A-F4907BAEB54C}"/>
    <cellStyle name="Normal 4 3 6 2 7 2" xfId="15832" xr:uid="{11AD75CC-11EC-466B-970C-E1C6E1B9E83E}"/>
    <cellStyle name="Normal 4 3 6 2 8" xfId="6725" xr:uid="{99C95A3B-D9FF-43DA-B485-01786F20EA6A}"/>
    <cellStyle name="Normal 4 3 6 2 8 2" xfId="15833" xr:uid="{DC775016-EF31-4FAC-AC26-2CFA50628267}"/>
    <cellStyle name="Normal 4 3 6 2 9" xfId="15792" xr:uid="{24D7027F-B6AF-4C4E-9DAD-163387C361AC}"/>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2 2" xfId="15837" xr:uid="{9790EAE5-E797-45DA-8598-1BBC62335960}"/>
    <cellStyle name="Normal 4 3 6 3 2 2 3" xfId="6730" xr:uid="{5816B598-FA1A-4765-BD7D-867CA2015069}"/>
    <cellStyle name="Normal 4 3 6 3 2 2 3 2" xfId="15838" xr:uid="{FF01FF2C-FE7F-498D-A6DA-49C006CAADA0}"/>
    <cellStyle name="Normal 4 3 6 3 2 2 4" xfId="15836" xr:uid="{2FE9E4D1-7FDE-482A-8D4F-7216DF9C5044}"/>
    <cellStyle name="Normal 4 3 6 3 2 3" xfId="6731" xr:uid="{B90E1FB8-9C9C-4627-BA1D-240781B8D92C}"/>
    <cellStyle name="Normal 4 3 6 3 2 3 2" xfId="15839" xr:uid="{75BB661F-9690-4AFE-BFFC-F7B603E370F4}"/>
    <cellStyle name="Normal 4 3 6 3 2 4" xfId="6732" xr:uid="{FB144151-6A91-4164-9B7B-1E1DE4EEAFB4}"/>
    <cellStyle name="Normal 4 3 6 3 2 4 2" xfId="15840" xr:uid="{F8F349F0-33E0-4311-A86D-E533FA092D5C}"/>
    <cellStyle name="Normal 4 3 6 3 2 5" xfId="6733" xr:uid="{8C2A51C8-542A-4AA4-A94D-0762B2610EBD}"/>
    <cellStyle name="Normal 4 3 6 3 2 5 2" xfId="15841" xr:uid="{CB95E84E-BB81-420E-AFDD-FEC5985962A5}"/>
    <cellStyle name="Normal 4 3 6 3 2 6" xfId="15835" xr:uid="{548B57A4-5BCD-4E9E-AB68-144A8E13C307}"/>
    <cellStyle name="Normal 4 3 6 3 3" xfId="6734" xr:uid="{4FD69754-79EB-4C25-91A3-E16C58B213E1}"/>
    <cellStyle name="Normal 4 3 6 3 3 2" xfId="6735" xr:uid="{9F04C60E-99CD-4553-810D-1C555E08AA21}"/>
    <cellStyle name="Normal 4 3 6 3 3 2 2" xfId="6736" xr:uid="{6A3E293C-C8DF-4189-9324-CEE8C0B64222}"/>
    <cellStyle name="Normal 4 3 6 3 3 2 2 2" xfId="15844" xr:uid="{23358AE3-528D-47FF-9C86-4730B3869C72}"/>
    <cellStyle name="Normal 4 3 6 3 3 2 3" xfId="6737" xr:uid="{1527ECBE-6A85-4C12-BB9D-AFD48A56A7F2}"/>
    <cellStyle name="Normal 4 3 6 3 3 2 3 2" xfId="15845" xr:uid="{F33D97FE-A128-44C3-A59A-05229F6ABD78}"/>
    <cellStyle name="Normal 4 3 6 3 3 2 4" xfId="15843" xr:uid="{749961E8-6143-41BB-ADE6-CDBE3E03F5EC}"/>
    <cellStyle name="Normal 4 3 6 3 3 3" xfId="6738" xr:uid="{65A49DB2-60E6-42B0-866B-24D837A50723}"/>
    <cellStyle name="Normal 4 3 6 3 3 3 2" xfId="15846" xr:uid="{9A9898E8-63B2-4C44-B139-20FCCB37DB25}"/>
    <cellStyle name="Normal 4 3 6 3 3 4" xfId="6739" xr:uid="{0AAE995B-5DD0-440B-9B6C-14492A964EFC}"/>
    <cellStyle name="Normal 4 3 6 3 3 4 2" xfId="15847" xr:uid="{C16737DE-647B-43FA-B122-11DDBE2F1BDE}"/>
    <cellStyle name="Normal 4 3 6 3 3 5" xfId="6740" xr:uid="{6BB8C245-A90F-4E56-AEDB-12B68C9D4C29}"/>
    <cellStyle name="Normal 4 3 6 3 3 5 2" xfId="15848" xr:uid="{13B36D3D-C752-4AFC-9EFC-19029543E084}"/>
    <cellStyle name="Normal 4 3 6 3 3 6" xfId="15842" xr:uid="{6D1B63DC-0BE3-4B26-8EEE-8B1DAD3F5E20}"/>
    <cellStyle name="Normal 4 3 6 3 4" xfId="6741" xr:uid="{149ACC18-2695-4017-8ACA-E56BF3BF6AFC}"/>
    <cellStyle name="Normal 4 3 6 3 4 2" xfId="6742" xr:uid="{6380E8D7-141E-4CD6-81A9-8A75C93DE7F8}"/>
    <cellStyle name="Normal 4 3 6 3 4 2 2" xfId="15850" xr:uid="{7A949578-4B84-4349-A4ED-72C6F7157420}"/>
    <cellStyle name="Normal 4 3 6 3 4 3" xfId="6743" xr:uid="{4091A54C-B267-4890-82D6-62D68EEE3167}"/>
    <cellStyle name="Normal 4 3 6 3 4 3 2" xfId="15851" xr:uid="{75AE3DEC-E630-4D54-A6CC-EE1C91CEF4F1}"/>
    <cellStyle name="Normal 4 3 6 3 4 4" xfId="15849" xr:uid="{EA79BE29-A07B-4E67-B391-DC5A3899AC5F}"/>
    <cellStyle name="Normal 4 3 6 3 5" xfId="6744" xr:uid="{C4CAC459-BDCD-4A4B-B2E9-D649401CB38E}"/>
    <cellStyle name="Normal 4 3 6 3 5 2" xfId="15852" xr:uid="{31CF6EA6-B06A-48D1-848C-73FE54040D11}"/>
    <cellStyle name="Normal 4 3 6 3 6" xfId="6745" xr:uid="{4CB47943-6E67-4B2C-A313-2665D8293F5B}"/>
    <cellStyle name="Normal 4 3 6 3 6 2" xfId="15853" xr:uid="{60FFA495-7855-4F84-BDCF-5B32DEC30027}"/>
    <cellStyle name="Normal 4 3 6 3 7" xfId="6746" xr:uid="{BD32AF55-6A46-45F3-8433-36980BAA9B8B}"/>
    <cellStyle name="Normal 4 3 6 3 7 2" xfId="15854" xr:uid="{EBE98EB7-0035-4976-B415-A8CE491D79BA}"/>
    <cellStyle name="Normal 4 3 6 3 8" xfId="15834" xr:uid="{F9F8A2A2-928D-456C-A097-FA2A4745A90D}"/>
    <cellStyle name="Normal 4 3 6 4" xfId="6747" xr:uid="{31F9D299-5588-4EE9-8AFF-C4EDF88A7AAE}"/>
    <cellStyle name="Normal 4 3 6 4 2" xfId="6748" xr:uid="{C6E4BCEB-831C-4952-8025-AA8A6F35F83C}"/>
    <cellStyle name="Normal 4 3 6 4 2 2" xfId="6749" xr:uid="{B78B5A31-6ED6-45E6-A2BF-2E6F1DC16DC4}"/>
    <cellStyle name="Normal 4 3 6 4 2 2 2" xfId="15857" xr:uid="{8E180547-5CF1-4E56-A895-35C98414E3A6}"/>
    <cellStyle name="Normal 4 3 6 4 2 3" xfId="6750" xr:uid="{F10C20E6-9951-4D8D-918B-56FE3B26FAF8}"/>
    <cellStyle name="Normal 4 3 6 4 2 3 2" xfId="15858" xr:uid="{517332D2-EB74-4EF0-AD80-EF1B7B8C3DC6}"/>
    <cellStyle name="Normal 4 3 6 4 2 4" xfId="15856" xr:uid="{AB55857C-1F22-467E-9805-CFDEA34D3C42}"/>
    <cellStyle name="Normal 4 3 6 4 3" xfId="6751" xr:uid="{48BBEAA3-CDF1-4C2C-A559-83C6F8732CFB}"/>
    <cellStyle name="Normal 4 3 6 4 3 2" xfId="15859" xr:uid="{D7A926EA-F2FB-4326-AA05-A1A50AAD08C0}"/>
    <cellStyle name="Normal 4 3 6 4 4" xfId="6752" xr:uid="{4D9F2470-0681-4773-9873-B8E21374C3DF}"/>
    <cellStyle name="Normal 4 3 6 4 4 2" xfId="15860" xr:uid="{69DE9171-3840-4678-9312-64C945515D2D}"/>
    <cellStyle name="Normal 4 3 6 4 5" xfId="6753" xr:uid="{C4A21B34-0B63-4648-9B59-9EF2873AE3AD}"/>
    <cellStyle name="Normal 4 3 6 4 5 2" xfId="15861" xr:uid="{46498BDE-490A-4CFB-BDD4-6EF03B3B06DD}"/>
    <cellStyle name="Normal 4 3 6 4 6" xfId="15855" xr:uid="{834C9FC2-3A14-4086-BA95-F37AEDB9B6EC}"/>
    <cellStyle name="Normal 4 3 6 5" xfId="6754" xr:uid="{899C8485-6C7C-4179-9E80-692EBFE33116}"/>
    <cellStyle name="Normal 4 3 6 5 2" xfId="6755" xr:uid="{57F6B9A8-8D46-4A59-B264-546BBEF06B6C}"/>
    <cellStyle name="Normal 4 3 6 5 2 2" xfId="6756" xr:uid="{2A821E92-39AF-40FD-A972-37CE5F03444C}"/>
    <cellStyle name="Normal 4 3 6 5 2 2 2" xfId="15864" xr:uid="{970111FC-A0B8-4F6C-8E7D-3B340AD20AF7}"/>
    <cellStyle name="Normal 4 3 6 5 2 3" xfId="6757" xr:uid="{95B42814-D85E-4902-898F-0BD80BC1EC04}"/>
    <cellStyle name="Normal 4 3 6 5 2 3 2" xfId="15865" xr:uid="{9D1F8F78-F844-4832-8CA4-81F539A1BEC3}"/>
    <cellStyle name="Normal 4 3 6 5 2 4" xfId="15863" xr:uid="{18DF27B2-A5D6-4782-AD53-3E19F7D38E07}"/>
    <cellStyle name="Normal 4 3 6 5 3" xfId="6758" xr:uid="{FF8DFC8D-408D-478C-819C-A81FF8290D33}"/>
    <cellStyle name="Normal 4 3 6 5 3 2" xfId="15866" xr:uid="{88738396-B276-464C-9BB7-DB41034FD148}"/>
    <cellStyle name="Normal 4 3 6 5 4" xfId="6759" xr:uid="{5429E7AD-19F2-4274-A5DF-1D18EACA425F}"/>
    <cellStyle name="Normal 4 3 6 5 4 2" xfId="15867" xr:uid="{FC39A669-BC9B-499A-9A14-640F806B3F32}"/>
    <cellStyle name="Normal 4 3 6 5 5" xfId="6760" xr:uid="{55F5DEE9-583B-47C8-B0F7-92E410095D5C}"/>
    <cellStyle name="Normal 4 3 6 5 5 2" xfId="15868" xr:uid="{218A0AC6-A987-4D39-B0E5-66C4813846E0}"/>
    <cellStyle name="Normal 4 3 6 5 6" xfId="15862" xr:uid="{4C395957-202A-473C-B5BD-6259FCF20A0F}"/>
    <cellStyle name="Normal 4 3 6 6" xfId="6761" xr:uid="{5CF5F662-E61B-4790-807F-43A22E1F4F38}"/>
    <cellStyle name="Normal 4 3 6 6 2" xfId="6762" xr:uid="{4C10AD61-0B16-40CF-98CE-6B870109C11B}"/>
    <cellStyle name="Normal 4 3 6 6 2 2" xfId="15870" xr:uid="{A4334AFD-6D20-4772-AE4A-6955B9B6E525}"/>
    <cellStyle name="Normal 4 3 6 6 3" xfId="6763" xr:uid="{0BFCE0D5-A85B-4D79-AE69-F4D8D240F7CA}"/>
    <cellStyle name="Normal 4 3 6 6 3 2" xfId="15871" xr:uid="{DAAB701A-D483-4C64-9FE3-50A21E4207D0}"/>
    <cellStyle name="Normal 4 3 6 6 4" xfId="15869" xr:uid="{19F6C540-1574-4011-AC3B-F81B9B0925BE}"/>
    <cellStyle name="Normal 4 3 6 7" xfId="6764" xr:uid="{16D870C2-5908-4DF7-A530-470B24065055}"/>
    <cellStyle name="Normal 4 3 6 7 2" xfId="15872" xr:uid="{991A9551-9B1F-4FB7-A16E-258CAD1FC5F6}"/>
    <cellStyle name="Normal 4 3 6 8" xfId="6765" xr:uid="{63DE5A6E-1811-4AA7-96C8-503E531E9815}"/>
    <cellStyle name="Normal 4 3 6 8 2" xfId="15873" xr:uid="{0A670088-3CCE-43EE-BDA8-AF932B922394}"/>
    <cellStyle name="Normal 4 3 6 9" xfId="6766" xr:uid="{95F0C461-4B42-4DE8-BB7A-579746A1A02A}"/>
    <cellStyle name="Normal 4 3 6 9 2" xfId="15874" xr:uid="{EC614955-5705-4B46-A1ED-F98E994706B8}"/>
    <cellStyle name="Normal 4 3 7" xfId="6767" xr:uid="{9928A7C9-6059-4C4E-A0A3-13C1DA939FAD}"/>
    <cellStyle name="Normal 4 3 7 10" xfId="15875" xr:uid="{3CF1AF7E-D901-4032-A748-4F1443FFF142}"/>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2 2" xfId="15880" xr:uid="{8C840C69-938A-4199-8D65-F53BBF0191A6}"/>
    <cellStyle name="Normal 4 3 7 2 2 2 2 3" xfId="6773" xr:uid="{A501EB1F-4342-4685-AAA4-94B87B2D799A}"/>
    <cellStyle name="Normal 4 3 7 2 2 2 2 3 2" xfId="15881" xr:uid="{6B581AF1-EE5D-4024-B9D9-399886037353}"/>
    <cellStyle name="Normal 4 3 7 2 2 2 2 4" xfId="15879" xr:uid="{567E0D95-8A99-49ED-8465-3AFCC55088B9}"/>
    <cellStyle name="Normal 4 3 7 2 2 2 3" xfId="6774" xr:uid="{1F8F7172-DB43-4CF1-B312-DBD48F5F870E}"/>
    <cellStyle name="Normal 4 3 7 2 2 2 3 2" xfId="15882" xr:uid="{D94928EE-FE1D-4037-A7C9-63062F423B11}"/>
    <cellStyle name="Normal 4 3 7 2 2 2 4" xfId="6775" xr:uid="{09808558-8E85-47A7-9CF9-5A55976685D3}"/>
    <cellStyle name="Normal 4 3 7 2 2 2 4 2" xfId="15883" xr:uid="{E7BFAFA0-F796-4D7F-A610-D57EAF4D6B2E}"/>
    <cellStyle name="Normal 4 3 7 2 2 2 5" xfId="6776" xr:uid="{7364766A-A283-4328-84DE-CC74C748C95D}"/>
    <cellStyle name="Normal 4 3 7 2 2 2 5 2" xfId="15884" xr:uid="{8C7B42AA-0C4A-442A-B050-832C1069AA3B}"/>
    <cellStyle name="Normal 4 3 7 2 2 2 6" xfId="15878" xr:uid="{3A3CBE42-B691-4037-8617-9D1A7DF0B310}"/>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2 2" xfId="15887" xr:uid="{AEA7B644-DB6A-4B53-B4E6-329F9D4B6741}"/>
    <cellStyle name="Normal 4 3 7 2 2 3 2 3" xfId="6780" xr:uid="{357D9A1A-C045-48FC-80A3-04A7BBECC565}"/>
    <cellStyle name="Normal 4 3 7 2 2 3 2 3 2" xfId="15888" xr:uid="{F2096331-04A7-4375-AD7F-5536399B3522}"/>
    <cellStyle name="Normal 4 3 7 2 2 3 2 4" xfId="15886" xr:uid="{5B76BBB0-E56D-4BC7-A9C1-30794C9B4E2C}"/>
    <cellStyle name="Normal 4 3 7 2 2 3 3" xfId="6781" xr:uid="{76153955-6906-4917-8B59-102A5E6FC1AE}"/>
    <cellStyle name="Normal 4 3 7 2 2 3 3 2" xfId="15889" xr:uid="{AEE234E6-1E15-4841-B017-680E6D0722C7}"/>
    <cellStyle name="Normal 4 3 7 2 2 3 4" xfId="6782" xr:uid="{7BF95F96-BF2D-416F-9FFA-D6DEC2E6B351}"/>
    <cellStyle name="Normal 4 3 7 2 2 3 4 2" xfId="15890" xr:uid="{CC193FB4-6764-4F81-B2D6-37796EC21D30}"/>
    <cellStyle name="Normal 4 3 7 2 2 3 5" xfId="6783" xr:uid="{13DEA11A-4521-4096-9429-23B1990667F2}"/>
    <cellStyle name="Normal 4 3 7 2 2 3 5 2" xfId="15891" xr:uid="{54A930A1-3CDE-49AE-88AA-313C576BAA88}"/>
    <cellStyle name="Normal 4 3 7 2 2 3 6" xfId="15885" xr:uid="{B9B4AFAD-3111-4334-8F71-12FAD61F6C76}"/>
    <cellStyle name="Normal 4 3 7 2 2 4" xfId="6784" xr:uid="{8A7F70DA-2777-4006-B1DA-275E31AB3CF7}"/>
    <cellStyle name="Normal 4 3 7 2 2 4 2" xfId="6785" xr:uid="{E163235A-D527-435F-9A82-716FEA6C789F}"/>
    <cellStyle name="Normal 4 3 7 2 2 4 2 2" xfId="15893" xr:uid="{B48B35AC-5283-463D-A843-BD9BBE69F951}"/>
    <cellStyle name="Normal 4 3 7 2 2 4 3" xfId="6786" xr:uid="{AC5F3102-7D92-4FD0-807D-83D1BADADD9E}"/>
    <cellStyle name="Normal 4 3 7 2 2 4 3 2" xfId="15894" xr:uid="{F38302A2-C943-4AD0-9F13-A54FC7866436}"/>
    <cellStyle name="Normal 4 3 7 2 2 4 4" xfId="15892" xr:uid="{34DFFBFB-7676-404F-A7D0-6E6A3E0CB830}"/>
    <cellStyle name="Normal 4 3 7 2 2 5" xfId="6787" xr:uid="{F7F0B609-1288-4161-8F49-5D5B17E4A0C2}"/>
    <cellStyle name="Normal 4 3 7 2 2 5 2" xfId="15895" xr:uid="{9C52EB38-4FB8-4B4D-AB20-A38981C8434B}"/>
    <cellStyle name="Normal 4 3 7 2 2 6" xfId="6788" xr:uid="{DD178368-51C5-47E7-A3BE-7AA2BFD92477}"/>
    <cellStyle name="Normal 4 3 7 2 2 6 2" xfId="15896" xr:uid="{590B362B-9F04-4029-87C4-3286EADA1E42}"/>
    <cellStyle name="Normal 4 3 7 2 2 7" xfId="6789" xr:uid="{6920AA25-E1B8-46DB-AE18-D2BBE203C3A6}"/>
    <cellStyle name="Normal 4 3 7 2 2 7 2" xfId="15897" xr:uid="{B5EF39E4-CBDF-4991-93F9-A838A128661C}"/>
    <cellStyle name="Normal 4 3 7 2 2 8" xfId="15877" xr:uid="{0552C323-5E3F-4950-8956-9BF64A20A5BF}"/>
    <cellStyle name="Normal 4 3 7 2 3" xfId="6790" xr:uid="{FB5CF2CD-DAB4-424A-80D8-4027EA9B9913}"/>
    <cellStyle name="Normal 4 3 7 2 3 2" xfId="6791" xr:uid="{EED7CD7F-DCD8-48DA-9304-4CB7A9824912}"/>
    <cellStyle name="Normal 4 3 7 2 3 2 2" xfId="6792" xr:uid="{6C6D0EC6-455A-4B2B-98C3-70FA2869BC08}"/>
    <cellStyle name="Normal 4 3 7 2 3 2 2 2" xfId="15900" xr:uid="{4B4467DF-F569-4E33-B270-2FA85536B433}"/>
    <cellStyle name="Normal 4 3 7 2 3 2 3" xfId="6793" xr:uid="{4E11DF1F-A4F8-4A3D-97E4-0448FDB983DD}"/>
    <cellStyle name="Normal 4 3 7 2 3 2 3 2" xfId="15901" xr:uid="{C02A618C-E2D0-441E-BB86-585E0A9C496A}"/>
    <cellStyle name="Normal 4 3 7 2 3 2 4" xfId="15899" xr:uid="{30CBFE4E-4E28-477C-87AE-88AB8DB442D0}"/>
    <cellStyle name="Normal 4 3 7 2 3 3" xfId="6794" xr:uid="{AEB09863-F08A-4871-A4FA-03379EC6F6F2}"/>
    <cellStyle name="Normal 4 3 7 2 3 3 2" xfId="15902" xr:uid="{C34F3A0D-8489-4E03-A732-D01C451BF4F4}"/>
    <cellStyle name="Normal 4 3 7 2 3 4" xfId="6795" xr:uid="{8916DD0E-DC8C-4C95-9941-C60C5D09454A}"/>
    <cellStyle name="Normal 4 3 7 2 3 4 2" xfId="15903" xr:uid="{40578354-23DB-4AB2-81AF-C978BAB1CE93}"/>
    <cellStyle name="Normal 4 3 7 2 3 5" xfId="6796" xr:uid="{969CBA5A-2FB9-40DD-80C4-76FF2E75FD28}"/>
    <cellStyle name="Normal 4 3 7 2 3 5 2" xfId="15904" xr:uid="{8EB78A63-5F2A-491D-8386-A8C0CBE7CE2D}"/>
    <cellStyle name="Normal 4 3 7 2 3 6" xfId="15898" xr:uid="{CCB40F67-0FAD-4030-8369-4D0EB1D4A5E2}"/>
    <cellStyle name="Normal 4 3 7 2 4" xfId="6797" xr:uid="{D2D1394F-052D-403F-A98D-3CB253E93D4D}"/>
    <cellStyle name="Normal 4 3 7 2 4 2" xfId="6798" xr:uid="{43E5CB9A-71FA-4190-AC10-01E09DBDD858}"/>
    <cellStyle name="Normal 4 3 7 2 4 2 2" xfId="6799" xr:uid="{2DB10E0B-420B-413A-8655-0A26E929D1DC}"/>
    <cellStyle name="Normal 4 3 7 2 4 2 2 2" xfId="15907" xr:uid="{732CD10B-65E2-402B-8E13-5B01185BF422}"/>
    <cellStyle name="Normal 4 3 7 2 4 2 3" xfId="6800" xr:uid="{A5FB9716-DF68-4ABC-9EEC-DBF6C88E9DF0}"/>
    <cellStyle name="Normal 4 3 7 2 4 2 3 2" xfId="15908" xr:uid="{F317901C-2C60-41E1-ADC8-D420E15F4079}"/>
    <cellStyle name="Normal 4 3 7 2 4 2 4" xfId="15906" xr:uid="{F738C08C-060A-4070-B672-F7507325E8FC}"/>
    <cellStyle name="Normal 4 3 7 2 4 3" xfId="6801" xr:uid="{DBCD0F76-F57E-4015-AB12-253357A06DA1}"/>
    <cellStyle name="Normal 4 3 7 2 4 3 2" xfId="15909" xr:uid="{DE859830-FE24-4CF4-8748-DEFFB12DEB06}"/>
    <cellStyle name="Normal 4 3 7 2 4 4" xfId="6802" xr:uid="{400D84CA-12C0-456C-A058-D73605318EA2}"/>
    <cellStyle name="Normal 4 3 7 2 4 4 2" xfId="15910" xr:uid="{6F9BE890-D624-4A39-BAD0-6A60F7C7ADC4}"/>
    <cellStyle name="Normal 4 3 7 2 4 5" xfId="6803" xr:uid="{19BD2D14-4782-4357-90D2-0CE5BEC089E0}"/>
    <cellStyle name="Normal 4 3 7 2 4 5 2" xfId="15911" xr:uid="{EFBF350E-E9DD-4551-AC87-D317B74A8A94}"/>
    <cellStyle name="Normal 4 3 7 2 4 6" xfId="15905" xr:uid="{C4D5F69A-2725-4786-9C93-8D5F6E996BA7}"/>
    <cellStyle name="Normal 4 3 7 2 5" xfId="6804" xr:uid="{EDA5580C-8100-4BE7-BC8F-81754DE9849E}"/>
    <cellStyle name="Normal 4 3 7 2 5 2" xfId="6805" xr:uid="{837BBED7-10D3-41CE-A1C5-3CBFBDFC2A38}"/>
    <cellStyle name="Normal 4 3 7 2 5 2 2" xfId="15913" xr:uid="{F07CF36F-9F70-4D70-9D24-F62FC0405B82}"/>
    <cellStyle name="Normal 4 3 7 2 5 3" xfId="6806" xr:uid="{3C241EDD-19B6-42E1-B10A-2B5DF9E97C11}"/>
    <cellStyle name="Normal 4 3 7 2 5 3 2" xfId="15914" xr:uid="{F17B6B8C-F705-4475-B1A0-290955DE6371}"/>
    <cellStyle name="Normal 4 3 7 2 5 4" xfId="15912" xr:uid="{34361661-6DCE-4638-9FA4-E4C3DF0173E5}"/>
    <cellStyle name="Normal 4 3 7 2 6" xfId="6807" xr:uid="{780E83A7-A745-4627-BC42-27DCB11B3BD8}"/>
    <cellStyle name="Normal 4 3 7 2 6 2" xfId="15915" xr:uid="{3E5EB297-299F-469A-AD46-ADF5B633C769}"/>
    <cellStyle name="Normal 4 3 7 2 7" xfId="6808" xr:uid="{45EC17B0-B775-4F03-B475-C4F74B8607A9}"/>
    <cellStyle name="Normal 4 3 7 2 7 2" xfId="15916" xr:uid="{6B6C8DF6-7646-443B-A868-FA3047AE68C7}"/>
    <cellStyle name="Normal 4 3 7 2 8" xfId="6809" xr:uid="{5BFE3DDC-BC72-4AC3-BFE5-8C59F1CABE01}"/>
    <cellStyle name="Normal 4 3 7 2 8 2" xfId="15917" xr:uid="{27EA53FD-1541-4F51-8472-AFAC62D649E5}"/>
    <cellStyle name="Normal 4 3 7 2 9" xfId="15876" xr:uid="{FA0B54A9-74DB-4B9D-B39F-2C3BA8E0A4F6}"/>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2 2" xfId="15921" xr:uid="{E786D3A5-EEB1-4DE4-BF8E-B4DE038C69CB}"/>
    <cellStyle name="Normal 4 3 7 3 2 2 3" xfId="6814" xr:uid="{D61A08EA-2563-4760-9C91-2F93B24611E4}"/>
    <cellStyle name="Normal 4 3 7 3 2 2 3 2" xfId="15922" xr:uid="{A541088C-84B0-4AE6-B845-808F86CBE369}"/>
    <cellStyle name="Normal 4 3 7 3 2 2 4" xfId="15920" xr:uid="{BADDD003-F13F-42F6-95F6-E0456B0CC6D1}"/>
    <cellStyle name="Normal 4 3 7 3 2 3" xfId="6815" xr:uid="{B338D173-AAC6-4366-BE25-5C70455D9913}"/>
    <cellStyle name="Normal 4 3 7 3 2 3 2" xfId="15923" xr:uid="{6F6821F9-2685-43C9-8A2C-D4D51359A5D1}"/>
    <cellStyle name="Normal 4 3 7 3 2 4" xfId="6816" xr:uid="{A3F01D6A-FCB1-4225-802C-C9D39FBE6E8A}"/>
    <cellStyle name="Normal 4 3 7 3 2 4 2" xfId="15924" xr:uid="{803BE656-3002-4C9D-9C4D-A370B6EC7CEB}"/>
    <cellStyle name="Normal 4 3 7 3 2 5" xfId="6817" xr:uid="{449A1A76-0981-4D07-8E3D-9F61FAD66724}"/>
    <cellStyle name="Normal 4 3 7 3 2 5 2" xfId="15925" xr:uid="{4203BE92-BC99-4E8E-9190-A0028C0AEE25}"/>
    <cellStyle name="Normal 4 3 7 3 2 6" xfId="15919" xr:uid="{CFD140F9-BBB8-4F8B-A2C1-C5279C252FF0}"/>
    <cellStyle name="Normal 4 3 7 3 3" xfId="6818" xr:uid="{B5704EE0-E086-41F1-816F-CC440D993A8A}"/>
    <cellStyle name="Normal 4 3 7 3 3 2" xfId="6819" xr:uid="{D17358F9-D760-4672-AC0F-FA9C5E775D95}"/>
    <cellStyle name="Normal 4 3 7 3 3 2 2" xfId="6820" xr:uid="{E700FAE0-632A-43E9-98D7-310AD25A40D4}"/>
    <cellStyle name="Normal 4 3 7 3 3 2 2 2" xfId="15928" xr:uid="{AD953038-1FB6-4032-827A-62ACB414DCB5}"/>
    <cellStyle name="Normal 4 3 7 3 3 2 3" xfId="6821" xr:uid="{E2FBE805-A081-46B9-9857-BC2BA3A5526C}"/>
    <cellStyle name="Normal 4 3 7 3 3 2 3 2" xfId="15929" xr:uid="{53EB4A67-EDB7-4E44-A9A7-2EBADD256AD0}"/>
    <cellStyle name="Normal 4 3 7 3 3 2 4" xfId="15927" xr:uid="{96A58889-1C24-4300-A3DF-C51C843344D9}"/>
    <cellStyle name="Normal 4 3 7 3 3 3" xfId="6822" xr:uid="{A2C4663D-9E06-4E9D-9F05-0C4B397F3CD5}"/>
    <cellStyle name="Normal 4 3 7 3 3 3 2" xfId="15930" xr:uid="{6666307D-1CD9-44EE-AF11-E828B56505E7}"/>
    <cellStyle name="Normal 4 3 7 3 3 4" xfId="6823" xr:uid="{EB1D7CD2-AF86-417E-8251-82126E4C4175}"/>
    <cellStyle name="Normal 4 3 7 3 3 4 2" xfId="15931" xr:uid="{4B6EA613-2B94-4A38-9BD1-0D2BE2EE3ED4}"/>
    <cellStyle name="Normal 4 3 7 3 3 5" xfId="6824" xr:uid="{63B79130-B1B9-4233-B4EF-3A7996B4B244}"/>
    <cellStyle name="Normal 4 3 7 3 3 5 2" xfId="15932" xr:uid="{4C839447-BA20-4D46-AB1A-8354CF6BB86A}"/>
    <cellStyle name="Normal 4 3 7 3 3 6" xfId="15926" xr:uid="{E6A5A73D-E75A-4ED4-8C4C-56663FC3A1FA}"/>
    <cellStyle name="Normal 4 3 7 3 4" xfId="6825" xr:uid="{FD64FA34-AAFF-4F78-A9BB-A50B09DF45A0}"/>
    <cellStyle name="Normal 4 3 7 3 4 2" xfId="6826" xr:uid="{9F8422AF-D897-4973-BBD4-658F4E671FAE}"/>
    <cellStyle name="Normal 4 3 7 3 4 2 2" xfId="15934" xr:uid="{21F2D577-FFA6-42EE-BE37-6C52C5BA8BDB}"/>
    <cellStyle name="Normal 4 3 7 3 4 3" xfId="6827" xr:uid="{57206EA8-61A6-4C07-9CDE-A34DD0675933}"/>
    <cellStyle name="Normal 4 3 7 3 4 3 2" xfId="15935" xr:uid="{DB9539CC-6D19-4BDF-B31D-4DE88237CF54}"/>
    <cellStyle name="Normal 4 3 7 3 4 4" xfId="15933" xr:uid="{C846C720-4684-40C8-BA05-488B39B0F10D}"/>
    <cellStyle name="Normal 4 3 7 3 5" xfId="6828" xr:uid="{C0D4220A-3905-498A-B6D6-294995BE2DED}"/>
    <cellStyle name="Normal 4 3 7 3 5 2" xfId="15936" xr:uid="{8593B631-FC92-48D9-BA40-2A07DF11E7E4}"/>
    <cellStyle name="Normal 4 3 7 3 6" xfId="6829" xr:uid="{E1DAA784-DC4D-41A7-9422-35A96848F32D}"/>
    <cellStyle name="Normal 4 3 7 3 6 2" xfId="15937" xr:uid="{61939935-15FB-4C90-936A-B0E228F53988}"/>
    <cellStyle name="Normal 4 3 7 3 7" xfId="6830" xr:uid="{67DBD7C4-DB37-47F8-B782-D1E1834062E5}"/>
    <cellStyle name="Normal 4 3 7 3 7 2" xfId="15938" xr:uid="{57E690FD-ACE1-4FF5-98F5-6AEEF06E99AA}"/>
    <cellStyle name="Normal 4 3 7 3 8" xfId="15918" xr:uid="{2256857C-2EB1-4D8C-8C67-B38CD34BD6E7}"/>
    <cellStyle name="Normal 4 3 7 4" xfId="6831" xr:uid="{C740BECC-2F39-4F3D-A817-F8B9DAD70E9F}"/>
    <cellStyle name="Normal 4 3 7 4 2" xfId="6832" xr:uid="{94F4453F-E85B-449D-A0DC-166B5601F409}"/>
    <cellStyle name="Normal 4 3 7 4 2 2" xfId="6833" xr:uid="{46826C91-7985-4A25-866C-DE68D488AF5C}"/>
    <cellStyle name="Normal 4 3 7 4 2 2 2" xfId="15941" xr:uid="{70E5912E-E084-4213-8C7A-BA8A913717AA}"/>
    <cellStyle name="Normal 4 3 7 4 2 3" xfId="6834" xr:uid="{077C5843-4A71-4DD6-B1C2-AA7EA80C877A}"/>
    <cellStyle name="Normal 4 3 7 4 2 3 2" xfId="15942" xr:uid="{4B9CC49C-E4CE-4A7C-895B-94747C172662}"/>
    <cellStyle name="Normal 4 3 7 4 2 4" xfId="15940" xr:uid="{225AB84D-8AD6-44ED-A016-966A0205678A}"/>
    <cellStyle name="Normal 4 3 7 4 3" xfId="6835" xr:uid="{AE2A8A87-E895-4D9C-87F5-C026C2D5E735}"/>
    <cellStyle name="Normal 4 3 7 4 3 2" xfId="15943" xr:uid="{79440AF3-873B-4196-B244-E2171AFE7C5F}"/>
    <cellStyle name="Normal 4 3 7 4 4" xfId="6836" xr:uid="{B77A44E0-79B5-47DD-BCDF-A5F4ACBA1349}"/>
    <cellStyle name="Normal 4 3 7 4 4 2" xfId="15944" xr:uid="{5F6D5535-E84B-4321-833B-C9ED033A8CC0}"/>
    <cellStyle name="Normal 4 3 7 4 5" xfId="6837" xr:uid="{3A8076A8-250B-439B-AD93-1C8E80A30164}"/>
    <cellStyle name="Normal 4 3 7 4 5 2" xfId="15945" xr:uid="{C75EACE5-878A-484A-AE79-159A51AF1D75}"/>
    <cellStyle name="Normal 4 3 7 4 6" xfId="15939" xr:uid="{64C4D1BE-00FE-4198-892F-34F918634098}"/>
    <cellStyle name="Normal 4 3 7 5" xfId="6838" xr:uid="{82B8C39E-047A-4179-9F7C-192AD3FD24B5}"/>
    <cellStyle name="Normal 4 3 7 5 2" xfId="6839" xr:uid="{AC16604E-5025-4B19-864E-FB52E44E2979}"/>
    <cellStyle name="Normal 4 3 7 5 2 2" xfId="6840" xr:uid="{AA4D8EC6-EFFE-4587-BCC4-334780DAB799}"/>
    <cellStyle name="Normal 4 3 7 5 2 2 2" xfId="15948" xr:uid="{7DE238A2-95DC-4FD8-99DD-CB8135A2FA2E}"/>
    <cellStyle name="Normal 4 3 7 5 2 3" xfId="6841" xr:uid="{2E1F3F58-B055-44DE-B363-355625A474B0}"/>
    <cellStyle name="Normal 4 3 7 5 2 3 2" xfId="15949" xr:uid="{FA2481E8-3F11-4E33-BCD8-2261D21E5B4B}"/>
    <cellStyle name="Normal 4 3 7 5 2 4" xfId="15947" xr:uid="{7775AAAC-1EEC-4A61-9CA1-69AFCC7AEDFA}"/>
    <cellStyle name="Normal 4 3 7 5 3" xfId="6842" xr:uid="{5CE92918-B178-4F46-827C-8276CFF5BE24}"/>
    <cellStyle name="Normal 4 3 7 5 3 2" xfId="15950" xr:uid="{B81B68C4-A48C-4045-8916-FA3F3B9AA967}"/>
    <cellStyle name="Normal 4 3 7 5 4" xfId="6843" xr:uid="{360F4469-826F-467B-BAA7-2840C09CAD41}"/>
    <cellStyle name="Normal 4 3 7 5 4 2" xfId="15951" xr:uid="{52F8F792-476F-4F9E-BF39-1A30D0394834}"/>
    <cellStyle name="Normal 4 3 7 5 5" xfId="6844" xr:uid="{B93A98AC-92BF-4663-8424-DCAAB2909281}"/>
    <cellStyle name="Normal 4 3 7 5 5 2" xfId="15952" xr:uid="{90EEC38C-F03A-478E-8D9A-2E8448EFA793}"/>
    <cellStyle name="Normal 4 3 7 5 6" xfId="15946" xr:uid="{A80A9E24-6F1C-416B-B7C7-B39514604475}"/>
    <cellStyle name="Normal 4 3 7 6" xfId="6845" xr:uid="{51DF38C1-8839-4D0F-AC7F-E62280D78652}"/>
    <cellStyle name="Normal 4 3 7 6 2" xfId="6846" xr:uid="{13CD30F0-B9E0-4FC1-AA28-5D2B5A56EF9A}"/>
    <cellStyle name="Normal 4 3 7 6 2 2" xfId="15954" xr:uid="{C306BB61-F61F-4D71-87DA-5C4FA1FF4921}"/>
    <cellStyle name="Normal 4 3 7 6 3" xfId="6847" xr:uid="{BEE648F3-FB70-4C85-80DF-F0725CC81E96}"/>
    <cellStyle name="Normal 4 3 7 6 3 2" xfId="15955" xr:uid="{4FAADFD1-315E-4E22-B743-79E0BA2B2B99}"/>
    <cellStyle name="Normal 4 3 7 6 4" xfId="15953" xr:uid="{A4A77D88-1DDB-438D-9D5B-9BE7C0171579}"/>
    <cellStyle name="Normal 4 3 7 7" xfId="6848" xr:uid="{FE1C767F-9D02-4D92-88A1-D8B45D7185F7}"/>
    <cellStyle name="Normal 4 3 7 7 2" xfId="15956" xr:uid="{4EE7D6B2-D8CF-448D-A018-48B3FB49A85B}"/>
    <cellStyle name="Normal 4 3 7 8" xfId="6849" xr:uid="{59EA7294-1AE5-4F83-9B5D-ECBC145CD4D2}"/>
    <cellStyle name="Normal 4 3 7 8 2" xfId="15957" xr:uid="{E6CF5B12-17F6-4B86-B287-F7607ADCDDD1}"/>
    <cellStyle name="Normal 4 3 7 9" xfId="6850" xr:uid="{C23CCF6E-3627-432C-8800-65F20266E55B}"/>
    <cellStyle name="Normal 4 3 7 9 2" xfId="15958" xr:uid="{763C670F-27A5-422D-B4B2-8C68723668FF}"/>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2 2" xfId="15963" xr:uid="{BD5DB226-0B6F-4251-B154-E11BF84F345D}"/>
    <cellStyle name="Normal 4 3 8 2 2 2 3" xfId="6856" xr:uid="{1FE6C4EF-B24D-4327-8813-BEC1384C3769}"/>
    <cellStyle name="Normal 4 3 8 2 2 2 3 2" xfId="15964" xr:uid="{F89E4FF7-0DF8-492E-883A-DDFF54E219EB}"/>
    <cellStyle name="Normal 4 3 8 2 2 2 4" xfId="15962" xr:uid="{37E44AE9-DB4C-4FC4-B313-FA51195FAACD}"/>
    <cellStyle name="Normal 4 3 8 2 2 3" xfId="6857" xr:uid="{6722AE51-92CB-4928-9C98-1B11D7700300}"/>
    <cellStyle name="Normal 4 3 8 2 2 3 2" xfId="15965" xr:uid="{BBD5A3BD-C5FF-4AF1-94CA-4109EA168057}"/>
    <cellStyle name="Normal 4 3 8 2 2 4" xfId="6858" xr:uid="{7CFEBA7E-F98E-4554-B882-824B819AE5E8}"/>
    <cellStyle name="Normal 4 3 8 2 2 4 2" xfId="15966" xr:uid="{2E23D4A8-E841-470F-A7A4-E1093741E683}"/>
    <cellStyle name="Normal 4 3 8 2 2 5" xfId="6859" xr:uid="{8EF57861-D774-4635-8010-3C76EBE82C42}"/>
    <cellStyle name="Normal 4 3 8 2 2 5 2" xfId="15967" xr:uid="{551593F8-BB32-45C1-B851-62FCC27998A1}"/>
    <cellStyle name="Normal 4 3 8 2 2 6" xfId="15961" xr:uid="{73133096-D402-4BD6-B303-6A09D1A987F3}"/>
    <cellStyle name="Normal 4 3 8 2 3" xfId="6860" xr:uid="{317215E2-C1DF-453E-9568-D218AB7B2E54}"/>
    <cellStyle name="Normal 4 3 8 2 3 2" xfId="6861" xr:uid="{675C24A7-260B-47CF-9476-47E3F69C5FF5}"/>
    <cellStyle name="Normal 4 3 8 2 3 2 2" xfId="6862" xr:uid="{4001F829-0B23-4738-9B14-0422A1980731}"/>
    <cellStyle name="Normal 4 3 8 2 3 2 2 2" xfId="15970" xr:uid="{E6742085-F32E-4406-B35C-3FD69BFD77DA}"/>
    <cellStyle name="Normal 4 3 8 2 3 2 3" xfId="6863" xr:uid="{2031161A-5E1F-4C66-8BF0-C8BAB562A8D1}"/>
    <cellStyle name="Normal 4 3 8 2 3 2 3 2" xfId="15971" xr:uid="{EFCE5DFC-D633-4005-A0E8-16A974DF7034}"/>
    <cellStyle name="Normal 4 3 8 2 3 2 4" xfId="15969" xr:uid="{445C3BA8-9E85-49CA-AF5F-EF9D8791778B}"/>
    <cellStyle name="Normal 4 3 8 2 3 3" xfId="6864" xr:uid="{30780A88-0C98-4A82-93EF-59118148C493}"/>
    <cellStyle name="Normal 4 3 8 2 3 3 2" xfId="15972" xr:uid="{7B058725-F350-4907-9FEC-D5E2CC656820}"/>
    <cellStyle name="Normal 4 3 8 2 3 4" xfId="6865" xr:uid="{2F4DA82F-5705-4CD8-A240-E69BD41EF6F0}"/>
    <cellStyle name="Normal 4 3 8 2 3 4 2" xfId="15973" xr:uid="{143ECA1E-3AC1-43DF-BA68-3A181E53935B}"/>
    <cellStyle name="Normal 4 3 8 2 3 5" xfId="6866" xr:uid="{16E01080-50FA-4F57-A2E7-C04E1D5497B9}"/>
    <cellStyle name="Normal 4 3 8 2 3 5 2" xfId="15974" xr:uid="{D8AA3790-D5C1-48D5-865D-561D0205BBE8}"/>
    <cellStyle name="Normal 4 3 8 2 3 6" xfId="15968" xr:uid="{8BB48EDA-3BED-4D52-8B56-E27D3EFAFFAC}"/>
    <cellStyle name="Normal 4 3 8 2 4" xfId="6867" xr:uid="{7876FF75-BD9D-4361-9F57-B3150D9A5B95}"/>
    <cellStyle name="Normal 4 3 8 2 4 2" xfId="6868" xr:uid="{491AA4E9-0848-43A6-8D7A-22CDA142407A}"/>
    <cellStyle name="Normal 4 3 8 2 4 2 2" xfId="15976" xr:uid="{3F41710F-73E7-4A32-B38B-7289603A3EDC}"/>
    <cellStyle name="Normal 4 3 8 2 4 3" xfId="6869" xr:uid="{0BD89961-21B9-46A7-BF9F-B6C6CEC4576B}"/>
    <cellStyle name="Normal 4 3 8 2 4 3 2" xfId="15977" xr:uid="{DD601E43-378A-465D-961B-FA8B6EB16C6F}"/>
    <cellStyle name="Normal 4 3 8 2 4 4" xfId="15975" xr:uid="{452AE11B-7AAC-4DE2-A857-749BC3154A29}"/>
    <cellStyle name="Normal 4 3 8 2 5" xfId="6870" xr:uid="{4DE9113A-2A17-4C69-955A-F2DEF59FD121}"/>
    <cellStyle name="Normal 4 3 8 2 5 2" xfId="15978" xr:uid="{0F5F562C-0A0A-4DF1-A573-C7511F9B5DDE}"/>
    <cellStyle name="Normal 4 3 8 2 6" xfId="6871" xr:uid="{E4144EC3-9F84-4973-AD56-A931894FB440}"/>
    <cellStyle name="Normal 4 3 8 2 6 2" xfId="15979" xr:uid="{56E10912-5F59-4A92-8CE4-DFF44B1DE2B9}"/>
    <cellStyle name="Normal 4 3 8 2 7" xfId="6872" xr:uid="{97F8B07B-B18F-4E4B-AE54-41935977A1A3}"/>
    <cellStyle name="Normal 4 3 8 2 7 2" xfId="15980" xr:uid="{729E409A-770F-4404-A019-BE64D5A604B7}"/>
    <cellStyle name="Normal 4 3 8 2 8" xfId="15960" xr:uid="{913BA934-49D3-4C60-8079-6F4909D21495}"/>
    <cellStyle name="Normal 4 3 8 3" xfId="6873" xr:uid="{3CE78BF8-B629-479A-A117-3DEB6F72863B}"/>
    <cellStyle name="Normal 4 3 8 3 2" xfId="6874" xr:uid="{73E6BA7E-AF7E-4C75-AB66-168DBF31FE50}"/>
    <cellStyle name="Normal 4 3 8 3 2 2" xfId="6875" xr:uid="{81E75ABC-A815-4C68-ACC8-ACC3FF8EE504}"/>
    <cellStyle name="Normal 4 3 8 3 2 2 2" xfId="15983" xr:uid="{95CE1A72-4FF8-45A2-AF54-FC1AC8486065}"/>
    <cellStyle name="Normal 4 3 8 3 2 3" xfId="6876" xr:uid="{B3A12676-142E-45CF-BE96-0027FFED4FBA}"/>
    <cellStyle name="Normal 4 3 8 3 2 3 2" xfId="15984" xr:uid="{32EB0D64-2BFF-4D14-8C09-A098F887F34E}"/>
    <cellStyle name="Normal 4 3 8 3 2 4" xfId="15982" xr:uid="{B237E7A5-809A-4D3A-96B9-7BBA22AE857C}"/>
    <cellStyle name="Normal 4 3 8 3 3" xfId="6877" xr:uid="{D38FED6B-F435-4151-94D5-7C6EBB396462}"/>
    <cellStyle name="Normal 4 3 8 3 3 2" xfId="15985" xr:uid="{ABBD0894-77DD-4A09-B6C1-F605773890AF}"/>
    <cellStyle name="Normal 4 3 8 3 4" xfId="6878" xr:uid="{BCD51E14-DF43-4919-A143-D73C7453D6D7}"/>
    <cellStyle name="Normal 4 3 8 3 4 2" xfId="15986" xr:uid="{F5CEDE29-039B-48B4-942B-F520C1E416F4}"/>
    <cellStyle name="Normal 4 3 8 3 5" xfId="6879" xr:uid="{139984D2-CB93-42CB-A165-3ADEA9D0FDCA}"/>
    <cellStyle name="Normal 4 3 8 3 5 2" xfId="15987" xr:uid="{380C2FD3-1513-4E52-802D-693CD2684832}"/>
    <cellStyle name="Normal 4 3 8 3 6" xfId="15981" xr:uid="{45F877A4-6E2A-4071-9B02-4E3B3C0862EA}"/>
    <cellStyle name="Normal 4 3 8 4" xfId="6880" xr:uid="{F4B16350-E249-4666-B82C-6768502D38DC}"/>
    <cellStyle name="Normal 4 3 8 4 2" xfId="6881" xr:uid="{B25CDCE1-8AF2-4F92-AA5E-D2761CD225DF}"/>
    <cellStyle name="Normal 4 3 8 4 2 2" xfId="6882" xr:uid="{A54A0C93-B23F-4D8F-9412-46BD61752AF5}"/>
    <cellStyle name="Normal 4 3 8 4 2 2 2" xfId="15990" xr:uid="{8395DB23-FEEE-47AF-BDB3-FC5494B0C872}"/>
    <cellStyle name="Normal 4 3 8 4 2 3" xfId="6883" xr:uid="{41227701-346D-4828-B564-5B127A2D8A80}"/>
    <cellStyle name="Normal 4 3 8 4 2 3 2" xfId="15991" xr:uid="{A1CFF6E7-A0D5-4268-9463-63581B431902}"/>
    <cellStyle name="Normal 4 3 8 4 2 4" xfId="15989" xr:uid="{06F96421-BF75-42E5-977B-8BFF89E75D2F}"/>
    <cellStyle name="Normal 4 3 8 4 3" xfId="6884" xr:uid="{EE9CED57-2B4B-47A7-B6F1-B35EAE877761}"/>
    <cellStyle name="Normal 4 3 8 4 3 2" xfId="15992" xr:uid="{50F8D425-107E-4BC7-A70B-236E166AEC0C}"/>
    <cellStyle name="Normal 4 3 8 4 4" xfId="6885" xr:uid="{5DC611DC-733F-4CAE-8C9F-7AC8E87CC4DE}"/>
    <cellStyle name="Normal 4 3 8 4 4 2" xfId="15993" xr:uid="{26C2CD87-6628-42A7-97CA-A9362F8A59D2}"/>
    <cellStyle name="Normal 4 3 8 4 5" xfId="6886" xr:uid="{EB7D147A-6B40-4A20-B7F6-452FDF044841}"/>
    <cellStyle name="Normal 4 3 8 4 5 2" xfId="15994" xr:uid="{CCE18CAE-EE04-45E1-BF8C-C3DBD495275B}"/>
    <cellStyle name="Normal 4 3 8 4 6" xfId="15988" xr:uid="{63C31E8A-0D49-4852-99BF-4AC3564372DB}"/>
    <cellStyle name="Normal 4 3 8 5" xfId="6887" xr:uid="{1A0ADA7B-3476-420C-B146-0787A6B93734}"/>
    <cellStyle name="Normal 4 3 8 5 2" xfId="6888" xr:uid="{5DA8A296-79B7-4AD7-8832-DCAB7963F088}"/>
    <cellStyle name="Normal 4 3 8 5 2 2" xfId="15996" xr:uid="{C8C63DEF-F325-4431-840D-070D67AFE0C1}"/>
    <cellStyle name="Normal 4 3 8 5 3" xfId="6889" xr:uid="{3E53482E-FE1F-485C-B5D3-A69D9B3405BF}"/>
    <cellStyle name="Normal 4 3 8 5 3 2" xfId="15997" xr:uid="{F6ACAF90-D942-4EF9-ADA8-903A36AEA2D4}"/>
    <cellStyle name="Normal 4 3 8 5 4" xfId="15995" xr:uid="{3FB24344-B020-4846-9249-96CB8E97FC5F}"/>
    <cellStyle name="Normal 4 3 8 6" xfId="6890" xr:uid="{3D10B0AF-82E3-43DE-8DCC-3D8829345D32}"/>
    <cellStyle name="Normal 4 3 8 6 2" xfId="15998" xr:uid="{7DF4ECF3-7AAD-4172-9CF6-41D943627CE9}"/>
    <cellStyle name="Normal 4 3 8 7" xfId="6891" xr:uid="{968B8E52-10DC-49B4-976A-A5D57937BD32}"/>
    <cellStyle name="Normal 4 3 8 7 2" xfId="15999" xr:uid="{BB7F7C8C-F730-4229-8F6F-88307A15F409}"/>
    <cellStyle name="Normal 4 3 8 8" xfId="6892" xr:uid="{88714D67-EB26-4E40-A118-8B9584F208E4}"/>
    <cellStyle name="Normal 4 3 8 8 2" xfId="16000" xr:uid="{2995BB1E-8ED7-4A9F-B72F-405F05410FB2}"/>
    <cellStyle name="Normal 4 3 8 9" xfId="15959" xr:uid="{AE506AC7-5D5E-4091-BE6D-679F864F366D}"/>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2 2" xfId="16004" xr:uid="{605C288F-8286-426C-8524-4CA14321A0C0}"/>
    <cellStyle name="Normal 4 3 9 2 2 3" xfId="6897" xr:uid="{BF888301-F32D-41CB-B7E8-744A6BDE6C97}"/>
    <cellStyle name="Normal 4 3 9 2 2 3 2" xfId="16005" xr:uid="{02995192-2BD5-4542-B33E-A311B9300919}"/>
    <cellStyle name="Normal 4 3 9 2 2 4" xfId="16003" xr:uid="{B9703E63-B26A-4B30-8A42-F616B7434B16}"/>
    <cellStyle name="Normal 4 3 9 2 3" xfId="6898" xr:uid="{2620ECBE-B9CC-457E-884F-4313C28614F6}"/>
    <cellStyle name="Normal 4 3 9 2 3 2" xfId="16006" xr:uid="{8F665406-0286-4769-B322-FED699553C41}"/>
    <cellStyle name="Normal 4 3 9 2 4" xfId="6899" xr:uid="{5D0F4663-E8E4-4BDD-8881-DE6E1098EFAF}"/>
    <cellStyle name="Normal 4 3 9 2 4 2" xfId="16007" xr:uid="{4641468A-62ED-4AC8-8909-FCFEDDEB1A34}"/>
    <cellStyle name="Normal 4 3 9 2 5" xfId="6900" xr:uid="{7E7D2A98-2D7C-44FF-88CE-8CC6E8B08390}"/>
    <cellStyle name="Normal 4 3 9 2 5 2" xfId="16008" xr:uid="{3A4A07BC-95D6-4027-9915-50956D04B4FE}"/>
    <cellStyle name="Normal 4 3 9 2 6" xfId="16002" xr:uid="{839570CC-7DE5-447B-862C-D000EDC0FC78}"/>
    <cellStyle name="Normal 4 3 9 3" xfId="6901" xr:uid="{62F1A181-A578-4C40-A3BF-C113BB2E7345}"/>
    <cellStyle name="Normal 4 3 9 3 2" xfId="6902" xr:uid="{7FEB4FE1-1803-4F20-BF68-9BD14F39E409}"/>
    <cellStyle name="Normal 4 3 9 3 2 2" xfId="6903" xr:uid="{CD726D2F-C465-448F-9AB6-A8283CE206A8}"/>
    <cellStyle name="Normal 4 3 9 3 2 2 2" xfId="16011" xr:uid="{50FCBD09-1551-46CE-9557-D736AE0E35E8}"/>
    <cellStyle name="Normal 4 3 9 3 2 3" xfId="6904" xr:uid="{A142557F-555C-4D0E-A55F-C5439DF3FCF0}"/>
    <cellStyle name="Normal 4 3 9 3 2 3 2" xfId="16012" xr:uid="{350836F6-D96C-4A14-806D-55287FAFA334}"/>
    <cellStyle name="Normal 4 3 9 3 2 4" xfId="16010" xr:uid="{ADB001EC-36FD-4398-9E9D-AA49CC1AA2ED}"/>
    <cellStyle name="Normal 4 3 9 3 3" xfId="6905" xr:uid="{0F622332-3F2C-463F-8584-48CE9CD41733}"/>
    <cellStyle name="Normal 4 3 9 3 3 2" xfId="16013" xr:uid="{6A566F67-F47A-4595-BDAD-D32BDDD1A6DE}"/>
    <cellStyle name="Normal 4 3 9 3 4" xfId="6906" xr:uid="{133074B0-77E8-4058-803F-EB74292A829C}"/>
    <cellStyle name="Normal 4 3 9 3 4 2" xfId="16014" xr:uid="{F49DBB86-B41F-48C1-B592-90EBB0B66C73}"/>
    <cellStyle name="Normal 4 3 9 3 5" xfId="6907" xr:uid="{21A4B1FC-88B2-4161-9B55-D3C5E7664CA1}"/>
    <cellStyle name="Normal 4 3 9 3 5 2" xfId="16015" xr:uid="{D9BF1019-A032-4880-9EA1-5E11AB2A34C6}"/>
    <cellStyle name="Normal 4 3 9 3 6" xfId="16009" xr:uid="{DDFB694B-C29C-4BD7-9981-974E0915CBD0}"/>
    <cellStyle name="Normal 4 3 9 4" xfId="6908" xr:uid="{9D5F7F07-D2EB-46D5-8AFC-C59731DB0871}"/>
    <cellStyle name="Normal 4 3 9 4 2" xfId="6909" xr:uid="{6EFF18C1-B626-40F5-A388-5883DD1723C0}"/>
    <cellStyle name="Normal 4 3 9 4 2 2" xfId="16017" xr:uid="{372EB863-CC2D-4298-91F3-8581456A6585}"/>
    <cellStyle name="Normal 4 3 9 4 3" xfId="6910" xr:uid="{A40A4BC7-6ECD-4DA5-B84F-3C5D4F28AFC2}"/>
    <cellStyle name="Normal 4 3 9 4 3 2" xfId="16018" xr:uid="{A03C9E88-C5FE-41FA-B07C-C3A5423CFEB3}"/>
    <cellStyle name="Normal 4 3 9 4 4" xfId="16016" xr:uid="{569EF1DE-BEFD-4BF3-B7F1-C12D2496C64E}"/>
    <cellStyle name="Normal 4 3 9 5" xfId="6911" xr:uid="{B66E879F-A7FF-48EF-A30A-5A9EE8523D55}"/>
    <cellStyle name="Normal 4 3 9 5 2" xfId="16019" xr:uid="{BF3D42A1-89D9-4D57-A10B-BC21A39D8FC1}"/>
    <cellStyle name="Normal 4 3 9 6" xfId="6912" xr:uid="{95535249-1E80-4992-B0F1-8480166808FC}"/>
    <cellStyle name="Normal 4 3 9 6 2" xfId="16020" xr:uid="{B75AA4A7-7684-4AF6-B058-CC17E2B8B89B}"/>
    <cellStyle name="Normal 4 3 9 7" xfId="6913" xr:uid="{D8864296-F3AC-48AD-A6AE-3C99864A9097}"/>
    <cellStyle name="Normal 4 3 9 7 2" xfId="16021" xr:uid="{85C648F1-67D5-4026-9B19-83EC7CB25121}"/>
    <cellStyle name="Normal 4 3 9 8" xfId="16001" xr:uid="{E4487208-8262-4808-8CEB-BBA7C0AC2CD9}"/>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2 2" xfId="16024" xr:uid="{4DE68077-3EA6-43AA-96A4-7AD9B2FAAC83}"/>
    <cellStyle name="Normal 4 4 10 2 3" xfId="6917" xr:uid="{A9E8322D-FE99-44D3-A29F-E39EBEEAF363}"/>
    <cellStyle name="Normal 4 4 10 2 3 2" xfId="16025" xr:uid="{3F204B07-0AB7-434B-A114-9C2A0A9E1AB6}"/>
    <cellStyle name="Normal 4 4 10 2 4" xfId="16023" xr:uid="{FA9D9268-6270-48B3-A697-38587226E8B1}"/>
    <cellStyle name="Normal 4 4 10 3" xfId="6918" xr:uid="{2D7C2BEC-8E5A-4FE0-98F2-BBA6750FD0DA}"/>
    <cellStyle name="Normal 4 4 10 3 2" xfId="16026" xr:uid="{4FDBF1D0-B8D5-4A61-A140-992433878199}"/>
    <cellStyle name="Normal 4 4 10 4" xfId="6919" xr:uid="{22E80BBD-5980-426A-BF14-ECE35DD917B8}"/>
    <cellStyle name="Normal 4 4 10 4 2" xfId="16027" xr:uid="{28A3BAF0-1714-4200-8C96-AB0227BA1F66}"/>
    <cellStyle name="Normal 4 4 10 5" xfId="6920" xr:uid="{890BFE44-0510-425E-9B7A-7BFEED38EC69}"/>
    <cellStyle name="Normal 4 4 10 5 2" xfId="16028" xr:uid="{3F894CF0-A759-4BC3-8D15-9B454CF6E0D1}"/>
    <cellStyle name="Normal 4 4 10 6" xfId="16022" xr:uid="{422D55E5-59CF-4761-90F0-0A1B89D35243}"/>
    <cellStyle name="Normal 4 4 11" xfId="6921" xr:uid="{4D154120-2968-4F93-A059-29E2870F9C58}"/>
    <cellStyle name="Normal 4 4 11 2" xfId="6922" xr:uid="{705F0394-5F16-467F-A6A0-AF9CC1EBE423}"/>
    <cellStyle name="Normal 4 4 11 2 2" xfId="16030" xr:uid="{3420E071-2227-49AB-B997-FEDF7268A667}"/>
    <cellStyle name="Normal 4 4 11 3" xfId="6923" xr:uid="{445C7310-0D7D-47E2-B9EA-E7671970A68D}"/>
    <cellStyle name="Normal 4 4 11 3 2" xfId="16031" xr:uid="{C30E1A8A-C4AB-4F5A-80C7-A8D32A61417A}"/>
    <cellStyle name="Normal 4 4 11 4" xfId="16029" xr:uid="{8F5105DD-A83B-48D6-9AD5-01CFE9936F42}"/>
    <cellStyle name="Normal 4 4 12" xfId="6924" xr:uid="{DD783576-CB6B-4E7E-9D5B-D9FE128499DC}"/>
    <cellStyle name="Normal 4 4 12 2" xfId="16032" xr:uid="{3CE2D496-0EFD-45CF-B4A3-93CB470DA89C}"/>
    <cellStyle name="Normal 4 4 13" xfId="6925" xr:uid="{C3E61D0E-1D34-47E3-A7B5-0F16C4419897}"/>
    <cellStyle name="Normal 4 4 13 2" xfId="16033" xr:uid="{58EEEA32-901A-4F21-9E83-FC3199C34006}"/>
    <cellStyle name="Normal 4 4 14" xfId="6926" xr:uid="{22614395-1F3C-4B06-917B-7F9D2FBA71E0}"/>
    <cellStyle name="Normal 4 4 14 2" xfId="16034" xr:uid="{0D6C5BBE-94E1-4CE7-A913-21B8E612C6EB}"/>
    <cellStyle name="Normal 4 4 15" xfId="1107" xr:uid="{51F42F0B-5581-4B01-A28D-85E079B17277}"/>
    <cellStyle name="Normal 4 4 16" xfId="10518" xr:uid="{592C3C07-4FD4-40D0-AB2F-0A4BF11435F7}"/>
    <cellStyle name="Normal 4 4 2" xfId="6927" xr:uid="{49EA726F-FD44-4D4B-931A-9D587DD40C47}"/>
    <cellStyle name="Normal 4 4 2 10" xfId="6928" xr:uid="{6183FB76-57F5-41AC-8D05-11003BAC4DD6}"/>
    <cellStyle name="Normal 4 4 2 10 2" xfId="6929" xr:uid="{A3E8B579-4D9B-4DA2-A234-FAFC435F36E2}"/>
    <cellStyle name="Normal 4 4 2 10 2 2" xfId="16037" xr:uid="{18D79ECA-777B-4498-9297-EAE6DD9EC4E7}"/>
    <cellStyle name="Normal 4 4 2 10 3" xfId="6930" xr:uid="{E9BE3E2D-8033-408D-99A4-A195AAEED979}"/>
    <cellStyle name="Normal 4 4 2 10 3 2" xfId="16038" xr:uid="{14A3DBA9-C718-45C7-BB13-B83E19F8DECC}"/>
    <cellStyle name="Normal 4 4 2 10 4" xfId="16036" xr:uid="{9848CFEF-0C41-4C19-93D9-881402832EA9}"/>
    <cellStyle name="Normal 4 4 2 11" xfId="6931" xr:uid="{52BD382A-5546-4D1D-A2CA-90D44061E3B5}"/>
    <cellStyle name="Normal 4 4 2 11 2" xfId="16039" xr:uid="{ED566800-2D86-4AA3-AE59-36769AFC306B}"/>
    <cellStyle name="Normal 4 4 2 12" xfId="6932" xr:uid="{9A646A55-ECA7-4F78-8EF4-3555C7A35188}"/>
    <cellStyle name="Normal 4 4 2 12 2" xfId="16040" xr:uid="{6B523432-B8E4-4506-BC3C-9C8988AEA21F}"/>
    <cellStyle name="Normal 4 4 2 13" xfId="6933" xr:uid="{24A533E0-1E9D-48F8-A3E1-585575B97493}"/>
    <cellStyle name="Normal 4 4 2 13 2" xfId="16041" xr:uid="{966047BA-E5FB-4BB0-A605-63FFB6A9245A}"/>
    <cellStyle name="Normal 4 4 2 14" xfId="16035" xr:uid="{332CA50D-2EBF-457C-B5D2-96DB243F8E9E}"/>
    <cellStyle name="Normal 4 4 2 2" xfId="6934" xr:uid="{673754DD-10A5-4B7B-9343-079BBC71C553}"/>
    <cellStyle name="Normal 4 4 2 2 10" xfId="16042" xr:uid="{DB4B7066-8FC6-4BD7-AB84-5F3BCD89F000}"/>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2 2" xfId="16047" xr:uid="{6941A452-A1FB-4DAD-94B7-EC1475C6F4CE}"/>
    <cellStyle name="Normal 4 4 2 2 2 2 2 2 3" xfId="6940" xr:uid="{97FE22BF-983B-4E83-AD01-74E42771D684}"/>
    <cellStyle name="Normal 4 4 2 2 2 2 2 2 3 2" xfId="16048" xr:uid="{44D631D1-9D7C-43A1-9441-C6FA77A7163B}"/>
    <cellStyle name="Normal 4 4 2 2 2 2 2 2 4" xfId="16046" xr:uid="{1FF32876-8B9D-49A8-8ECC-1E5588134135}"/>
    <cellStyle name="Normal 4 4 2 2 2 2 2 3" xfId="6941" xr:uid="{43386071-0831-4CDC-9E31-B218F69A9AE0}"/>
    <cellStyle name="Normal 4 4 2 2 2 2 2 3 2" xfId="16049" xr:uid="{EC8DA19D-F677-41C4-8C7D-FD3F21977CEA}"/>
    <cellStyle name="Normal 4 4 2 2 2 2 2 4" xfId="6942" xr:uid="{DD91729D-DD52-4E82-8DB4-5F807A092897}"/>
    <cellStyle name="Normal 4 4 2 2 2 2 2 4 2" xfId="16050" xr:uid="{9D0864C5-E1C3-455A-BF7A-49DFA90BD513}"/>
    <cellStyle name="Normal 4 4 2 2 2 2 2 5" xfId="6943" xr:uid="{1FC42DF7-2C2C-462E-83C8-D2D873F563FC}"/>
    <cellStyle name="Normal 4 4 2 2 2 2 2 5 2" xfId="16051" xr:uid="{136F7F46-7ECF-4CF1-9957-2BE3F6C86377}"/>
    <cellStyle name="Normal 4 4 2 2 2 2 2 6" xfId="16045" xr:uid="{AB7E5916-6043-4E03-8BD1-C193D134093A}"/>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2 2" xfId="16054" xr:uid="{FB18BAB2-06B4-4781-A4C3-3A4BB8DEF3B9}"/>
    <cellStyle name="Normal 4 4 2 2 2 2 3 2 3" xfId="6947" xr:uid="{FB810DB1-9764-4973-A58E-260FD8825D85}"/>
    <cellStyle name="Normal 4 4 2 2 2 2 3 2 3 2" xfId="16055" xr:uid="{890729ED-2F4A-4404-89F7-E635423EE628}"/>
    <cellStyle name="Normal 4 4 2 2 2 2 3 2 4" xfId="16053" xr:uid="{5C451366-3B3C-42E9-8C87-43E54788989B}"/>
    <cellStyle name="Normal 4 4 2 2 2 2 3 3" xfId="6948" xr:uid="{9E368DC7-6605-404E-9BED-794B3F50C254}"/>
    <cellStyle name="Normal 4 4 2 2 2 2 3 3 2" xfId="16056" xr:uid="{4D1B30DE-A73C-4387-8224-8ED92D7101A9}"/>
    <cellStyle name="Normal 4 4 2 2 2 2 3 4" xfId="6949" xr:uid="{D234E941-2F0E-4D93-BAE7-8440FBA5988D}"/>
    <cellStyle name="Normal 4 4 2 2 2 2 3 4 2" xfId="16057" xr:uid="{243F954C-591D-470B-ABEA-443040CB66AC}"/>
    <cellStyle name="Normal 4 4 2 2 2 2 3 5" xfId="6950" xr:uid="{906ECAB7-712E-4D4D-86E0-EAC13B22492E}"/>
    <cellStyle name="Normal 4 4 2 2 2 2 3 5 2" xfId="16058" xr:uid="{5D68414D-D9B2-4274-B64B-F9A284405BB8}"/>
    <cellStyle name="Normal 4 4 2 2 2 2 3 6" xfId="16052" xr:uid="{7DAB7BF5-552F-4C10-B54C-0562137717CF}"/>
    <cellStyle name="Normal 4 4 2 2 2 2 4" xfId="6951" xr:uid="{60A69AE7-2381-40FC-BEBD-10E38F69D314}"/>
    <cellStyle name="Normal 4 4 2 2 2 2 4 2" xfId="6952" xr:uid="{0722E2D2-2F5C-4EA7-AC9B-77B9C6560ADE}"/>
    <cellStyle name="Normal 4 4 2 2 2 2 4 2 2" xfId="16060" xr:uid="{D3472C3F-BFB0-45E3-A6B4-D52494F06D3B}"/>
    <cellStyle name="Normal 4 4 2 2 2 2 4 3" xfId="6953" xr:uid="{C6F15C16-DB34-45C4-B603-C7744D2834A2}"/>
    <cellStyle name="Normal 4 4 2 2 2 2 4 3 2" xfId="16061" xr:uid="{E5EA6163-FA6B-4627-90D5-B87E5F1D853D}"/>
    <cellStyle name="Normal 4 4 2 2 2 2 4 4" xfId="16059" xr:uid="{1A8C56B5-33CE-4448-AF8B-F9FB4B6B72CA}"/>
    <cellStyle name="Normal 4 4 2 2 2 2 5" xfId="6954" xr:uid="{EB95BB76-C41A-417B-8690-5CF7FC35C6E1}"/>
    <cellStyle name="Normal 4 4 2 2 2 2 5 2" xfId="16062" xr:uid="{390D7690-8CBC-4727-B1EB-D1D738587A61}"/>
    <cellStyle name="Normal 4 4 2 2 2 2 6" xfId="6955" xr:uid="{1A715406-A843-48B4-8287-4967BDFFD529}"/>
    <cellStyle name="Normal 4 4 2 2 2 2 6 2" xfId="16063" xr:uid="{3D86D66E-D194-418C-BF22-7948A5223A69}"/>
    <cellStyle name="Normal 4 4 2 2 2 2 7" xfId="6956" xr:uid="{F978FE85-EB77-4165-8AC3-BAA3F49CA449}"/>
    <cellStyle name="Normal 4 4 2 2 2 2 7 2" xfId="16064" xr:uid="{3BFF30F1-96BE-40FA-BD7C-951B800FAF90}"/>
    <cellStyle name="Normal 4 4 2 2 2 2 8" xfId="16044" xr:uid="{0776D574-4D28-4C9C-956D-66A94707FFA2}"/>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2 2" xfId="16067" xr:uid="{E3CF7516-3A0A-41AA-A9F7-00EFD8A1A385}"/>
    <cellStyle name="Normal 4 4 2 2 2 3 2 3" xfId="6960" xr:uid="{C7C620EC-8DCD-4FF3-94E4-64C45FF2C74D}"/>
    <cellStyle name="Normal 4 4 2 2 2 3 2 3 2" xfId="16068" xr:uid="{326491CA-0A17-4503-AFA4-480F2456A16C}"/>
    <cellStyle name="Normal 4 4 2 2 2 3 2 4" xfId="16066" xr:uid="{308DF88D-2D2A-42CA-94FF-8A3FD31AA698}"/>
    <cellStyle name="Normal 4 4 2 2 2 3 3" xfId="6961" xr:uid="{48233EB7-FB3F-41B6-9923-49F2FAFD9B35}"/>
    <cellStyle name="Normal 4 4 2 2 2 3 3 2" xfId="16069" xr:uid="{7FA1AB5F-E950-424E-A190-89949546A37F}"/>
    <cellStyle name="Normal 4 4 2 2 2 3 4" xfId="6962" xr:uid="{1A612593-75D1-4AE5-99EE-84D659A74FB9}"/>
    <cellStyle name="Normal 4 4 2 2 2 3 4 2" xfId="16070" xr:uid="{58936830-2485-4E27-8C14-02AE4BD74DBA}"/>
    <cellStyle name="Normal 4 4 2 2 2 3 5" xfId="6963" xr:uid="{23A924F4-C1C4-4F47-AF0E-4E1D67A2D5F3}"/>
    <cellStyle name="Normal 4 4 2 2 2 3 5 2" xfId="16071" xr:uid="{609774C5-8910-4B25-ADE5-1E7212F061EE}"/>
    <cellStyle name="Normal 4 4 2 2 2 3 6" xfId="16065" xr:uid="{9599EA57-D4C8-49D5-B7CB-D38703CC0814}"/>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2 2" xfId="16074" xr:uid="{A31486D7-101E-4F47-AF22-C65D807B3E22}"/>
    <cellStyle name="Normal 4 4 2 2 2 4 2 3" xfId="6967" xr:uid="{B45CEC90-1AAD-4931-90F8-5D19F7D29E35}"/>
    <cellStyle name="Normal 4 4 2 2 2 4 2 3 2" xfId="16075" xr:uid="{099A0E88-968E-43A8-90F8-A057B4C2A08D}"/>
    <cellStyle name="Normal 4 4 2 2 2 4 2 4" xfId="16073" xr:uid="{60A11E85-2E12-4545-BD8A-F41535F61CD0}"/>
    <cellStyle name="Normal 4 4 2 2 2 4 3" xfId="6968" xr:uid="{459D3E0B-F794-4936-A3DE-BFF6AA2EB139}"/>
    <cellStyle name="Normal 4 4 2 2 2 4 3 2" xfId="16076" xr:uid="{A3864809-B852-462D-B236-1069415659A2}"/>
    <cellStyle name="Normal 4 4 2 2 2 4 4" xfId="6969" xr:uid="{C4C4A78A-A9B4-4018-9016-901359AEC52E}"/>
    <cellStyle name="Normal 4 4 2 2 2 4 4 2" xfId="16077" xr:uid="{BE0EE894-755E-4768-9C20-BBB74AAD67C6}"/>
    <cellStyle name="Normal 4 4 2 2 2 4 5" xfId="6970" xr:uid="{27A5B043-6B50-455E-B230-04C6E2CD0625}"/>
    <cellStyle name="Normal 4 4 2 2 2 4 5 2" xfId="16078" xr:uid="{9DC1B700-1CC7-4D88-931B-4A0C0DEE94F2}"/>
    <cellStyle name="Normal 4 4 2 2 2 4 6" xfId="16072" xr:uid="{CC89BE09-88D5-4B15-88C2-4CBE274207AE}"/>
    <cellStyle name="Normal 4 4 2 2 2 5" xfId="6971" xr:uid="{B797EEA1-FA75-4B5F-918C-70855E58FE11}"/>
    <cellStyle name="Normal 4 4 2 2 2 5 2" xfId="6972" xr:uid="{DD082292-A3D5-41CD-8AC7-B5BF4424D459}"/>
    <cellStyle name="Normal 4 4 2 2 2 5 2 2" xfId="16080" xr:uid="{EC25F4A4-D233-4C49-85AB-EAAE68E1FD23}"/>
    <cellStyle name="Normal 4 4 2 2 2 5 3" xfId="6973" xr:uid="{44D190AF-22F6-4E5F-A1DF-963CA11BA8C7}"/>
    <cellStyle name="Normal 4 4 2 2 2 5 3 2" xfId="16081" xr:uid="{4CA68110-47D4-43A1-90EC-E6F6BCE9F46A}"/>
    <cellStyle name="Normal 4 4 2 2 2 5 4" xfId="16079" xr:uid="{D8621EFE-2E9C-45B3-8503-3BCD2AD25E87}"/>
    <cellStyle name="Normal 4 4 2 2 2 6" xfId="6974" xr:uid="{24DE91FD-894E-4CA2-AF61-633E1CD4216F}"/>
    <cellStyle name="Normal 4 4 2 2 2 6 2" xfId="16082" xr:uid="{DB18C2E2-14EE-46F3-BB40-E0CE250B3B79}"/>
    <cellStyle name="Normal 4 4 2 2 2 7" xfId="6975" xr:uid="{5942433C-CDC2-4296-A300-E2F521D4D412}"/>
    <cellStyle name="Normal 4 4 2 2 2 7 2" xfId="16083" xr:uid="{2A086A88-8165-4046-96DD-F25D5D9F613F}"/>
    <cellStyle name="Normal 4 4 2 2 2 8" xfId="6976" xr:uid="{4CA09D7C-0198-4CCC-B86D-1B01192A237C}"/>
    <cellStyle name="Normal 4 4 2 2 2 8 2" xfId="16084" xr:uid="{EF48F6FB-4752-4487-AC07-9C83FE794A63}"/>
    <cellStyle name="Normal 4 4 2 2 2 9" xfId="16043" xr:uid="{045646DC-7C3D-4FA8-9D40-B7BF1517E425}"/>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2 2" xfId="16088" xr:uid="{1849978B-2DE0-402B-A50A-98C1826410AF}"/>
    <cellStyle name="Normal 4 4 2 2 3 2 2 3" xfId="6981" xr:uid="{AE093670-A05A-4584-942A-ACFDD75D5B87}"/>
    <cellStyle name="Normal 4 4 2 2 3 2 2 3 2" xfId="16089" xr:uid="{AC82CDFC-96C0-4B31-9B70-BED877E4DFBE}"/>
    <cellStyle name="Normal 4 4 2 2 3 2 2 4" xfId="16087" xr:uid="{BB2594EF-7A67-4B01-ABE7-0B8F321AB1C5}"/>
    <cellStyle name="Normal 4 4 2 2 3 2 3" xfId="6982" xr:uid="{6A62DABF-011A-403C-A722-F90F76528119}"/>
    <cellStyle name="Normal 4 4 2 2 3 2 3 2" xfId="16090" xr:uid="{8E4C6444-F135-4D64-A88D-6B7C6B1B8B02}"/>
    <cellStyle name="Normal 4 4 2 2 3 2 4" xfId="6983" xr:uid="{30276222-378B-4B29-9C95-96999E79A959}"/>
    <cellStyle name="Normal 4 4 2 2 3 2 4 2" xfId="16091" xr:uid="{F7E3FFAC-4F23-457C-AC8E-91DCFD95B93F}"/>
    <cellStyle name="Normal 4 4 2 2 3 2 5" xfId="6984" xr:uid="{3304761B-3BB0-4F95-819D-D4B013286D18}"/>
    <cellStyle name="Normal 4 4 2 2 3 2 5 2" xfId="16092" xr:uid="{40779A64-E2A9-4317-B112-6D904A037B4E}"/>
    <cellStyle name="Normal 4 4 2 2 3 2 6" xfId="16086" xr:uid="{5D2B99DD-6BD3-4792-B7D5-28B723128AA1}"/>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2 2" xfId="16095" xr:uid="{1B3B6F5F-9B9D-413D-AE9F-409E3B3CC7E7}"/>
    <cellStyle name="Normal 4 4 2 2 3 3 2 3" xfId="6988" xr:uid="{67F197A3-8495-4EC7-820B-3E1AE3296DDE}"/>
    <cellStyle name="Normal 4 4 2 2 3 3 2 3 2" xfId="16096" xr:uid="{7B963C12-FFED-4021-9330-06123E090C8F}"/>
    <cellStyle name="Normal 4 4 2 2 3 3 2 4" xfId="16094" xr:uid="{BF13B65D-1823-4769-B701-852BF76BD138}"/>
    <cellStyle name="Normal 4 4 2 2 3 3 3" xfId="6989" xr:uid="{3970A8A6-1C45-495F-9606-7287F9D6F65B}"/>
    <cellStyle name="Normal 4 4 2 2 3 3 3 2" xfId="16097" xr:uid="{D3FF0427-6EF5-4C22-9AF2-810342A72640}"/>
    <cellStyle name="Normal 4 4 2 2 3 3 4" xfId="6990" xr:uid="{244279C5-EE76-4B7F-98F9-0BB1EBF57F4A}"/>
    <cellStyle name="Normal 4 4 2 2 3 3 4 2" xfId="16098" xr:uid="{ECE674DD-26CA-4E35-9931-06A88C9D5D11}"/>
    <cellStyle name="Normal 4 4 2 2 3 3 5" xfId="6991" xr:uid="{989B8FE9-E6E1-4655-B4E4-175BF7086395}"/>
    <cellStyle name="Normal 4 4 2 2 3 3 5 2" xfId="16099" xr:uid="{2D0C9720-AA03-40ED-988D-54D7AAF22F01}"/>
    <cellStyle name="Normal 4 4 2 2 3 3 6" xfId="16093" xr:uid="{5AD8FF30-7891-4F25-BAA4-67D1C9BAF5D5}"/>
    <cellStyle name="Normal 4 4 2 2 3 4" xfId="6992" xr:uid="{266F690F-078A-4B38-85DF-1968B6E5C722}"/>
    <cellStyle name="Normal 4 4 2 2 3 4 2" xfId="6993" xr:uid="{11E0FCDB-8ADE-4921-98DD-4227629507C0}"/>
    <cellStyle name="Normal 4 4 2 2 3 4 2 2" xfId="16101" xr:uid="{1D6496E9-A6F4-46B3-8C8B-28477DC0B759}"/>
    <cellStyle name="Normal 4 4 2 2 3 4 3" xfId="6994" xr:uid="{C60B7F5D-DD6D-4163-A4B8-E1A2FC52895B}"/>
    <cellStyle name="Normal 4 4 2 2 3 4 3 2" xfId="16102" xr:uid="{14BD1285-C424-4A43-8A7D-9ED769D48E97}"/>
    <cellStyle name="Normal 4 4 2 2 3 4 4" xfId="16100" xr:uid="{72DA192F-E98C-4DEB-A61E-B96257B09DBB}"/>
    <cellStyle name="Normal 4 4 2 2 3 5" xfId="6995" xr:uid="{27EE28A6-9880-4BE9-9066-22B9C4CCBB5A}"/>
    <cellStyle name="Normal 4 4 2 2 3 5 2" xfId="16103" xr:uid="{0FF9E515-B722-45BB-A0C3-B4A56E3A546D}"/>
    <cellStyle name="Normal 4 4 2 2 3 6" xfId="6996" xr:uid="{FBA1F690-D67D-4156-B8C8-452CD391FD55}"/>
    <cellStyle name="Normal 4 4 2 2 3 6 2" xfId="16104" xr:uid="{640349F3-E353-455B-B3B2-E9A63C728DF1}"/>
    <cellStyle name="Normal 4 4 2 2 3 7" xfId="6997" xr:uid="{0133B685-2EB6-48A3-B5BE-F58088D81CD1}"/>
    <cellStyle name="Normal 4 4 2 2 3 7 2" xfId="16105" xr:uid="{F8F5EAC5-34A2-4C79-AE3F-C5DCEE254C5A}"/>
    <cellStyle name="Normal 4 4 2 2 3 8" xfId="16085" xr:uid="{EA461787-6793-4F75-95F9-827233B6BD3B}"/>
    <cellStyle name="Normal 4 4 2 2 4" xfId="6998" xr:uid="{66F7E04C-38D6-4D5D-9B04-74D7CC2AD063}"/>
    <cellStyle name="Normal 4 4 2 2 4 2" xfId="6999" xr:uid="{76877074-FDD3-4E7E-8C03-8964555CEFDB}"/>
    <cellStyle name="Normal 4 4 2 2 4 2 2" xfId="7000" xr:uid="{13E17028-5D10-483E-B65E-BF158B83AC93}"/>
    <cellStyle name="Normal 4 4 2 2 4 2 2 2" xfId="16108" xr:uid="{B02C5062-59BE-475F-8D8E-AA9C515AA323}"/>
    <cellStyle name="Normal 4 4 2 2 4 2 3" xfId="7001" xr:uid="{04401276-897B-4A4F-90CF-373365BA1933}"/>
    <cellStyle name="Normal 4 4 2 2 4 2 3 2" xfId="16109" xr:uid="{76CA1023-A527-46B3-8561-D8F652FAD483}"/>
    <cellStyle name="Normal 4 4 2 2 4 2 4" xfId="16107" xr:uid="{B188610D-CB2A-4D9C-A0C5-015869F5C3EE}"/>
    <cellStyle name="Normal 4 4 2 2 4 3" xfId="7002" xr:uid="{4E0763CE-DBD7-49A1-A382-5A3821B6845D}"/>
    <cellStyle name="Normal 4 4 2 2 4 3 2" xfId="16110" xr:uid="{92F767F1-62CE-424E-B0C7-840789C0DBB2}"/>
    <cellStyle name="Normal 4 4 2 2 4 4" xfId="7003" xr:uid="{6CCC7E1D-4DEC-46A9-AB78-48E23EE18C1D}"/>
    <cellStyle name="Normal 4 4 2 2 4 4 2" xfId="16111" xr:uid="{436D25D4-B043-4794-9182-C58D97B6AE36}"/>
    <cellStyle name="Normal 4 4 2 2 4 5" xfId="7004" xr:uid="{1DAAF988-581D-4E3B-8EDD-DFD50C111D8C}"/>
    <cellStyle name="Normal 4 4 2 2 4 5 2" xfId="16112" xr:uid="{688F2290-4A62-48F5-9B56-1AE5A6537B30}"/>
    <cellStyle name="Normal 4 4 2 2 4 6" xfId="16106" xr:uid="{E7FEB91B-BFAA-48F3-B1E9-6A08FDAE342E}"/>
    <cellStyle name="Normal 4 4 2 2 5" xfId="7005" xr:uid="{8794B08E-6404-4EF7-9546-AA6D94E33A5F}"/>
    <cellStyle name="Normal 4 4 2 2 5 2" xfId="7006" xr:uid="{6DA66013-09B8-483E-BAB6-7A3645421B93}"/>
    <cellStyle name="Normal 4 4 2 2 5 2 2" xfId="7007" xr:uid="{FC49BE4E-89CD-4D4B-87B8-D848ED89CD60}"/>
    <cellStyle name="Normal 4 4 2 2 5 2 2 2" xfId="16115" xr:uid="{44E5C389-AC4C-46A3-9D89-B2CF8668C6B5}"/>
    <cellStyle name="Normal 4 4 2 2 5 2 3" xfId="7008" xr:uid="{4B78E959-3F30-45D2-A588-6DDD27B32063}"/>
    <cellStyle name="Normal 4 4 2 2 5 2 3 2" xfId="16116" xr:uid="{28B3A892-7E64-4D90-8A94-2F2E3229D003}"/>
    <cellStyle name="Normal 4 4 2 2 5 2 4" xfId="16114" xr:uid="{DC1BB2B0-CC2A-42A2-A9C0-D30D26331410}"/>
    <cellStyle name="Normal 4 4 2 2 5 3" xfId="7009" xr:uid="{5C2D7FA7-EB21-4255-863C-9ABC9A3B65C2}"/>
    <cellStyle name="Normal 4 4 2 2 5 3 2" xfId="16117" xr:uid="{29198777-6711-4005-8FDB-CA06A48BF39F}"/>
    <cellStyle name="Normal 4 4 2 2 5 4" xfId="7010" xr:uid="{C85A5B0E-6A8A-4BD8-9270-D22DE90701DD}"/>
    <cellStyle name="Normal 4 4 2 2 5 4 2" xfId="16118" xr:uid="{1E12E0C6-F182-4C8B-B894-1A332C42BD25}"/>
    <cellStyle name="Normal 4 4 2 2 5 5" xfId="7011" xr:uid="{B47A55C8-AA83-4437-8821-DF74D9A94C56}"/>
    <cellStyle name="Normal 4 4 2 2 5 5 2" xfId="16119" xr:uid="{1A036B2D-7B72-4E7C-9B8F-D988FCFB6CC2}"/>
    <cellStyle name="Normal 4 4 2 2 5 6" xfId="16113" xr:uid="{F4018607-5049-4F72-A158-8B5FDE8B2E28}"/>
    <cellStyle name="Normal 4 4 2 2 6" xfId="7012" xr:uid="{D26A7947-040B-4218-96E3-392972B83716}"/>
    <cellStyle name="Normal 4 4 2 2 6 2" xfId="7013" xr:uid="{6E1EA248-3900-404E-8EB9-4714705245D8}"/>
    <cellStyle name="Normal 4 4 2 2 6 2 2" xfId="16121" xr:uid="{85155DD6-2F4A-4FB2-AA6D-EA916377909C}"/>
    <cellStyle name="Normal 4 4 2 2 6 3" xfId="7014" xr:uid="{716F21DF-EFEB-424F-BA0A-7337421847D4}"/>
    <cellStyle name="Normal 4 4 2 2 6 3 2" xfId="16122" xr:uid="{341182EE-E9D3-4599-B855-5E5FD5C8D5D8}"/>
    <cellStyle name="Normal 4 4 2 2 6 4" xfId="16120" xr:uid="{CA96CE79-FE2B-4E66-9798-9FA17E7662C6}"/>
    <cellStyle name="Normal 4 4 2 2 7" xfId="7015" xr:uid="{1A838EAB-2573-4579-B7BA-2AAAC781B38B}"/>
    <cellStyle name="Normal 4 4 2 2 7 2" xfId="16123" xr:uid="{F0B5B5E0-7F4D-48E7-B22F-60E81B058709}"/>
    <cellStyle name="Normal 4 4 2 2 8" xfId="7016" xr:uid="{83BE71D9-4CAD-4CD3-8D64-03BC3D06D179}"/>
    <cellStyle name="Normal 4 4 2 2 8 2" xfId="16124" xr:uid="{9569C01F-3F4D-44B5-AE25-8290878DFBD0}"/>
    <cellStyle name="Normal 4 4 2 2 9" xfId="7017" xr:uid="{091F3178-DDE4-4BEA-B416-857488CFF954}"/>
    <cellStyle name="Normal 4 4 2 2 9 2" xfId="16125" xr:uid="{69BB66FB-4C2C-4C2E-8C65-31F8625FD678}"/>
    <cellStyle name="Normal 4 4 2 3" xfId="7018" xr:uid="{4AEEFCD0-DD21-42F6-969D-79BFC762BB64}"/>
    <cellStyle name="Normal 4 4 2 3 10" xfId="16126" xr:uid="{499B2C2B-A510-456B-9D9E-A4C7A007DBFF}"/>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2 2" xfId="16131" xr:uid="{308FF562-9E6C-481F-A1C5-D394C526531C}"/>
    <cellStyle name="Normal 4 4 2 3 2 2 2 2 3" xfId="7024" xr:uid="{6E52C9F8-3E06-4C0B-95DA-651917FBD4E9}"/>
    <cellStyle name="Normal 4 4 2 3 2 2 2 2 3 2" xfId="16132" xr:uid="{B5B5B668-AF81-46A9-98C5-EAAF664A9F93}"/>
    <cellStyle name="Normal 4 4 2 3 2 2 2 2 4" xfId="16130" xr:uid="{0F11654E-A80D-47D0-9A72-19BCA9B13C16}"/>
    <cellStyle name="Normal 4 4 2 3 2 2 2 3" xfId="7025" xr:uid="{38893969-49E2-4321-8696-8B35E99F4CCB}"/>
    <cellStyle name="Normal 4 4 2 3 2 2 2 3 2" xfId="16133" xr:uid="{137AEC4E-0065-40DD-AB08-3CA57EA71F56}"/>
    <cellStyle name="Normal 4 4 2 3 2 2 2 4" xfId="7026" xr:uid="{747DC42B-E9A1-4710-A83B-588323C284E7}"/>
    <cellStyle name="Normal 4 4 2 3 2 2 2 4 2" xfId="16134" xr:uid="{54CCB621-96BD-45C4-95A5-A932A4A2E5DA}"/>
    <cellStyle name="Normal 4 4 2 3 2 2 2 5" xfId="7027" xr:uid="{B85848DA-7888-4A71-8C76-41DEBC4175DE}"/>
    <cellStyle name="Normal 4 4 2 3 2 2 2 5 2" xfId="16135" xr:uid="{4824BA28-1131-4815-B999-FD4036ACD399}"/>
    <cellStyle name="Normal 4 4 2 3 2 2 2 6" xfId="16129" xr:uid="{00F32A84-E897-4718-8B98-2061B4E6C3E4}"/>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2 2" xfId="16138" xr:uid="{2DF4A67B-59E7-4B71-B113-34297E9F2E27}"/>
    <cellStyle name="Normal 4 4 2 3 2 2 3 2 3" xfId="7031" xr:uid="{0B40B613-0FEA-4F1F-BC59-766DFBDFA3AB}"/>
    <cellStyle name="Normal 4 4 2 3 2 2 3 2 3 2" xfId="16139" xr:uid="{BA372395-7A9A-4799-8BE5-E8204BD00AB2}"/>
    <cellStyle name="Normal 4 4 2 3 2 2 3 2 4" xfId="16137" xr:uid="{E33F2017-B426-4424-A9A1-E3DFCD7B9006}"/>
    <cellStyle name="Normal 4 4 2 3 2 2 3 3" xfId="7032" xr:uid="{3B4ED34F-C011-4D86-834E-A6DBA09431B0}"/>
    <cellStyle name="Normal 4 4 2 3 2 2 3 3 2" xfId="16140" xr:uid="{E5703B4A-5977-4E89-8988-2EB29335F022}"/>
    <cellStyle name="Normal 4 4 2 3 2 2 3 4" xfId="7033" xr:uid="{382B0788-154B-43FB-9E1F-42F23649B316}"/>
    <cellStyle name="Normal 4 4 2 3 2 2 3 4 2" xfId="16141" xr:uid="{44BEE2E3-15C7-4511-857E-54FF586A7E48}"/>
    <cellStyle name="Normal 4 4 2 3 2 2 3 5" xfId="7034" xr:uid="{4BE375ED-23E5-45BC-A0FE-2C2AE296D9F1}"/>
    <cellStyle name="Normal 4 4 2 3 2 2 3 5 2" xfId="16142" xr:uid="{B53C2B50-E37F-48A4-9486-4B5216269FDA}"/>
    <cellStyle name="Normal 4 4 2 3 2 2 3 6" xfId="16136" xr:uid="{224824E7-3095-48F3-811E-3C18107E603B}"/>
    <cellStyle name="Normal 4 4 2 3 2 2 4" xfId="7035" xr:uid="{81F476AB-CCA9-4C09-96A9-509DFCFBCBAB}"/>
    <cellStyle name="Normal 4 4 2 3 2 2 4 2" xfId="7036" xr:uid="{16E9824C-091F-4763-A33D-4963C1203B23}"/>
    <cellStyle name="Normal 4 4 2 3 2 2 4 2 2" xfId="16144" xr:uid="{F1EEDC7C-5F97-46F1-B0EE-0571716FDAAD}"/>
    <cellStyle name="Normal 4 4 2 3 2 2 4 3" xfId="7037" xr:uid="{537F1D2E-4B4A-4343-BD8D-9A9E9A1C9DB1}"/>
    <cellStyle name="Normal 4 4 2 3 2 2 4 3 2" xfId="16145" xr:uid="{0C92C21E-306D-4CC7-9DA7-416C6DF66405}"/>
    <cellStyle name="Normal 4 4 2 3 2 2 4 4" xfId="16143" xr:uid="{858A6A0C-61DB-4F79-A706-D74BAF70E461}"/>
    <cellStyle name="Normal 4 4 2 3 2 2 5" xfId="7038" xr:uid="{7070E47E-2826-43D2-ADD5-F0756E86B1CB}"/>
    <cellStyle name="Normal 4 4 2 3 2 2 5 2" xfId="16146" xr:uid="{BDFDBD1B-E106-4C5E-A87A-485D0501AE2E}"/>
    <cellStyle name="Normal 4 4 2 3 2 2 6" xfId="7039" xr:uid="{B0C42756-F467-462B-BF95-D126079A7DC9}"/>
    <cellStyle name="Normal 4 4 2 3 2 2 6 2" xfId="16147" xr:uid="{7039C10D-FFD7-4115-B2B1-E8DCAC871F75}"/>
    <cellStyle name="Normal 4 4 2 3 2 2 7" xfId="7040" xr:uid="{E30E474C-83A1-4817-B6ED-7AEAB768744A}"/>
    <cellStyle name="Normal 4 4 2 3 2 2 7 2" xfId="16148" xr:uid="{5C492963-00A8-4C4B-8F36-4BE00670284C}"/>
    <cellStyle name="Normal 4 4 2 3 2 2 8" xfId="16128" xr:uid="{081D2DD0-B02C-4A9C-9B22-4F0CEF924699}"/>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2 2" xfId="16151" xr:uid="{3C8C173A-EF72-4E3C-A411-FDFF2E5701C5}"/>
    <cellStyle name="Normal 4 4 2 3 2 3 2 3" xfId="7044" xr:uid="{83B8E536-BEC1-4032-A0CB-1F71405890CC}"/>
    <cellStyle name="Normal 4 4 2 3 2 3 2 3 2" xfId="16152" xr:uid="{4DAF2853-5247-46A2-BBF8-7079FB874666}"/>
    <cellStyle name="Normal 4 4 2 3 2 3 2 4" xfId="16150" xr:uid="{0D2B5EF8-E123-4B0F-8BB7-7BDB3E00CBA6}"/>
    <cellStyle name="Normal 4 4 2 3 2 3 3" xfId="7045" xr:uid="{05845061-4864-4E58-A4B6-C50F0ED20038}"/>
    <cellStyle name="Normal 4 4 2 3 2 3 3 2" xfId="16153" xr:uid="{2456CFFB-CA4F-4937-BAEA-E864BD837BFA}"/>
    <cellStyle name="Normal 4 4 2 3 2 3 4" xfId="7046" xr:uid="{4B72032C-7CF6-4856-B1DC-F392C97452B4}"/>
    <cellStyle name="Normal 4 4 2 3 2 3 4 2" xfId="16154" xr:uid="{15353762-F6DE-4F36-AB6A-FA33BB31802C}"/>
    <cellStyle name="Normal 4 4 2 3 2 3 5" xfId="7047" xr:uid="{2C2E89D6-8514-4191-8487-DE43E7F4EA35}"/>
    <cellStyle name="Normal 4 4 2 3 2 3 5 2" xfId="16155" xr:uid="{D885EB36-62B3-486B-9AA7-F4700C74744A}"/>
    <cellStyle name="Normal 4 4 2 3 2 3 6" xfId="16149" xr:uid="{8F662436-C18C-44A7-BDE5-40B7F4B35528}"/>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2 2" xfId="16158" xr:uid="{5103148B-BE16-451B-91F0-43FC6C1A7828}"/>
    <cellStyle name="Normal 4 4 2 3 2 4 2 3" xfId="7051" xr:uid="{2A8C791B-D239-4895-A802-EF72220D92C1}"/>
    <cellStyle name="Normal 4 4 2 3 2 4 2 3 2" xfId="16159" xr:uid="{F998A6B2-0F52-4DEF-995F-5DAE4BB434E7}"/>
    <cellStyle name="Normal 4 4 2 3 2 4 2 4" xfId="16157" xr:uid="{A8DE470B-D9E7-4FB1-963A-AB0BD80F7670}"/>
    <cellStyle name="Normal 4 4 2 3 2 4 3" xfId="7052" xr:uid="{A4C1AFEE-B28F-4235-979B-3718D0CF66F0}"/>
    <cellStyle name="Normal 4 4 2 3 2 4 3 2" xfId="16160" xr:uid="{66C0EC98-1463-42CC-AE3A-4E95DAB5276C}"/>
    <cellStyle name="Normal 4 4 2 3 2 4 4" xfId="7053" xr:uid="{AF613D34-7C15-4028-8387-6FC9D6149AA0}"/>
    <cellStyle name="Normal 4 4 2 3 2 4 4 2" xfId="16161" xr:uid="{59F9A0E5-0FC0-4287-A46F-B5B5D3493B2D}"/>
    <cellStyle name="Normal 4 4 2 3 2 4 5" xfId="7054" xr:uid="{D5413774-A6CF-4CE7-82D2-7BEF781342AA}"/>
    <cellStyle name="Normal 4 4 2 3 2 4 5 2" xfId="16162" xr:uid="{C50025B7-8573-4EC4-827E-653F80EA2401}"/>
    <cellStyle name="Normal 4 4 2 3 2 4 6" xfId="16156" xr:uid="{2ACB3162-B5D1-4C16-92E3-A6D25B25A317}"/>
    <cellStyle name="Normal 4 4 2 3 2 5" xfId="7055" xr:uid="{A8DDE5B4-CF69-4B38-944D-2FDAA5BD92F5}"/>
    <cellStyle name="Normal 4 4 2 3 2 5 2" xfId="7056" xr:uid="{B44F7E34-904D-4710-BB88-3812F5FEA737}"/>
    <cellStyle name="Normal 4 4 2 3 2 5 2 2" xfId="16164" xr:uid="{5B2486D3-F0FA-4466-9172-199465175D72}"/>
    <cellStyle name="Normal 4 4 2 3 2 5 3" xfId="7057" xr:uid="{D0C8C586-3F45-4129-B789-0F6C06F95A3A}"/>
    <cellStyle name="Normal 4 4 2 3 2 5 3 2" xfId="16165" xr:uid="{E3B3F9CC-E12C-470C-BB26-935FCD3DC615}"/>
    <cellStyle name="Normal 4 4 2 3 2 5 4" xfId="16163" xr:uid="{C60559D4-16AB-46A3-A247-0AFA534BEF7B}"/>
    <cellStyle name="Normal 4 4 2 3 2 6" xfId="7058" xr:uid="{40783E6D-520F-4332-987C-3C2F825842D7}"/>
    <cellStyle name="Normal 4 4 2 3 2 6 2" xfId="16166" xr:uid="{F0CEB980-91AA-44AF-8A58-705C46892F2A}"/>
    <cellStyle name="Normal 4 4 2 3 2 7" xfId="7059" xr:uid="{091C3D18-6AF7-486E-A7B9-CF0353E6EC19}"/>
    <cellStyle name="Normal 4 4 2 3 2 7 2" xfId="16167" xr:uid="{54474250-12D6-4781-90A7-08A41E122A85}"/>
    <cellStyle name="Normal 4 4 2 3 2 8" xfId="7060" xr:uid="{4DA61E2F-D4BB-4730-ACD3-27F0C8769F99}"/>
    <cellStyle name="Normal 4 4 2 3 2 8 2" xfId="16168" xr:uid="{96FE52E9-3C39-45DB-BC24-3C3C95FCC8AB}"/>
    <cellStyle name="Normal 4 4 2 3 2 9" xfId="16127" xr:uid="{E3C21824-E7B4-4605-B3B0-FC0755BAB5B0}"/>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2 2" xfId="16172" xr:uid="{065BC6F5-3655-4987-AE8A-3D64971B6F8E}"/>
    <cellStyle name="Normal 4 4 2 3 3 2 2 3" xfId="7065" xr:uid="{CFC75967-A883-44C6-900E-8289B02DC7A1}"/>
    <cellStyle name="Normal 4 4 2 3 3 2 2 3 2" xfId="16173" xr:uid="{C120A5C8-AC6F-4AFF-9588-FCA424A2EEA1}"/>
    <cellStyle name="Normal 4 4 2 3 3 2 2 4" xfId="16171" xr:uid="{7534B33C-421A-4CBC-B8B0-B12F0CBF4356}"/>
    <cellStyle name="Normal 4 4 2 3 3 2 3" xfId="7066" xr:uid="{33D9D95A-A987-4768-9567-909F9FF33664}"/>
    <cellStyle name="Normal 4 4 2 3 3 2 3 2" xfId="16174" xr:uid="{4FDF4D00-A0C4-4432-A007-F92841A85693}"/>
    <cellStyle name="Normal 4 4 2 3 3 2 4" xfId="7067" xr:uid="{0B17BC4B-914E-42DB-AFE8-19C6A001F2C1}"/>
    <cellStyle name="Normal 4 4 2 3 3 2 4 2" xfId="16175" xr:uid="{715930AB-FCCE-48B1-AE6E-6900A21A5623}"/>
    <cellStyle name="Normal 4 4 2 3 3 2 5" xfId="7068" xr:uid="{F3E8F350-C92B-4C02-8AA9-9510BFB25BE3}"/>
    <cellStyle name="Normal 4 4 2 3 3 2 5 2" xfId="16176" xr:uid="{96A091F2-CFD6-400C-8FEF-EA7DFBBC3172}"/>
    <cellStyle name="Normal 4 4 2 3 3 2 6" xfId="16170" xr:uid="{F3450ECF-EC79-4B9F-BA70-3F177276AE2C}"/>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2 2" xfId="16179" xr:uid="{E12F2A88-DAA2-4C88-9028-8A496A6D939C}"/>
    <cellStyle name="Normal 4 4 2 3 3 3 2 3" xfId="7072" xr:uid="{A2D7D34C-23CE-4EA4-A76E-D33E8F86370C}"/>
    <cellStyle name="Normal 4 4 2 3 3 3 2 3 2" xfId="16180" xr:uid="{84416FDA-68B5-464A-B0C4-8FDDC86E55DF}"/>
    <cellStyle name="Normal 4 4 2 3 3 3 2 4" xfId="16178" xr:uid="{CA53BCD8-1F54-488E-964F-BC2D568A0444}"/>
    <cellStyle name="Normal 4 4 2 3 3 3 3" xfId="7073" xr:uid="{AA693DAF-B55A-4465-9790-51342D146AF6}"/>
    <cellStyle name="Normal 4 4 2 3 3 3 3 2" xfId="16181" xr:uid="{495DCC36-8CAB-4D36-997F-6DD638393D03}"/>
    <cellStyle name="Normal 4 4 2 3 3 3 4" xfId="7074" xr:uid="{5B378110-E599-4B1D-B018-9388A743998D}"/>
    <cellStyle name="Normal 4 4 2 3 3 3 4 2" xfId="16182" xr:uid="{EB0C6771-B39E-483B-B655-575888B2E32C}"/>
    <cellStyle name="Normal 4 4 2 3 3 3 5" xfId="7075" xr:uid="{4102786D-2F8C-42DE-8AEB-49A2BCB8F4C5}"/>
    <cellStyle name="Normal 4 4 2 3 3 3 5 2" xfId="16183" xr:uid="{35C3D082-EB4A-43C4-8F8E-DD2C7F1E5B8C}"/>
    <cellStyle name="Normal 4 4 2 3 3 3 6" xfId="16177" xr:uid="{BC34619A-0E63-4FBB-B157-86B49FF03427}"/>
    <cellStyle name="Normal 4 4 2 3 3 4" xfId="7076" xr:uid="{2F8460E0-A2B8-4ABB-A634-81BE4E840810}"/>
    <cellStyle name="Normal 4 4 2 3 3 4 2" xfId="7077" xr:uid="{27274E0B-8CB5-44ED-8988-BBECE34EEEE7}"/>
    <cellStyle name="Normal 4 4 2 3 3 4 2 2" xfId="16185" xr:uid="{B80FD6F4-EF89-4C5A-802B-F4FA18F3DDC9}"/>
    <cellStyle name="Normal 4 4 2 3 3 4 3" xfId="7078" xr:uid="{F9231298-14BD-4718-ADD7-05D1FD6EB099}"/>
    <cellStyle name="Normal 4 4 2 3 3 4 3 2" xfId="16186" xr:uid="{D100759E-1DE4-4EE0-9852-7E36D67130D9}"/>
    <cellStyle name="Normal 4 4 2 3 3 4 4" xfId="16184" xr:uid="{D03396A0-B341-4077-ADE4-6C31EA43B54C}"/>
    <cellStyle name="Normal 4 4 2 3 3 5" xfId="7079" xr:uid="{043A74B8-BF33-4DDA-A5D9-28552D1EC926}"/>
    <cellStyle name="Normal 4 4 2 3 3 5 2" xfId="16187" xr:uid="{AD007353-8BCE-446B-A901-A2BC293D125F}"/>
    <cellStyle name="Normal 4 4 2 3 3 6" xfId="7080" xr:uid="{6BE1A749-681B-404F-8962-324342A31142}"/>
    <cellStyle name="Normal 4 4 2 3 3 6 2" xfId="16188" xr:uid="{976089C1-803A-48D8-A7BB-9C3EEBC81AC6}"/>
    <cellStyle name="Normal 4 4 2 3 3 7" xfId="7081" xr:uid="{F20E4A93-EFCE-40BA-B25F-DBD4A7D1EF46}"/>
    <cellStyle name="Normal 4 4 2 3 3 7 2" xfId="16189" xr:uid="{9505C6F8-8D84-4BD5-8D53-35F9291B66CB}"/>
    <cellStyle name="Normal 4 4 2 3 3 8" xfId="16169" xr:uid="{4935443A-C436-4FA3-B743-F786B5DBE641}"/>
    <cellStyle name="Normal 4 4 2 3 4" xfId="7082" xr:uid="{09A125C3-AC20-4FCD-85C3-4F20D53574A7}"/>
    <cellStyle name="Normal 4 4 2 3 4 2" xfId="7083" xr:uid="{520EC0CF-43D4-4049-B47B-A43595A9CEF8}"/>
    <cellStyle name="Normal 4 4 2 3 4 2 2" xfId="7084" xr:uid="{1AE6766A-DCBC-42E7-8877-BA983C6FC733}"/>
    <cellStyle name="Normal 4 4 2 3 4 2 2 2" xfId="16192" xr:uid="{DA3D251B-B185-4D99-9508-819D4C7FA068}"/>
    <cellStyle name="Normal 4 4 2 3 4 2 3" xfId="7085" xr:uid="{1FA383E4-6F64-4731-A44C-A515899EBCAE}"/>
    <cellStyle name="Normal 4 4 2 3 4 2 3 2" xfId="16193" xr:uid="{CE3F2BB4-9F5B-44A0-9429-5E273B672F88}"/>
    <cellStyle name="Normal 4 4 2 3 4 2 4" xfId="16191" xr:uid="{28A17BC2-2D5E-43E9-A8F7-D445D943DDB2}"/>
    <cellStyle name="Normal 4 4 2 3 4 3" xfId="7086" xr:uid="{C9F4F56F-9D4E-4504-A53C-F930BED4DAA2}"/>
    <cellStyle name="Normal 4 4 2 3 4 3 2" xfId="16194" xr:uid="{E484495D-0DB4-416E-A297-B7B997A44F4E}"/>
    <cellStyle name="Normal 4 4 2 3 4 4" xfId="7087" xr:uid="{A8619276-1666-4097-9165-38CB036869F5}"/>
    <cellStyle name="Normal 4 4 2 3 4 4 2" xfId="16195" xr:uid="{EA3E70FF-4D95-4544-A5ED-2D3A04885BF9}"/>
    <cellStyle name="Normal 4 4 2 3 4 5" xfId="7088" xr:uid="{3B2A3F9A-5B05-448F-BD3D-F0C694D352B0}"/>
    <cellStyle name="Normal 4 4 2 3 4 5 2" xfId="16196" xr:uid="{5552BF71-CA4F-4AB1-9A76-E6C92EFDA3A7}"/>
    <cellStyle name="Normal 4 4 2 3 4 6" xfId="16190" xr:uid="{65AB6820-7FF1-4DC0-B378-FFEA0C5F2675}"/>
    <cellStyle name="Normal 4 4 2 3 5" xfId="7089" xr:uid="{B59F8C2C-4B96-4237-9FEB-63B5E8BA06BC}"/>
    <cellStyle name="Normal 4 4 2 3 5 2" xfId="7090" xr:uid="{2CCDA596-6656-4B55-90A2-A95FDB918991}"/>
    <cellStyle name="Normal 4 4 2 3 5 2 2" xfId="7091" xr:uid="{C470350C-6588-4580-8B7D-6D0640788C63}"/>
    <cellStyle name="Normal 4 4 2 3 5 2 2 2" xfId="16199" xr:uid="{38395209-6258-467A-9BCB-98114BF41DCE}"/>
    <cellStyle name="Normal 4 4 2 3 5 2 3" xfId="7092" xr:uid="{11457720-4EA1-435E-BD95-70F2954E8F53}"/>
    <cellStyle name="Normal 4 4 2 3 5 2 3 2" xfId="16200" xr:uid="{B48073FB-E893-44B2-8723-7D096CF71EAF}"/>
    <cellStyle name="Normal 4 4 2 3 5 2 4" xfId="16198" xr:uid="{4371EF98-7762-4C2A-897A-DD9BA71F4C5E}"/>
    <cellStyle name="Normal 4 4 2 3 5 3" xfId="7093" xr:uid="{E78F73CD-B1F2-4EE5-9DF5-720F6E64CCDB}"/>
    <cellStyle name="Normal 4 4 2 3 5 3 2" xfId="16201" xr:uid="{196A726A-0C6E-4062-8464-B9814F181747}"/>
    <cellStyle name="Normal 4 4 2 3 5 4" xfId="7094" xr:uid="{40DB81F3-F009-4818-AAEA-729060D38CEF}"/>
    <cellStyle name="Normal 4 4 2 3 5 4 2" xfId="16202" xr:uid="{9061E79A-73F2-4EAD-8EBB-E099CFB8B0DD}"/>
    <cellStyle name="Normal 4 4 2 3 5 5" xfId="7095" xr:uid="{BE5F1A42-AF29-4034-ADD9-55A4A725B858}"/>
    <cellStyle name="Normal 4 4 2 3 5 5 2" xfId="16203" xr:uid="{BC910198-6270-4F90-8119-4B21524F14EC}"/>
    <cellStyle name="Normal 4 4 2 3 5 6" xfId="16197" xr:uid="{4DE03EA4-A27B-4260-8E7A-79AB0C74BA22}"/>
    <cellStyle name="Normal 4 4 2 3 6" xfId="7096" xr:uid="{1D2C4775-8594-4E2B-B573-C9625C024406}"/>
    <cellStyle name="Normal 4 4 2 3 6 2" xfId="7097" xr:uid="{9B85F04E-8914-4EEA-AD67-943474CF5E6E}"/>
    <cellStyle name="Normal 4 4 2 3 6 2 2" xfId="16205" xr:uid="{DC7C1DC8-17BF-4235-8DA4-97C0147B4C28}"/>
    <cellStyle name="Normal 4 4 2 3 6 3" xfId="7098" xr:uid="{F852367F-0BBD-4CFE-B5E7-5A47FA8C1EBF}"/>
    <cellStyle name="Normal 4 4 2 3 6 3 2" xfId="16206" xr:uid="{85CB0FEF-68D5-470B-9CB6-CEA842870F49}"/>
    <cellStyle name="Normal 4 4 2 3 6 4" xfId="16204" xr:uid="{38401F6F-F7BA-4046-87EF-2E4EDB9C7158}"/>
    <cellStyle name="Normal 4 4 2 3 7" xfId="7099" xr:uid="{C1609ED2-ADAF-4EDF-8512-77386F10556C}"/>
    <cellStyle name="Normal 4 4 2 3 7 2" xfId="16207" xr:uid="{A6122FC8-A621-4FAA-9545-63D20DD856B3}"/>
    <cellStyle name="Normal 4 4 2 3 8" xfId="7100" xr:uid="{9E872219-5530-4508-8FF2-99E46A1C2206}"/>
    <cellStyle name="Normal 4 4 2 3 8 2" xfId="16208" xr:uid="{C391879F-DA01-4E13-BC28-19BEDA96D403}"/>
    <cellStyle name="Normal 4 4 2 3 9" xfId="7101" xr:uid="{3AD5E3FF-F35A-4085-8E2E-A8A1C24E6A80}"/>
    <cellStyle name="Normal 4 4 2 3 9 2" xfId="16209" xr:uid="{28F216FD-27DE-4217-A590-D6E62FAD3E78}"/>
    <cellStyle name="Normal 4 4 2 4" xfId="7102" xr:uid="{32849244-723A-4E6B-AAC4-CAF82581E53C}"/>
    <cellStyle name="Normal 4 4 2 4 10" xfId="16210" xr:uid="{A7C6D045-7B6B-4FB9-A6A9-47C958E82449}"/>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2 2" xfId="16215" xr:uid="{4667066F-2245-4D3B-A691-5E874FF24026}"/>
    <cellStyle name="Normal 4 4 2 4 2 2 2 2 3" xfId="7108" xr:uid="{D79BC6E3-7CB3-4C75-BB36-EA4269E002B2}"/>
    <cellStyle name="Normal 4 4 2 4 2 2 2 2 3 2" xfId="16216" xr:uid="{0C2424FE-3F49-4DD3-9527-E196E0541D95}"/>
    <cellStyle name="Normal 4 4 2 4 2 2 2 2 4" xfId="16214" xr:uid="{6BBE2298-188D-4136-AEF8-4C2CAE21D51F}"/>
    <cellStyle name="Normal 4 4 2 4 2 2 2 3" xfId="7109" xr:uid="{80EA388F-A346-409D-ACF7-49AE2F799756}"/>
    <cellStyle name="Normal 4 4 2 4 2 2 2 3 2" xfId="16217" xr:uid="{2613CEF1-BBCE-43DD-B5E4-42F1532E8ACD}"/>
    <cellStyle name="Normal 4 4 2 4 2 2 2 4" xfId="7110" xr:uid="{487E0694-6772-413B-AE92-851E1B08B0CE}"/>
    <cellStyle name="Normal 4 4 2 4 2 2 2 4 2" xfId="16218" xr:uid="{1D9BC44A-5EB7-4438-836C-F243FDA2F616}"/>
    <cellStyle name="Normal 4 4 2 4 2 2 2 5" xfId="7111" xr:uid="{96B2204B-F625-444B-A33D-D3F66901DB8B}"/>
    <cellStyle name="Normal 4 4 2 4 2 2 2 5 2" xfId="16219" xr:uid="{BA5B6E06-90D3-470C-A534-7CC026C492FA}"/>
    <cellStyle name="Normal 4 4 2 4 2 2 2 6" xfId="16213" xr:uid="{9C50CE55-23ED-4A9D-8AC6-C7D4B0E85568}"/>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2 2" xfId="16222" xr:uid="{33C72525-1D9F-4E14-8A4C-0782A4F263CF}"/>
    <cellStyle name="Normal 4 4 2 4 2 2 3 2 3" xfId="7115" xr:uid="{2B7F7304-9EDD-43FF-8112-57C6A4666BA8}"/>
    <cellStyle name="Normal 4 4 2 4 2 2 3 2 3 2" xfId="16223" xr:uid="{1089F5CC-8F03-47A2-BE65-DA70C62C7D55}"/>
    <cellStyle name="Normal 4 4 2 4 2 2 3 2 4" xfId="16221" xr:uid="{C9E7A6E7-3239-45D6-95E8-FFE3C7775A13}"/>
    <cellStyle name="Normal 4 4 2 4 2 2 3 3" xfId="7116" xr:uid="{A7376A1F-82C7-48B1-9399-2937D786BA44}"/>
    <cellStyle name="Normal 4 4 2 4 2 2 3 3 2" xfId="16224" xr:uid="{EF0F43FC-1FCB-44E6-A4AE-4AA673A86A90}"/>
    <cellStyle name="Normal 4 4 2 4 2 2 3 4" xfId="7117" xr:uid="{9CBBC276-5A57-4ED0-8E47-672E15D67FEC}"/>
    <cellStyle name="Normal 4 4 2 4 2 2 3 4 2" xfId="16225" xr:uid="{AC5395E9-9B6C-41D8-9ED9-E27271D8D3DB}"/>
    <cellStyle name="Normal 4 4 2 4 2 2 3 5" xfId="7118" xr:uid="{4389F023-D4F0-4DAE-9A6D-76692F3CAAA5}"/>
    <cellStyle name="Normal 4 4 2 4 2 2 3 5 2" xfId="16226" xr:uid="{63092F1B-7450-4956-8FC6-B8D2A9009CBE}"/>
    <cellStyle name="Normal 4 4 2 4 2 2 3 6" xfId="16220" xr:uid="{5878A455-14B2-40EF-97F9-BCC9F4E98741}"/>
    <cellStyle name="Normal 4 4 2 4 2 2 4" xfId="7119" xr:uid="{10987ED1-52D5-4516-B460-F1EF2164AA5D}"/>
    <cellStyle name="Normal 4 4 2 4 2 2 4 2" xfId="7120" xr:uid="{F79C0905-AB4A-4744-829D-34047C150B41}"/>
    <cellStyle name="Normal 4 4 2 4 2 2 4 2 2" xfId="16228" xr:uid="{03B2A20C-A6E1-4993-BD26-EB79F539BFE6}"/>
    <cellStyle name="Normal 4 4 2 4 2 2 4 3" xfId="7121" xr:uid="{36551D6A-12ED-4534-B51B-C007F09AE1C5}"/>
    <cellStyle name="Normal 4 4 2 4 2 2 4 3 2" xfId="16229" xr:uid="{5E29702B-EED3-4A4F-8543-0F430A65B885}"/>
    <cellStyle name="Normal 4 4 2 4 2 2 4 4" xfId="16227" xr:uid="{11AB7582-D23A-42BC-A83E-82D1BE66B002}"/>
    <cellStyle name="Normal 4 4 2 4 2 2 5" xfId="7122" xr:uid="{57185EB4-52F6-4CC4-9057-B9E71ADB7F23}"/>
    <cellStyle name="Normal 4 4 2 4 2 2 5 2" xfId="16230" xr:uid="{4D2739F4-0F70-4621-9796-A92C2D710BBE}"/>
    <cellStyle name="Normal 4 4 2 4 2 2 6" xfId="7123" xr:uid="{03899351-7E8C-441F-A86E-067ABB5EAADB}"/>
    <cellStyle name="Normal 4 4 2 4 2 2 6 2" xfId="16231" xr:uid="{3071FB71-4F5B-4941-9D29-9A1408876704}"/>
    <cellStyle name="Normal 4 4 2 4 2 2 7" xfId="7124" xr:uid="{6FBECA6F-F0E9-4182-BC89-5CF65409D1C0}"/>
    <cellStyle name="Normal 4 4 2 4 2 2 7 2" xfId="16232" xr:uid="{44A72721-F72D-4D2A-A26B-F7C21787A9DA}"/>
    <cellStyle name="Normal 4 4 2 4 2 2 8" xfId="16212" xr:uid="{8DBFE19E-0354-4091-9CFF-AB2B831C4F08}"/>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2 2" xfId="16235" xr:uid="{A29645ED-D5D6-44F1-87CF-3D89C5238787}"/>
    <cellStyle name="Normal 4 4 2 4 2 3 2 3" xfId="7128" xr:uid="{2B4E603B-BB70-475E-A39C-1A2AE28BED13}"/>
    <cellStyle name="Normal 4 4 2 4 2 3 2 3 2" xfId="16236" xr:uid="{518044D4-2E61-4A93-AA0A-689ADFBAF2D4}"/>
    <cellStyle name="Normal 4 4 2 4 2 3 2 4" xfId="16234" xr:uid="{5FB01D2E-AB45-4F58-A050-AC5FE2904F32}"/>
    <cellStyle name="Normal 4 4 2 4 2 3 3" xfId="7129" xr:uid="{44A327A8-E999-4D54-8E03-425781267B8C}"/>
    <cellStyle name="Normal 4 4 2 4 2 3 3 2" xfId="16237" xr:uid="{7BE7DF83-4C48-43A3-A19A-C60DA66D5EE9}"/>
    <cellStyle name="Normal 4 4 2 4 2 3 4" xfId="7130" xr:uid="{B734B998-2FB9-4F41-ABBA-0EE736BC8416}"/>
    <cellStyle name="Normal 4 4 2 4 2 3 4 2" xfId="16238" xr:uid="{9FA980AD-FFA7-48FA-92DC-AC4585383834}"/>
    <cellStyle name="Normal 4 4 2 4 2 3 5" xfId="7131" xr:uid="{57FE850E-2D66-4BCD-B6A5-E65ECAC88B37}"/>
    <cellStyle name="Normal 4 4 2 4 2 3 5 2" xfId="16239" xr:uid="{FADF85A4-490A-48A0-8B85-B0304AB39D69}"/>
    <cellStyle name="Normal 4 4 2 4 2 3 6" xfId="16233" xr:uid="{DFD40F7C-BE98-495A-9670-D7A7DE15B742}"/>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2 2" xfId="16242" xr:uid="{B7C78C10-E3B1-4443-929C-286D0F633035}"/>
    <cellStyle name="Normal 4 4 2 4 2 4 2 3" xfId="7135" xr:uid="{0DAAAC8F-7502-4D70-BB5E-D103867BF773}"/>
    <cellStyle name="Normal 4 4 2 4 2 4 2 3 2" xfId="16243" xr:uid="{E082738F-ADFE-43C8-944F-AF775C119378}"/>
    <cellStyle name="Normal 4 4 2 4 2 4 2 4" xfId="16241" xr:uid="{6B1EBB85-28B0-41C8-B898-C3F79CA35705}"/>
    <cellStyle name="Normal 4 4 2 4 2 4 3" xfId="7136" xr:uid="{D1835D6C-6749-499E-8B77-C412D327FE92}"/>
    <cellStyle name="Normal 4 4 2 4 2 4 3 2" xfId="16244" xr:uid="{2D0E24B7-A488-455A-9D96-5ADB8F29EDDA}"/>
    <cellStyle name="Normal 4 4 2 4 2 4 4" xfId="7137" xr:uid="{B0E00AFD-5EB7-41F3-B014-F44006DFE1EC}"/>
    <cellStyle name="Normal 4 4 2 4 2 4 4 2" xfId="16245" xr:uid="{325EDDA6-2339-4CCD-87FC-98A62F1694F5}"/>
    <cellStyle name="Normal 4 4 2 4 2 4 5" xfId="7138" xr:uid="{39C24453-2AF9-43AC-BF26-146EF3FA9DA3}"/>
    <cellStyle name="Normal 4 4 2 4 2 4 5 2" xfId="16246" xr:uid="{3881F714-3501-41D9-A3CC-04291A9645D6}"/>
    <cellStyle name="Normal 4 4 2 4 2 4 6" xfId="16240" xr:uid="{7B412869-1500-4545-86BC-1E839C3B28EF}"/>
    <cellStyle name="Normal 4 4 2 4 2 5" xfId="7139" xr:uid="{1199B48A-39BB-409E-9FF3-15A1F88A75C8}"/>
    <cellStyle name="Normal 4 4 2 4 2 5 2" xfId="7140" xr:uid="{79162413-EAA9-4017-9A51-0E397A271F01}"/>
    <cellStyle name="Normal 4 4 2 4 2 5 2 2" xfId="16248" xr:uid="{879319DF-922E-4F8D-A154-CE5CE59DE226}"/>
    <cellStyle name="Normal 4 4 2 4 2 5 3" xfId="7141" xr:uid="{119F5983-2910-484C-8052-3FE1DE18BADE}"/>
    <cellStyle name="Normal 4 4 2 4 2 5 3 2" xfId="16249" xr:uid="{3F1BB3E3-EBAC-444C-9342-A3AB005698BC}"/>
    <cellStyle name="Normal 4 4 2 4 2 5 4" xfId="16247" xr:uid="{448D709E-4A8D-4AA2-8283-305856ADD3D1}"/>
    <cellStyle name="Normal 4 4 2 4 2 6" xfId="7142" xr:uid="{AB885BFA-0F69-4F2D-A7E5-386AA5A5ACF3}"/>
    <cellStyle name="Normal 4 4 2 4 2 6 2" xfId="16250" xr:uid="{2EE729E8-1F45-4129-AB73-BC8BDBBB5123}"/>
    <cellStyle name="Normal 4 4 2 4 2 7" xfId="7143" xr:uid="{4A5965C6-1C72-4277-AB2D-E482C6C7C64B}"/>
    <cellStyle name="Normal 4 4 2 4 2 7 2" xfId="16251" xr:uid="{AADDF37F-4AAC-42B6-8BE0-D10B26B3D70A}"/>
    <cellStyle name="Normal 4 4 2 4 2 8" xfId="7144" xr:uid="{24DF754C-01B5-4144-B94C-2FEC9F7CD54A}"/>
    <cellStyle name="Normal 4 4 2 4 2 8 2" xfId="16252" xr:uid="{8D68A317-9F96-4B7A-80DF-25C7DA6C781A}"/>
    <cellStyle name="Normal 4 4 2 4 2 9" xfId="16211" xr:uid="{8F87FAC0-695C-4C95-BEFC-1527FEF7558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2 2" xfId="16256" xr:uid="{1C48038D-D86D-46A1-9050-53E2BE44D719}"/>
    <cellStyle name="Normal 4 4 2 4 3 2 2 3" xfId="7149" xr:uid="{C3A2F05F-F0CF-4301-AF17-607659C43C71}"/>
    <cellStyle name="Normal 4 4 2 4 3 2 2 3 2" xfId="16257" xr:uid="{D8C217ED-7D77-4AF3-B598-638DF791B8F2}"/>
    <cellStyle name="Normal 4 4 2 4 3 2 2 4" xfId="16255" xr:uid="{F076A0E9-723E-40FA-8E9E-28FADD17D3C9}"/>
    <cellStyle name="Normal 4 4 2 4 3 2 3" xfId="7150" xr:uid="{D1DF5395-076E-421C-9A2F-30B2927562DF}"/>
    <cellStyle name="Normal 4 4 2 4 3 2 3 2" xfId="16258" xr:uid="{8FA331CD-2947-4C1B-963B-7A0F231A3E19}"/>
    <cellStyle name="Normal 4 4 2 4 3 2 4" xfId="7151" xr:uid="{9E74ED09-9499-40F1-9C74-9ED511216B6A}"/>
    <cellStyle name="Normal 4 4 2 4 3 2 4 2" xfId="16259" xr:uid="{9BB79E11-17F8-4433-ACEF-CD9C256C80E1}"/>
    <cellStyle name="Normal 4 4 2 4 3 2 5" xfId="7152" xr:uid="{375ACA18-D68A-4814-AFC1-2F7D9332D5DE}"/>
    <cellStyle name="Normal 4 4 2 4 3 2 5 2" xfId="16260" xr:uid="{31B09164-16CA-4944-85DE-3A3D749C2FBD}"/>
    <cellStyle name="Normal 4 4 2 4 3 2 6" xfId="16254" xr:uid="{BF80F24F-4061-4EDF-ACE1-1A69D4F1DD58}"/>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2 2" xfId="16263" xr:uid="{F2833C91-6FA0-489F-AFC1-24526F0407D1}"/>
    <cellStyle name="Normal 4 4 2 4 3 3 2 3" xfId="7156" xr:uid="{8A01279B-60CF-46D1-A5F6-E571AEAB567B}"/>
    <cellStyle name="Normal 4 4 2 4 3 3 2 3 2" xfId="16264" xr:uid="{96529AA3-493F-45EC-9E07-8A69B9EAB68A}"/>
    <cellStyle name="Normal 4 4 2 4 3 3 2 4" xfId="16262" xr:uid="{8EEC3EFA-990C-4F5C-95FB-41A7B591D48F}"/>
    <cellStyle name="Normal 4 4 2 4 3 3 3" xfId="7157" xr:uid="{37A248AB-BB87-4E18-A990-A3261B3A9BAD}"/>
    <cellStyle name="Normal 4 4 2 4 3 3 3 2" xfId="16265" xr:uid="{892F25C7-FD7D-4F6C-9448-263ECEE4923A}"/>
    <cellStyle name="Normal 4 4 2 4 3 3 4" xfId="7158" xr:uid="{0D4A1B09-30CB-4D35-ACED-885C4A413C0C}"/>
    <cellStyle name="Normal 4 4 2 4 3 3 4 2" xfId="16266" xr:uid="{C95A726B-1A13-48AA-B209-B9CDF89AF844}"/>
    <cellStyle name="Normal 4 4 2 4 3 3 5" xfId="7159" xr:uid="{AFFC9FF5-FFFA-4160-9378-CF58B33B3782}"/>
    <cellStyle name="Normal 4 4 2 4 3 3 5 2" xfId="16267" xr:uid="{4B3D9797-6DCB-4F89-AADE-0F458BD0FB71}"/>
    <cellStyle name="Normal 4 4 2 4 3 3 6" xfId="16261" xr:uid="{50D78D51-5D37-4BCA-AB5D-16794063CDAC}"/>
    <cellStyle name="Normal 4 4 2 4 3 4" xfId="7160" xr:uid="{B01E8683-AFB3-4DC4-BB17-DF55F4C10531}"/>
    <cellStyle name="Normal 4 4 2 4 3 4 2" xfId="7161" xr:uid="{23903683-649F-4600-8463-D8E3527D3D69}"/>
    <cellStyle name="Normal 4 4 2 4 3 4 2 2" xfId="16269" xr:uid="{CDB1DEBE-DE96-4B8C-B64C-C558AF284996}"/>
    <cellStyle name="Normal 4 4 2 4 3 4 3" xfId="7162" xr:uid="{082F13A5-302B-41B9-9CEA-3DA47A07C898}"/>
    <cellStyle name="Normal 4 4 2 4 3 4 3 2" xfId="16270" xr:uid="{9F508540-5658-405A-9868-63E9464B9BE0}"/>
    <cellStyle name="Normal 4 4 2 4 3 4 4" xfId="16268" xr:uid="{4D694484-D114-4CEB-9CA3-0B48E29844D8}"/>
    <cellStyle name="Normal 4 4 2 4 3 5" xfId="7163" xr:uid="{62DF2AA2-C770-4E08-B882-D5A5B33FCF0B}"/>
    <cellStyle name="Normal 4 4 2 4 3 5 2" xfId="16271" xr:uid="{365B9E3E-68F8-4F35-848B-F86991B18C6C}"/>
    <cellStyle name="Normal 4 4 2 4 3 6" xfId="7164" xr:uid="{E68C1008-F672-48B4-9F13-5BDA22308F84}"/>
    <cellStyle name="Normal 4 4 2 4 3 6 2" xfId="16272" xr:uid="{36A42A15-D0B6-4744-944F-4A30F0A0631F}"/>
    <cellStyle name="Normal 4 4 2 4 3 7" xfId="7165" xr:uid="{32628A4B-E4C5-45C6-BCA9-60D962BF8566}"/>
    <cellStyle name="Normal 4 4 2 4 3 7 2" xfId="16273" xr:uid="{75ED746D-4783-4D4B-9167-16ED1E074218}"/>
    <cellStyle name="Normal 4 4 2 4 3 8" xfId="16253" xr:uid="{60838248-7A69-4439-BF5A-FE5515025F9B}"/>
    <cellStyle name="Normal 4 4 2 4 4" xfId="7166" xr:uid="{BD354F9D-C80F-4EBD-BB11-9EFA8222D2AE}"/>
    <cellStyle name="Normal 4 4 2 4 4 2" xfId="7167" xr:uid="{AC174676-C0E5-4789-94AE-A1913F20A7ED}"/>
    <cellStyle name="Normal 4 4 2 4 4 2 2" xfId="7168" xr:uid="{4E253194-6546-45FC-9C8D-CD286D27A28F}"/>
    <cellStyle name="Normal 4 4 2 4 4 2 2 2" xfId="16276" xr:uid="{93D08A07-7A22-4E4E-8486-75E848E6786D}"/>
    <cellStyle name="Normal 4 4 2 4 4 2 3" xfId="7169" xr:uid="{1302B617-B4F3-4E67-AE86-EEDE622EF19A}"/>
    <cellStyle name="Normal 4 4 2 4 4 2 3 2" xfId="16277" xr:uid="{5CFDC4A8-1EA2-42AB-94A2-EB678DBFDF97}"/>
    <cellStyle name="Normal 4 4 2 4 4 2 4" xfId="16275" xr:uid="{2BAC0B79-F486-44D9-B36F-987DEEF194D9}"/>
    <cellStyle name="Normal 4 4 2 4 4 3" xfId="7170" xr:uid="{2B754886-6F53-4254-AFDF-62F884207429}"/>
    <cellStyle name="Normal 4 4 2 4 4 3 2" xfId="16278" xr:uid="{C02D53AD-DE3A-4616-922C-D7795DBFD279}"/>
    <cellStyle name="Normal 4 4 2 4 4 4" xfId="7171" xr:uid="{101BB0A1-1BC6-4678-BE5B-F54CB905B25A}"/>
    <cellStyle name="Normal 4 4 2 4 4 4 2" xfId="16279" xr:uid="{E313738D-760D-4FA4-8401-AA2389833FCF}"/>
    <cellStyle name="Normal 4 4 2 4 4 5" xfId="7172" xr:uid="{CA2C834D-FB3A-4627-91D9-2F47550D59D7}"/>
    <cellStyle name="Normal 4 4 2 4 4 5 2" xfId="16280" xr:uid="{658CE2DA-C41A-4491-97DF-D6BF38053261}"/>
    <cellStyle name="Normal 4 4 2 4 4 6" xfId="16274" xr:uid="{B2701F4F-8211-4BFA-B0E3-4B3AA56C4112}"/>
    <cellStyle name="Normal 4 4 2 4 5" xfId="7173" xr:uid="{0FF4B52A-CECC-4CC8-A6AC-D2547DA968F9}"/>
    <cellStyle name="Normal 4 4 2 4 5 2" xfId="7174" xr:uid="{745F744D-C971-49A9-A391-EECF6AC1F2DF}"/>
    <cellStyle name="Normal 4 4 2 4 5 2 2" xfId="7175" xr:uid="{3B1B88BE-6B1E-4ACA-9D82-C7B5593E3CDD}"/>
    <cellStyle name="Normal 4 4 2 4 5 2 2 2" xfId="16283" xr:uid="{E0392700-B9BF-462C-9F4F-95A8F8FA8C51}"/>
    <cellStyle name="Normal 4 4 2 4 5 2 3" xfId="7176" xr:uid="{1A9AD258-CEDD-427B-8973-FDD49760B14A}"/>
    <cellStyle name="Normal 4 4 2 4 5 2 3 2" xfId="16284" xr:uid="{5A7A6E44-2C6E-4A7C-949C-A79A57A578C9}"/>
    <cellStyle name="Normal 4 4 2 4 5 2 4" xfId="16282" xr:uid="{927080C6-C655-4482-87FB-E674A1AD339B}"/>
    <cellStyle name="Normal 4 4 2 4 5 3" xfId="7177" xr:uid="{E12BE971-555C-4497-807C-AEA3E851023D}"/>
    <cellStyle name="Normal 4 4 2 4 5 3 2" xfId="16285" xr:uid="{ECEA4B19-EED8-4D36-9C59-4C6D4A1990E6}"/>
    <cellStyle name="Normal 4 4 2 4 5 4" xfId="7178" xr:uid="{DD472C50-66F0-4F0D-9CAB-27833D05A15E}"/>
    <cellStyle name="Normal 4 4 2 4 5 4 2" xfId="16286" xr:uid="{DB155908-FA22-4ED2-B219-6D0A3AD2A91D}"/>
    <cellStyle name="Normal 4 4 2 4 5 5" xfId="7179" xr:uid="{B51A0FBA-7A63-4A76-ACE9-0F2BDC2F871A}"/>
    <cellStyle name="Normal 4 4 2 4 5 5 2" xfId="16287" xr:uid="{2239A776-06D5-4F3B-A14B-190AD4EF7395}"/>
    <cellStyle name="Normal 4 4 2 4 5 6" xfId="16281" xr:uid="{7AD8B746-72C4-4507-BCE8-B588215BE894}"/>
    <cellStyle name="Normal 4 4 2 4 6" xfId="7180" xr:uid="{3586216D-1645-4998-82C3-E19E99792FFF}"/>
    <cellStyle name="Normal 4 4 2 4 6 2" xfId="7181" xr:uid="{70C2F5C2-29A4-4C80-9786-FA8D8882F4CC}"/>
    <cellStyle name="Normal 4 4 2 4 6 2 2" xfId="16289" xr:uid="{1647D2E3-7C12-4365-986E-09BF582A2CB0}"/>
    <cellStyle name="Normal 4 4 2 4 6 3" xfId="7182" xr:uid="{4F1969B5-2B30-4363-AD81-73327CDCDA77}"/>
    <cellStyle name="Normal 4 4 2 4 6 3 2" xfId="16290" xr:uid="{D8511BFA-A81D-4316-9793-309482C6DC04}"/>
    <cellStyle name="Normal 4 4 2 4 6 4" xfId="16288" xr:uid="{7891E611-7F2B-4CEA-82D6-44F1855BC950}"/>
    <cellStyle name="Normal 4 4 2 4 7" xfId="7183" xr:uid="{A3256DF9-1298-45DA-9EFE-7F014853D59F}"/>
    <cellStyle name="Normal 4 4 2 4 7 2" xfId="16291" xr:uid="{FABB6BA1-9C04-4329-A047-1D582C2F5581}"/>
    <cellStyle name="Normal 4 4 2 4 8" xfId="7184" xr:uid="{4E57D74E-D52C-4CFD-9D54-9358106259B0}"/>
    <cellStyle name="Normal 4 4 2 4 8 2" xfId="16292" xr:uid="{5D7B1F02-BC51-49FE-8291-E6E194EAB1A0}"/>
    <cellStyle name="Normal 4 4 2 4 9" xfId="7185" xr:uid="{14DB47FA-B142-4AB4-8872-2B9870E035FF}"/>
    <cellStyle name="Normal 4 4 2 4 9 2" xfId="16293" xr:uid="{D109B492-0957-45C4-ABAF-BEC852F04F35}"/>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2 2" xfId="16298" xr:uid="{F8CF0D77-90FD-4215-9046-5953597522F1}"/>
    <cellStyle name="Normal 4 4 2 5 2 2 2 3" xfId="7191" xr:uid="{D18E3664-3F88-4F3A-8178-D7121E6FA7C1}"/>
    <cellStyle name="Normal 4 4 2 5 2 2 2 3 2" xfId="16299" xr:uid="{66400D33-497F-421E-ABAD-8C90134E97A5}"/>
    <cellStyle name="Normal 4 4 2 5 2 2 2 4" xfId="16297" xr:uid="{F0C44CAA-CE61-400A-8820-FF473F6010FD}"/>
    <cellStyle name="Normal 4 4 2 5 2 2 3" xfId="7192" xr:uid="{85AFDF0A-A574-45B0-A946-D22220B0CE5C}"/>
    <cellStyle name="Normal 4 4 2 5 2 2 3 2" xfId="16300" xr:uid="{3D802268-29F9-474F-8AC9-3C658B0BC22A}"/>
    <cellStyle name="Normal 4 4 2 5 2 2 4" xfId="7193" xr:uid="{637EFBBA-8E1C-402B-B485-9C28C5BC1E84}"/>
    <cellStyle name="Normal 4 4 2 5 2 2 4 2" xfId="16301" xr:uid="{981A2850-3158-4A20-BEE8-4BD28A1D1BF6}"/>
    <cellStyle name="Normal 4 4 2 5 2 2 5" xfId="7194" xr:uid="{9FE3B370-C47B-4D48-B5B4-E72CACBCD0FB}"/>
    <cellStyle name="Normal 4 4 2 5 2 2 5 2" xfId="16302" xr:uid="{AB5B7339-0D91-410F-9427-57BC9961506D}"/>
    <cellStyle name="Normal 4 4 2 5 2 2 6" xfId="16296" xr:uid="{DC68C0C2-FB93-4D63-8D30-6BAC7B0C0592}"/>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2 2" xfId="16305" xr:uid="{825E8E34-BA6F-4BD7-ACD1-59A72569D5CB}"/>
    <cellStyle name="Normal 4 4 2 5 2 3 2 3" xfId="7198" xr:uid="{AB7E5410-B962-4AC6-977F-E722D35FC3C1}"/>
    <cellStyle name="Normal 4 4 2 5 2 3 2 3 2" xfId="16306" xr:uid="{4E2F6C00-204F-49BF-953F-9FCD73094F12}"/>
    <cellStyle name="Normal 4 4 2 5 2 3 2 4" xfId="16304" xr:uid="{8637734E-4FFA-4246-BD8A-1EED7D945A13}"/>
    <cellStyle name="Normal 4 4 2 5 2 3 3" xfId="7199" xr:uid="{20AAFA6F-6315-43F2-9687-806409C40EF7}"/>
    <cellStyle name="Normal 4 4 2 5 2 3 3 2" xfId="16307" xr:uid="{F75AC62F-437C-4832-AC8F-039185E45BFC}"/>
    <cellStyle name="Normal 4 4 2 5 2 3 4" xfId="7200" xr:uid="{695417AD-CC44-42F9-B5A6-9E5D3B149E14}"/>
    <cellStyle name="Normal 4 4 2 5 2 3 4 2" xfId="16308" xr:uid="{7D4E4E03-2519-40FF-A4A3-0236E08BDDF6}"/>
    <cellStyle name="Normal 4 4 2 5 2 3 5" xfId="7201" xr:uid="{8C1FF74D-11BB-49BC-83CA-DBEFE17EB830}"/>
    <cellStyle name="Normal 4 4 2 5 2 3 5 2" xfId="16309" xr:uid="{87AA80F7-5EC8-49D2-84A8-D9EDC88369AD}"/>
    <cellStyle name="Normal 4 4 2 5 2 3 6" xfId="16303" xr:uid="{4562296B-E645-479E-81CC-6B8FF6383403}"/>
    <cellStyle name="Normal 4 4 2 5 2 4" xfId="7202" xr:uid="{702A0B20-AEB7-4BD9-A710-5CF161753B1E}"/>
    <cellStyle name="Normal 4 4 2 5 2 4 2" xfId="7203" xr:uid="{143609C7-86EA-4118-A960-26668D212DD2}"/>
    <cellStyle name="Normal 4 4 2 5 2 4 2 2" xfId="16311" xr:uid="{946CFB5C-E8EE-4178-952F-D6F3CDDEE335}"/>
    <cellStyle name="Normal 4 4 2 5 2 4 3" xfId="7204" xr:uid="{66B5A373-BB50-4203-8B85-64EDAEE6B1DF}"/>
    <cellStyle name="Normal 4 4 2 5 2 4 3 2" xfId="16312" xr:uid="{1B587769-413D-4CCA-9C05-64CB775A2DBD}"/>
    <cellStyle name="Normal 4 4 2 5 2 4 4" xfId="16310" xr:uid="{93CB943F-59C8-4B58-918F-90E1DE94324D}"/>
    <cellStyle name="Normal 4 4 2 5 2 5" xfId="7205" xr:uid="{9D5E1665-7500-4D65-BAF7-F2C7F299B436}"/>
    <cellStyle name="Normal 4 4 2 5 2 5 2" xfId="16313" xr:uid="{5F557472-0228-4220-B904-25AA8DA842D6}"/>
    <cellStyle name="Normal 4 4 2 5 2 6" xfId="7206" xr:uid="{AC439B7E-FE3D-402E-8FBF-C23110B10C12}"/>
    <cellStyle name="Normal 4 4 2 5 2 6 2" xfId="16314" xr:uid="{C8F3EBAE-B125-48C4-A247-9B52352A5E66}"/>
    <cellStyle name="Normal 4 4 2 5 2 7" xfId="7207" xr:uid="{92B313EC-EDB2-4C05-992C-FD86D3457052}"/>
    <cellStyle name="Normal 4 4 2 5 2 7 2" xfId="16315" xr:uid="{C6434224-E319-4ABC-8DFB-6F4A6E83EB91}"/>
    <cellStyle name="Normal 4 4 2 5 2 8" xfId="16295" xr:uid="{5702E132-B3EA-4A0C-BBE3-EE198A019BBA}"/>
    <cellStyle name="Normal 4 4 2 5 3" xfId="7208" xr:uid="{0D8BF686-2671-4DBB-9EB1-8A9721153F5A}"/>
    <cellStyle name="Normal 4 4 2 5 3 2" xfId="7209" xr:uid="{6E418332-1868-4A98-8522-6B8B2A216C5B}"/>
    <cellStyle name="Normal 4 4 2 5 3 2 2" xfId="7210" xr:uid="{FD5E244D-AB4D-4A49-BD8E-322CE7F1928D}"/>
    <cellStyle name="Normal 4 4 2 5 3 2 2 2" xfId="16318" xr:uid="{3678FB8F-2D59-405C-B8DB-538683816C50}"/>
    <cellStyle name="Normal 4 4 2 5 3 2 3" xfId="7211" xr:uid="{58753BF0-F153-4991-88D8-E9C39E4C5B0B}"/>
    <cellStyle name="Normal 4 4 2 5 3 2 3 2" xfId="16319" xr:uid="{17DF885E-FD39-436B-8EE7-9C11BBD46553}"/>
    <cellStyle name="Normal 4 4 2 5 3 2 4" xfId="16317" xr:uid="{A4496885-B80E-4102-B064-F1C32592F9A3}"/>
    <cellStyle name="Normal 4 4 2 5 3 3" xfId="7212" xr:uid="{98F4F2FF-3F6C-48D3-8D09-BF24FC4C5B34}"/>
    <cellStyle name="Normal 4 4 2 5 3 3 2" xfId="16320" xr:uid="{AF6F3948-24B6-496B-8D8A-1A413C2A001D}"/>
    <cellStyle name="Normal 4 4 2 5 3 4" xfId="7213" xr:uid="{4494E69F-BF5A-4EE3-80DC-F9B84697B60D}"/>
    <cellStyle name="Normal 4 4 2 5 3 4 2" xfId="16321" xr:uid="{781DF014-DF6F-46BB-805E-30C17B631C64}"/>
    <cellStyle name="Normal 4 4 2 5 3 5" xfId="7214" xr:uid="{E36E105A-DDC0-4010-B528-7EBC28962CEF}"/>
    <cellStyle name="Normal 4 4 2 5 3 5 2" xfId="16322" xr:uid="{A63B4FED-34C9-4636-A42D-EDBD8C895267}"/>
    <cellStyle name="Normal 4 4 2 5 3 6" xfId="16316" xr:uid="{8400FE13-A943-4D0C-A2E0-8F34B6A438E0}"/>
    <cellStyle name="Normal 4 4 2 5 4" xfId="7215" xr:uid="{006FEEBF-2850-41FB-B1BF-1993858117FB}"/>
    <cellStyle name="Normal 4 4 2 5 4 2" xfId="7216" xr:uid="{174AEF28-6FC2-43FE-B27A-9C5F04B232B9}"/>
    <cellStyle name="Normal 4 4 2 5 4 2 2" xfId="7217" xr:uid="{ABF99139-014C-46CA-80FC-5396A562F6CF}"/>
    <cellStyle name="Normal 4 4 2 5 4 2 2 2" xfId="16325" xr:uid="{77BD7EF7-BC1C-4DA7-ACD5-5C23F29388C7}"/>
    <cellStyle name="Normal 4 4 2 5 4 2 3" xfId="7218" xr:uid="{4499D338-F788-4508-A2C5-12A255D209C8}"/>
    <cellStyle name="Normal 4 4 2 5 4 2 3 2" xfId="16326" xr:uid="{125A9456-FAF4-42AB-A9F8-695BBD734B61}"/>
    <cellStyle name="Normal 4 4 2 5 4 2 4" xfId="16324" xr:uid="{2179A883-F383-441D-9F5B-B87F59C832D1}"/>
    <cellStyle name="Normal 4 4 2 5 4 3" xfId="7219" xr:uid="{5AB7B196-9E0F-4476-9DEE-5EA45DC3E4BB}"/>
    <cellStyle name="Normal 4 4 2 5 4 3 2" xfId="16327" xr:uid="{77C06A1E-F404-4C98-B621-EEEA97BD23D0}"/>
    <cellStyle name="Normal 4 4 2 5 4 4" xfId="7220" xr:uid="{7C35AF5E-C6F1-498D-B76F-32ED8D62211B}"/>
    <cellStyle name="Normal 4 4 2 5 4 4 2" xfId="16328" xr:uid="{7E000F73-4469-4997-8822-85555D084EFE}"/>
    <cellStyle name="Normal 4 4 2 5 4 5" xfId="7221" xr:uid="{F80177BA-C1A4-4A66-9BC8-EEFBC995AA7E}"/>
    <cellStyle name="Normal 4 4 2 5 4 5 2" xfId="16329" xr:uid="{E9CBD2C8-A33E-4698-AE65-AEF1C952E37D}"/>
    <cellStyle name="Normal 4 4 2 5 4 6" xfId="16323" xr:uid="{B4271B5D-5D7C-49C7-ABBB-B43157364171}"/>
    <cellStyle name="Normal 4 4 2 5 5" xfId="7222" xr:uid="{2FF7F962-F0A1-4056-94B5-AAF0EA67C26E}"/>
    <cellStyle name="Normal 4 4 2 5 5 2" xfId="7223" xr:uid="{E943821A-9532-4BD9-9515-1AECE99860BD}"/>
    <cellStyle name="Normal 4 4 2 5 5 2 2" xfId="16331" xr:uid="{7208E9F9-48B7-492F-8EA0-74ED60974318}"/>
    <cellStyle name="Normal 4 4 2 5 5 3" xfId="7224" xr:uid="{1814A935-3A4D-4B06-A6FD-24281D269BAB}"/>
    <cellStyle name="Normal 4 4 2 5 5 3 2" xfId="16332" xr:uid="{F037BBE4-2C4A-46B6-A5B9-3795D29CCA8A}"/>
    <cellStyle name="Normal 4 4 2 5 5 4" xfId="16330" xr:uid="{F51F2504-C301-437C-8DDA-CC601B4BB9C9}"/>
    <cellStyle name="Normal 4 4 2 5 6" xfId="7225" xr:uid="{797A3810-BA95-4398-BD50-B4D19F2328C5}"/>
    <cellStyle name="Normal 4 4 2 5 6 2" xfId="16333" xr:uid="{7836C1B4-B505-4B48-99F7-5DD043C59475}"/>
    <cellStyle name="Normal 4 4 2 5 7" xfId="7226" xr:uid="{626DCA53-6237-4BC3-9E76-E5829B5BB002}"/>
    <cellStyle name="Normal 4 4 2 5 7 2" xfId="16334" xr:uid="{8ED8A0E4-6DFC-43F9-8751-5E620D6284CB}"/>
    <cellStyle name="Normal 4 4 2 5 8" xfId="7227" xr:uid="{FDE87E9F-FE28-4D82-9D6F-B8FEFB50A6DA}"/>
    <cellStyle name="Normal 4 4 2 5 8 2" xfId="16335" xr:uid="{B91C9CD5-F60B-4DD4-973F-3EF823392BD9}"/>
    <cellStyle name="Normal 4 4 2 5 9" xfId="16294" xr:uid="{27882F40-1CE2-474F-A9D4-BDD6B694E9F1}"/>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2 2" xfId="16339" xr:uid="{640C303A-4ED0-4297-A68A-5A7514D98472}"/>
    <cellStyle name="Normal 4 4 2 6 2 2 3" xfId="7232" xr:uid="{526AB547-5E04-4E7D-A0C5-88848A79FF05}"/>
    <cellStyle name="Normal 4 4 2 6 2 2 3 2" xfId="16340" xr:uid="{E20EE61B-F3DC-4282-9C26-0CC893B3E90D}"/>
    <cellStyle name="Normal 4 4 2 6 2 2 4" xfId="16338" xr:uid="{A8379FBA-6F34-4E3F-B289-EA466ED399B6}"/>
    <cellStyle name="Normal 4 4 2 6 2 3" xfId="7233" xr:uid="{6E12B113-B532-4E1C-9A1B-6436DB962027}"/>
    <cellStyle name="Normal 4 4 2 6 2 3 2" xfId="16341" xr:uid="{BEE26AC4-DF2B-4AB1-ABCE-B559C5EBC016}"/>
    <cellStyle name="Normal 4 4 2 6 2 4" xfId="7234" xr:uid="{DB44449B-7AED-4F4B-8E4E-4C85585955E4}"/>
    <cellStyle name="Normal 4 4 2 6 2 4 2" xfId="16342" xr:uid="{7D37DF4B-AA1D-4C60-81D1-28375B590CF4}"/>
    <cellStyle name="Normal 4 4 2 6 2 5" xfId="7235" xr:uid="{B0D4C668-1E33-4AC4-AF69-30AA1B4D61FA}"/>
    <cellStyle name="Normal 4 4 2 6 2 5 2" xfId="16343" xr:uid="{FBE09292-8AED-4C89-96E2-57662A9DB9AE}"/>
    <cellStyle name="Normal 4 4 2 6 2 6" xfId="16337" xr:uid="{0B12A5E2-6037-4FD8-8493-ACF941AE7457}"/>
    <cellStyle name="Normal 4 4 2 6 3" xfId="7236" xr:uid="{F92DABFE-F2F3-4035-AF36-5B26827AF67C}"/>
    <cellStyle name="Normal 4 4 2 6 3 2" xfId="7237" xr:uid="{193A9411-B4B2-4171-A467-76B017A7F7B0}"/>
    <cellStyle name="Normal 4 4 2 6 3 2 2" xfId="7238" xr:uid="{4F9FC938-C687-4FF9-B8CC-B7436679C195}"/>
    <cellStyle name="Normal 4 4 2 6 3 2 2 2" xfId="16346" xr:uid="{460473E4-5685-4712-99B2-F4D0301DF440}"/>
    <cellStyle name="Normal 4 4 2 6 3 2 3" xfId="7239" xr:uid="{15160038-AD24-4D0E-8D21-AA8FD1EBD5CE}"/>
    <cellStyle name="Normal 4 4 2 6 3 2 3 2" xfId="16347" xr:uid="{82D6A6A8-5A6F-4988-8B7F-0B6996EDE745}"/>
    <cellStyle name="Normal 4 4 2 6 3 2 4" xfId="16345" xr:uid="{63AFBBDE-CB0F-4381-879A-5056E5781051}"/>
    <cellStyle name="Normal 4 4 2 6 3 3" xfId="7240" xr:uid="{2C69D321-F982-40CE-A24E-AA06AE7079A5}"/>
    <cellStyle name="Normal 4 4 2 6 3 3 2" xfId="16348" xr:uid="{8572209E-EF39-4B61-A33A-9953AC7B25EC}"/>
    <cellStyle name="Normal 4 4 2 6 3 4" xfId="7241" xr:uid="{0CB457F7-708B-4AD4-B9A4-DF70821E2926}"/>
    <cellStyle name="Normal 4 4 2 6 3 4 2" xfId="16349" xr:uid="{2D565821-A9AA-4CC0-B1A9-B57B21CCBF43}"/>
    <cellStyle name="Normal 4 4 2 6 3 5" xfId="7242" xr:uid="{7B740D63-8853-46CA-8106-A73F1533AE7E}"/>
    <cellStyle name="Normal 4 4 2 6 3 5 2" xfId="16350" xr:uid="{555ECD66-B37D-4332-AFAB-0149E4384CA1}"/>
    <cellStyle name="Normal 4 4 2 6 3 6" xfId="16344" xr:uid="{46BE6FD1-64D1-4381-A4EC-678F86614420}"/>
    <cellStyle name="Normal 4 4 2 6 4" xfId="7243" xr:uid="{D5BD17C5-1304-4A05-834F-567CECDB8B61}"/>
    <cellStyle name="Normal 4 4 2 6 4 2" xfId="7244" xr:uid="{1C897CB6-8729-4919-BCAB-899B6880C5D8}"/>
    <cellStyle name="Normal 4 4 2 6 4 2 2" xfId="16352" xr:uid="{328517F1-A39D-4D1F-8560-BE054194BA59}"/>
    <cellStyle name="Normal 4 4 2 6 4 3" xfId="7245" xr:uid="{20B3562F-04A8-44E5-8C58-F2A080F895F3}"/>
    <cellStyle name="Normal 4 4 2 6 4 3 2" xfId="16353" xr:uid="{CE3EF515-508E-44B8-AA5E-94EED7F11741}"/>
    <cellStyle name="Normal 4 4 2 6 4 4" xfId="16351" xr:uid="{7EEC3E6F-11B8-4AA1-A9E1-0397E1165B70}"/>
    <cellStyle name="Normal 4 4 2 6 5" xfId="7246" xr:uid="{0E85EFB2-50D5-45B4-88D7-DBA6A9DA0880}"/>
    <cellStyle name="Normal 4 4 2 6 5 2" xfId="16354" xr:uid="{82A75679-4FF8-4CBB-974D-6781738ABC1B}"/>
    <cellStyle name="Normal 4 4 2 6 6" xfId="7247" xr:uid="{AAA0ADA4-1DB5-4EA2-8435-79DBA147E675}"/>
    <cellStyle name="Normal 4 4 2 6 6 2" xfId="16355" xr:uid="{8EE57448-EE8A-488E-82F4-36457DF9C1F0}"/>
    <cellStyle name="Normal 4 4 2 6 7" xfId="7248" xr:uid="{FF8811F0-0105-4540-A612-DE297A58FA8E}"/>
    <cellStyle name="Normal 4 4 2 6 7 2" xfId="16356" xr:uid="{6AFF3F74-1449-49CE-A549-84AD264C02D0}"/>
    <cellStyle name="Normal 4 4 2 6 8" xfId="16336" xr:uid="{ADA64EF7-A9C4-4428-809D-9565C0B78E79}"/>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2 2" xfId="16360" xr:uid="{B111E728-79BE-48CF-9B66-77D4C83F52A2}"/>
    <cellStyle name="Normal 4 4 2 7 2 2 3" xfId="7253" xr:uid="{FDE9260B-A025-47F9-8B05-461CB83A6B99}"/>
    <cellStyle name="Normal 4 4 2 7 2 2 3 2" xfId="16361" xr:uid="{A016ED0A-1C03-49BE-9DEE-B13363B5E798}"/>
    <cellStyle name="Normal 4 4 2 7 2 2 4" xfId="16359" xr:uid="{B0DACDE3-F3AF-4C4C-811F-B7B160255472}"/>
    <cellStyle name="Normal 4 4 2 7 2 3" xfId="7254" xr:uid="{D86CAC80-70BD-45AF-AB91-AC0FCE80A7E5}"/>
    <cellStyle name="Normal 4 4 2 7 2 3 2" xfId="16362" xr:uid="{6E3066E5-4750-4A66-A9F1-132D939944C6}"/>
    <cellStyle name="Normal 4 4 2 7 2 4" xfId="7255" xr:uid="{C51233C5-122E-407B-B5FD-0A4A056AC750}"/>
    <cellStyle name="Normal 4 4 2 7 2 4 2" xfId="16363" xr:uid="{031D6AF9-954E-4CDA-AD4B-4479009A0E2F}"/>
    <cellStyle name="Normal 4 4 2 7 2 5" xfId="7256" xr:uid="{399B6AF3-9812-438C-96A1-17CF94364863}"/>
    <cellStyle name="Normal 4 4 2 7 2 5 2" xfId="16364" xr:uid="{A703844B-4E3F-4388-B5FF-E0ADE555DFEF}"/>
    <cellStyle name="Normal 4 4 2 7 2 6" xfId="16358" xr:uid="{FD202EE2-DF71-48FE-8AD4-EAEA6068F1CE}"/>
    <cellStyle name="Normal 4 4 2 7 3" xfId="7257" xr:uid="{468D901D-F655-4A7E-87B5-5382E3736ED8}"/>
    <cellStyle name="Normal 4 4 2 7 3 2" xfId="7258" xr:uid="{145DE9AA-58D2-4B29-8944-727F9CA846F3}"/>
    <cellStyle name="Normal 4 4 2 7 3 2 2" xfId="7259" xr:uid="{70BE2415-648D-4245-BFED-701AB3ECB849}"/>
    <cellStyle name="Normal 4 4 2 7 3 2 2 2" xfId="16367" xr:uid="{E7C006DC-2F73-4F21-99FF-418EBFD96372}"/>
    <cellStyle name="Normal 4 4 2 7 3 2 3" xfId="7260" xr:uid="{CAA9A6D1-804D-4845-B061-3F7C5FF6205E}"/>
    <cellStyle name="Normal 4 4 2 7 3 2 3 2" xfId="16368" xr:uid="{CFBE3112-AE2B-4787-BB38-5F9626319525}"/>
    <cellStyle name="Normal 4 4 2 7 3 2 4" xfId="16366" xr:uid="{FC3F61AC-D17B-45AB-B095-17FBBE194871}"/>
    <cellStyle name="Normal 4 4 2 7 3 3" xfId="7261" xr:uid="{6E501EE8-8D5D-4CE5-A9D4-C55AB24965F6}"/>
    <cellStyle name="Normal 4 4 2 7 3 3 2" xfId="16369" xr:uid="{6F2CAAE6-A367-4A37-8BE6-F40F6DC63A99}"/>
    <cellStyle name="Normal 4 4 2 7 3 4" xfId="7262" xr:uid="{F248C38F-A75D-49C8-A08B-4AF691A83C7D}"/>
    <cellStyle name="Normal 4 4 2 7 3 4 2" xfId="16370" xr:uid="{B04DD53A-2F39-468C-B1A2-C0DADA5DB0F2}"/>
    <cellStyle name="Normal 4 4 2 7 3 5" xfId="7263" xr:uid="{B92CBE9F-956A-408E-BBFB-D65E6DA965CC}"/>
    <cellStyle name="Normal 4 4 2 7 3 5 2" xfId="16371" xr:uid="{7149EA1A-4141-4FB8-A068-94C600F9862C}"/>
    <cellStyle name="Normal 4 4 2 7 3 6" xfId="16365" xr:uid="{C8276EF7-3B7B-4D87-B82D-EA29DEDCD279}"/>
    <cellStyle name="Normal 4 4 2 7 4" xfId="7264" xr:uid="{E70FEA03-AA90-46D0-B318-4B608BF35571}"/>
    <cellStyle name="Normal 4 4 2 7 4 2" xfId="7265" xr:uid="{CE2175C4-7ED7-474E-8BAF-81CDCA83EE05}"/>
    <cellStyle name="Normal 4 4 2 7 4 2 2" xfId="16373" xr:uid="{AB7B8CB9-3311-43BA-9FAF-338334078419}"/>
    <cellStyle name="Normal 4 4 2 7 4 3" xfId="7266" xr:uid="{5ED1C5CB-816D-4587-A6A7-3564D2D2D7B2}"/>
    <cellStyle name="Normal 4 4 2 7 4 3 2" xfId="16374" xr:uid="{86767486-FB3C-45B6-A8C6-D07EA7923B40}"/>
    <cellStyle name="Normal 4 4 2 7 4 4" xfId="16372" xr:uid="{F0DC4B5F-1CCA-421A-9444-570410A3D7F6}"/>
    <cellStyle name="Normal 4 4 2 7 5" xfId="7267" xr:uid="{16EDC3A4-8CD7-4D2D-9ECE-82F4860E45BA}"/>
    <cellStyle name="Normal 4 4 2 7 5 2" xfId="16375" xr:uid="{2E2D4F15-AC18-4968-B152-4ECF725DD388}"/>
    <cellStyle name="Normal 4 4 2 7 6" xfId="7268" xr:uid="{7F5EE001-A172-4574-9FDA-408E41633E52}"/>
    <cellStyle name="Normal 4 4 2 7 6 2" xfId="16376" xr:uid="{87EC13BA-36A7-49A4-ACF4-3BE98F29C8C9}"/>
    <cellStyle name="Normal 4 4 2 7 7" xfId="7269" xr:uid="{076D8DDE-A193-470D-B0AC-7210DACD2C28}"/>
    <cellStyle name="Normal 4 4 2 7 7 2" xfId="16377" xr:uid="{61FDE4D2-0E58-498F-8224-B19F76DE46F2}"/>
    <cellStyle name="Normal 4 4 2 7 8" xfId="16357" xr:uid="{FF14B749-C6C0-4F51-8DED-72B0B4CB4F09}"/>
    <cellStyle name="Normal 4 4 2 8" xfId="7270" xr:uid="{60C77F72-C8F2-47A9-827E-11F2703604F2}"/>
    <cellStyle name="Normal 4 4 2 8 2" xfId="7271" xr:uid="{45E83A53-0E7D-4BE2-A687-35BBCEA23E82}"/>
    <cellStyle name="Normal 4 4 2 8 2 2" xfId="7272" xr:uid="{049F7549-63B7-49E2-94EE-DE0777C047E7}"/>
    <cellStyle name="Normal 4 4 2 8 2 2 2" xfId="16380" xr:uid="{9BF04894-7E9C-482B-BD2F-C35DF613F8BC}"/>
    <cellStyle name="Normal 4 4 2 8 2 3" xfId="7273" xr:uid="{EC6C8FBA-9A08-42B2-9367-A152AC16C973}"/>
    <cellStyle name="Normal 4 4 2 8 2 3 2" xfId="16381" xr:uid="{A230A011-621C-4F30-9F9D-FC9D6C8F5883}"/>
    <cellStyle name="Normal 4 4 2 8 2 4" xfId="16379" xr:uid="{E3F5014E-0972-4842-83D8-95BE2CF68369}"/>
    <cellStyle name="Normal 4 4 2 8 3" xfId="7274" xr:uid="{4DCC0EBF-D652-4D1D-A8B4-B10C2F470E60}"/>
    <cellStyle name="Normal 4 4 2 8 3 2" xfId="16382" xr:uid="{4374C62C-2167-413F-AA99-7DED4E5A4791}"/>
    <cellStyle name="Normal 4 4 2 8 4" xfId="7275" xr:uid="{C01008EC-A434-469B-85CE-E7A381118166}"/>
    <cellStyle name="Normal 4 4 2 8 4 2" xfId="16383" xr:uid="{8AD4972B-AA6B-47A6-B851-C928D62CDDCE}"/>
    <cellStyle name="Normal 4 4 2 8 5" xfId="7276" xr:uid="{DE48D688-1D12-4091-ABAC-C9090F089654}"/>
    <cellStyle name="Normal 4 4 2 8 5 2" xfId="16384" xr:uid="{FB94C52F-7014-4427-8C2D-97A62D308E73}"/>
    <cellStyle name="Normal 4 4 2 8 6" xfId="16378" xr:uid="{0879FB1C-D219-4FB1-B737-B712DD8A8533}"/>
    <cellStyle name="Normal 4 4 2 9" xfId="7277" xr:uid="{540E1C35-8E08-4C69-B417-617C34059593}"/>
    <cellStyle name="Normal 4 4 2 9 2" xfId="7278" xr:uid="{CF74F788-E990-4636-AAE3-05FAD1F865D4}"/>
    <cellStyle name="Normal 4 4 2 9 2 2" xfId="7279" xr:uid="{510AB80A-701B-4455-ACD3-E3FE2C7BF9C7}"/>
    <cellStyle name="Normal 4 4 2 9 2 2 2" xfId="16387" xr:uid="{02080F21-C886-4503-8F6D-641870C596E4}"/>
    <cellStyle name="Normal 4 4 2 9 2 3" xfId="7280" xr:uid="{7E3E5A76-B5B0-48C8-8563-508864C8124D}"/>
    <cellStyle name="Normal 4 4 2 9 2 3 2" xfId="16388" xr:uid="{AFF17419-AA70-4FDE-A302-D890864B3CA7}"/>
    <cellStyle name="Normal 4 4 2 9 2 4" xfId="16386" xr:uid="{60067CA2-4F24-4E75-98B2-580725A5FB01}"/>
    <cellStyle name="Normal 4 4 2 9 3" xfId="7281" xr:uid="{60428EA2-699E-4C0A-95A5-D8CE24500D4A}"/>
    <cellStyle name="Normal 4 4 2 9 3 2" xfId="16389" xr:uid="{796D2A36-9F06-4D0B-938E-80595DAFF90F}"/>
    <cellStyle name="Normal 4 4 2 9 4" xfId="7282" xr:uid="{A208101F-8034-4A78-9FC0-0216689DFFC1}"/>
    <cellStyle name="Normal 4 4 2 9 4 2" xfId="16390" xr:uid="{836DEEEA-ADEF-4F56-B0DD-762A8BDF3972}"/>
    <cellStyle name="Normal 4 4 2 9 5" xfId="7283" xr:uid="{33B2786A-B284-477A-94C3-065683945CC0}"/>
    <cellStyle name="Normal 4 4 2 9 5 2" xfId="16391" xr:uid="{9829907E-C3E9-4367-B834-A8E314438DCA}"/>
    <cellStyle name="Normal 4 4 2 9 6" xfId="16385" xr:uid="{D50B449A-C800-4100-8B9E-E790C8A5F9E9}"/>
    <cellStyle name="Normal 4 4 3" xfId="7284" xr:uid="{CE82A19C-D9CA-489F-A8B1-BA311BD9BCA5}"/>
    <cellStyle name="Normal 4 4 3 10" xfId="16392" xr:uid="{4EB77FC5-03BA-4DFC-A061-79200991B4BE}"/>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2 2" xfId="16397" xr:uid="{B2469E5C-6456-4517-B4A7-FEBC2EC95DC5}"/>
    <cellStyle name="Normal 4 4 3 2 2 2 2 3" xfId="7290" xr:uid="{9022696B-18DE-4494-86A6-212332CE3953}"/>
    <cellStyle name="Normal 4 4 3 2 2 2 2 3 2" xfId="16398" xr:uid="{F8BA76C8-9F95-44BC-9A54-83E09DB6B473}"/>
    <cellStyle name="Normal 4 4 3 2 2 2 2 4" xfId="16396" xr:uid="{A15D6B87-1A73-4A78-89C6-B4175C68155D}"/>
    <cellStyle name="Normal 4 4 3 2 2 2 3" xfId="7291" xr:uid="{0C86F064-13D4-440E-9ABA-8517DC03FBDD}"/>
    <cellStyle name="Normal 4 4 3 2 2 2 3 2" xfId="16399" xr:uid="{FE02D5BE-52C1-456E-84DA-D20A6E06C418}"/>
    <cellStyle name="Normal 4 4 3 2 2 2 4" xfId="7292" xr:uid="{565DA2E9-4056-4F34-BBFB-BB536170377C}"/>
    <cellStyle name="Normal 4 4 3 2 2 2 4 2" xfId="16400" xr:uid="{9C21250C-AB56-4887-9134-246C2BD3B8EA}"/>
    <cellStyle name="Normal 4 4 3 2 2 2 5" xfId="7293" xr:uid="{6C52BBDD-CDFE-45FB-90A5-8DB0D35136B0}"/>
    <cellStyle name="Normal 4 4 3 2 2 2 5 2" xfId="16401" xr:uid="{D51546EC-E570-4706-B8A2-B48B8E351A47}"/>
    <cellStyle name="Normal 4 4 3 2 2 2 6" xfId="16395" xr:uid="{CDC847D7-13C2-4D5C-86A2-AA0A808487B6}"/>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2 2" xfId="16404" xr:uid="{B2B97FB3-251A-45A5-AA88-0A22585C41CE}"/>
    <cellStyle name="Normal 4 4 3 2 2 3 2 3" xfId="7297" xr:uid="{43BB67FA-D1E1-4364-85D8-46519DA27911}"/>
    <cellStyle name="Normal 4 4 3 2 2 3 2 3 2" xfId="16405" xr:uid="{C8F10DBF-4086-4BA7-8EFC-DFAA67F1401F}"/>
    <cellStyle name="Normal 4 4 3 2 2 3 2 4" xfId="16403" xr:uid="{F78AB3B2-E315-4BF2-B59F-A4D52EC3912B}"/>
    <cellStyle name="Normal 4 4 3 2 2 3 3" xfId="7298" xr:uid="{C599BA95-0616-4086-BFB7-683AED965611}"/>
    <cellStyle name="Normal 4 4 3 2 2 3 3 2" xfId="16406" xr:uid="{2E21489C-7AB1-4DC3-AD7F-1CA9FB1F9482}"/>
    <cellStyle name="Normal 4 4 3 2 2 3 4" xfId="7299" xr:uid="{7567CC3C-4AF0-4544-B056-EC9AB1026056}"/>
    <cellStyle name="Normal 4 4 3 2 2 3 4 2" xfId="16407" xr:uid="{15AFEE87-FD24-4948-AEB2-68357D340B9C}"/>
    <cellStyle name="Normal 4 4 3 2 2 3 5" xfId="7300" xr:uid="{8A098CB3-AB81-4EA7-AD71-07139F80EEF7}"/>
    <cellStyle name="Normal 4 4 3 2 2 3 5 2" xfId="16408" xr:uid="{CC3D6871-D981-4012-BC7C-A4EFA8C75805}"/>
    <cellStyle name="Normal 4 4 3 2 2 3 6" xfId="16402" xr:uid="{93BB2CBE-0408-4CFF-B5D3-4571E499D438}"/>
    <cellStyle name="Normal 4 4 3 2 2 4" xfId="7301" xr:uid="{E0ADD29C-D33E-498C-B632-DE3A8C36D3A7}"/>
    <cellStyle name="Normal 4 4 3 2 2 4 2" xfId="7302" xr:uid="{A9270287-DCB1-4E92-BA02-B29087D2B4BD}"/>
    <cellStyle name="Normal 4 4 3 2 2 4 2 2" xfId="16410" xr:uid="{9FEEBF0C-3A7B-46C6-BB3A-514F54A9ADD6}"/>
    <cellStyle name="Normal 4 4 3 2 2 4 3" xfId="7303" xr:uid="{F959E686-8346-40C5-A415-A671C64C9087}"/>
    <cellStyle name="Normal 4 4 3 2 2 4 3 2" xfId="16411" xr:uid="{3E39C996-7AF3-43B0-8AFF-8056CA83D920}"/>
    <cellStyle name="Normal 4 4 3 2 2 4 4" xfId="16409" xr:uid="{ACAE3200-4F7E-45AC-B695-8128FEA35D40}"/>
    <cellStyle name="Normal 4 4 3 2 2 5" xfId="7304" xr:uid="{7AE2FA3E-E19C-4DD9-A175-B19000B8BDBA}"/>
    <cellStyle name="Normal 4 4 3 2 2 5 2" xfId="16412" xr:uid="{B9208C85-128F-4F24-9F08-9ED63CBA2B39}"/>
    <cellStyle name="Normal 4 4 3 2 2 6" xfId="7305" xr:uid="{B9044B4D-4C05-4F3E-BA5D-787414920262}"/>
    <cellStyle name="Normal 4 4 3 2 2 6 2" xfId="16413" xr:uid="{34213FEC-E316-42D5-9772-FF15A71EAE19}"/>
    <cellStyle name="Normal 4 4 3 2 2 7" xfId="7306" xr:uid="{736B99C3-3D0C-4FB3-91B1-8B5D340AEA95}"/>
    <cellStyle name="Normal 4 4 3 2 2 7 2" xfId="16414" xr:uid="{57EF2399-1ADF-4AB2-BEC8-A41634FBA69D}"/>
    <cellStyle name="Normal 4 4 3 2 2 8" xfId="16394" xr:uid="{5ECAAF28-A600-4806-A855-2DF9E4D3CCFC}"/>
    <cellStyle name="Normal 4 4 3 2 3" xfId="7307" xr:uid="{4EE07E8B-4E9A-4A7A-8C04-7072644A46EB}"/>
    <cellStyle name="Normal 4 4 3 2 3 2" xfId="7308" xr:uid="{4E9BD3CB-0E3D-4E8C-B4EE-855103976FE6}"/>
    <cellStyle name="Normal 4 4 3 2 3 2 2" xfId="7309" xr:uid="{5E3936EF-77FE-4141-A9D5-A64C7CA9DEA2}"/>
    <cellStyle name="Normal 4 4 3 2 3 2 2 2" xfId="16417" xr:uid="{AEC19CFE-626C-41A5-9417-9ED6BB1EBB08}"/>
    <cellStyle name="Normal 4 4 3 2 3 2 3" xfId="7310" xr:uid="{D7B7B626-7BF4-44EC-94F1-B0F8338FC592}"/>
    <cellStyle name="Normal 4 4 3 2 3 2 3 2" xfId="16418" xr:uid="{DFE33415-CE00-4CF6-B7C1-3CA53F46E559}"/>
    <cellStyle name="Normal 4 4 3 2 3 2 4" xfId="16416" xr:uid="{F6719611-8312-48CE-AB3C-E2F7F0A74D25}"/>
    <cellStyle name="Normal 4 4 3 2 3 3" xfId="7311" xr:uid="{2C24FFFE-423D-449E-9B91-954EEB476328}"/>
    <cellStyle name="Normal 4 4 3 2 3 3 2" xfId="16419" xr:uid="{37129CA2-ABDE-4A75-97A4-6F3AAABD4813}"/>
    <cellStyle name="Normal 4 4 3 2 3 4" xfId="7312" xr:uid="{13FF8F3C-2F2A-451F-898D-35A540F98A24}"/>
    <cellStyle name="Normal 4 4 3 2 3 4 2" xfId="16420" xr:uid="{0E2AA889-8299-46AB-8B55-6718CAB8FDC1}"/>
    <cellStyle name="Normal 4 4 3 2 3 5" xfId="7313" xr:uid="{BCA263F5-2611-4137-B449-F3901F26DF1A}"/>
    <cellStyle name="Normal 4 4 3 2 3 5 2" xfId="16421" xr:uid="{69D6A460-3952-4117-81F6-4FDE8CF4F5D5}"/>
    <cellStyle name="Normal 4 4 3 2 3 6" xfId="16415" xr:uid="{19D7351F-912C-4540-B955-12B24EE83076}"/>
    <cellStyle name="Normal 4 4 3 2 4" xfId="7314" xr:uid="{022ACB1F-C216-49FD-A21C-80D8B937A30D}"/>
    <cellStyle name="Normal 4 4 3 2 4 2" xfId="7315" xr:uid="{F56534AC-C79C-4012-88CD-1932702AE55D}"/>
    <cellStyle name="Normal 4 4 3 2 4 2 2" xfId="7316" xr:uid="{5D7C7E3C-A6AA-4D9B-AB44-AD4B27A4A92D}"/>
    <cellStyle name="Normal 4 4 3 2 4 2 2 2" xfId="16424" xr:uid="{2504F79E-5943-4102-AC7D-A2EC664CD0CC}"/>
    <cellStyle name="Normal 4 4 3 2 4 2 3" xfId="7317" xr:uid="{5FAE315B-C2BF-40A1-BD8A-DE8C8A01D55E}"/>
    <cellStyle name="Normal 4 4 3 2 4 2 3 2" xfId="16425" xr:uid="{3A279293-B9BC-454A-8448-FB729720224A}"/>
    <cellStyle name="Normal 4 4 3 2 4 2 4" xfId="16423" xr:uid="{95A760C4-59E8-4772-A882-7A60242C2CBB}"/>
    <cellStyle name="Normal 4 4 3 2 4 3" xfId="7318" xr:uid="{01BBCAAE-F1F2-46B0-A6D9-BED6A6BEE5C7}"/>
    <cellStyle name="Normal 4 4 3 2 4 3 2" xfId="16426" xr:uid="{3C968413-0A0D-42D9-B16E-9910B6E3F6EF}"/>
    <cellStyle name="Normal 4 4 3 2 4 4" xfId="7319" xr:uid="{B3EC4F61-C3ED-40D7-A738-B42D92BDD793}"/>
    <cellStyle name="Normal 4 4 3 2 4 4 2" xfId="16427" xr:uid="{1D58D6BE-2B76-4030-AEAF-6D9260276FC5}"/>
    <cellStyle name="Normal 4 4 3 2 4 5" xfId="7320" xr:uid="{863F38F3-FC56-4D05-A239-98E2A3E5F4EB}"/>
    <cellStyle name="Normal 4 4 3 2 4 5 2" xfId="16428" xr:uid="{73913CC3-8C9C-42A4-97F9-3FB9A29E3115}"/>
    <cellStyle name="Normal 4 4 3 2 4 6" xfId="16422" xr:uid="{BBA33898-CDCB-46FB-A385-DCFDAC696FBA}"/>
    <cellStyle name="Normal 4 4 3 2 5" xfId="7321" xr:uid="{94A315E7-66F1-4F3B-8B3A-C27E7CA44AEE}"/>
    <cellStyle name="Normal 4 4 3 2 5 2" xfId="7322" xr:uid="{A693C12B-4D82-4C29-89D2-548A890092A3}"/>
    <cellStyle name="Normal 4 4 3 2 5 2 2" xfId="16430" xr:uid="{893604CC-5CDF-4529-A6B6-0401AEBBAF03}"/>
    <cellStyle name="Normal 4 4 3 2 5 3" xfId="7323" xr:uid="{D80BF10F-163B-400C-9A96-EC9D6CB26EFF}"/>
    <cellStyle name="Normal 4 4 3 2 5 3 2" xfId="16431" xr:uid="{2E2A38D3-DC2C-426B-BF37-A4C26E9E1AC1}"/>
    <cellStyle name="Normal 4 4 3 2 5 4" xfId="16429" xr:uid="{D80CE516-C6C2-4040-824D-728D606E6D70}"/>
    <cellStyle name="Normal 4 4 3 2 6" xfId="7324" xr:uid="{2E7B8211-DBA7-4295-B0CC-18AA54FEFDD7}"/>
    <cellStyle name="Normal 4 4 3 2 6 2" xfId="16432" xr:uid="{213088EC-E671-43C1-8A2D-310513163643}"/>
    <cellStyle name="Normal 4 4 3 2 7" xfId="7325" xr:uid="{22442FAE-C39B-4136-BD58-1DC893A4EA22}"/>
    <cellStyle name="Normal 4 4 3 2 7 2" xfId="16433" xr:uid="{3D61BD2B-3F01-4C13-9D41-3CFC33963B64}"/>
    <cellStyle name="Normal 4 4 3 2 8" xfId="7326" xr:uid="{412B8030-D54F-44DD-808F-050D5249232F}"/>
    <cellStyle name="Normal 4 4 3 2 8 2" xfId="16434" xr:uid="{AAE2826C-5A0F-43F0-98A5-DF041B26C5CE}"/>
    <cellStyle name="Normal 4 4 3 2 9" xfId="16393" xr:uid="{A8D726E2-3CA0-4721-ACB2-7AD8F92C6569}"/>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2 2" xfId="16438" xr:uid="{77E539BF-ABAF-4D2A-AD26-3C8ED7BE99AA}"/>
    <cellStyle name="Normal 4 4 3 3 2 2 3" xfId="7331" xr:uid="{20F3B4FC-8DFD-40D6-94B0-0A953EF37936}"/>
    <cellStyle name="Normal 4 4 3 3 2 2 3 2" xfId="16439" xr:uid="{10A5DD37-4EC8-49E6-8170-7F0315177893}"/>
    <cellStyle name="Normal 4 4 3 3 2 2 4" xfId="16437" xr:uid="{E93B8BF1-BE29-4B48-A3BC-58904D723B54}"/>
    <cellStyle name="Normal 4 4 3 3 2 3" xfId="7332" xr:uid="{7B857DF8-E8FB-4692-9822-071C149E5B98}"/>
    <cellStyle name="Normal 4 4 3 3 2 3 2" xfId="16440" xr:uid="{6B1D222A-3EC3-46A7-9174-4A3EBAFA58FD}"/>
    <cellStyle name="Normal 4 4 3 3 2 4" xfId="7333" xr:uid="{9485C6B5-9E44-4638-A4C6-05FF240CB1E1}"/>
    <cellStyle name="Normal 4 4 3 3 2 4 2" xfId="16441" xr:uid="{2B26654F-DA63-47A8-83FD-B17107343AD7}"/>
    <cellStyle name="Normal 4 4 3 3 2 5" xfId="7334" xr:uid="{755B32E0-45A8-4D7F-82A5-BC577F41FCB8}"/>
    <cellStyle name="Normal 4 4 3 3 2 5 2" xfId="16442" xr:uid="{A9F773D6-DC46-4123-86F2-70CBC6BEC312}"/>
    <cellStyle name="Normal 4 4 3 3 2 6" xfId="16436" xr:uid="{54A8DD0B-DA32-4E66-A2FB-DF3246F533AB}"/>
    <cellStyle name="Normal 4 4 3 3 3" xfId="7335" xr:uid="{45948C62-2A61-4D02-9923-B6C2E1007482}"/>
    <cellStyle name="Normal 4 4 3 3 3 2" xfId="7336" xr:uid="{5AF60C4F-3929-4F7D-A474-8D5D6E4839D5}"/>
    <cellStyle name="Normal 4 4 3 3 3 2 2" xfId="7337" xr:uid="{23DE9E2A-5436-4776-9803-B7BF41AA7587}"/>
    <cellStyle name="Normal 4 4 3 3 3 2 2 2" xfId="16445" xr:uid="{FBA851F0-AAE0-4376-A8F1-DECE896AC3C2}"/>
    <cellStyle name="Normal 4 4 3 3 3 2 3" xfId="7338" xr:uid="{A7C6807B-EC3C-4F1D-94C0-A3A626DEBE7A}"/>
    <cellStyle name="Normal 4 4 3 3 3 2 3 2" xfId="16446" xr:uid="{EDDD4A66-8A66-4AC4-BDD7-6634674A7776}"/>
    <cellStyle name="Normal 4 4 3 3 3 2 4" xfId="16444" xr:uid="{575DE7F0-0A10-4EF6-9AFD-41B8E0A7A3DD}"/>
    <cellStyle name="Normal 4 4 3 3 3 3" xfId="7339" xr:uid="{01BBF3CE-AECA-4C3F-BFC4-FDBFF3735C1C}"/>
    <cellStyle name="Normal 4 4 3 3 3 3 2" xfId="16447" xr:uid="{7EED4BE0-DB40-4A0B-B51A-72B91649696C}"/>
    <cellStyle name="Normal 4 4 3 3 3 4" xfId="7340" xr:uid="{DA421264-A75D-4D89-9FDB-595B0A1AEA79}"/>
    <cellStyle name="Normal 4 4 3 3 3 4 2" xfId="16448" xr:uid="{3B2156E3-1B8E-4E29-897E-C00B02BAF3C5}"/>
    <cellStyle name="Normal 4 4 3 3 3 5" xfId="7341" xr:uid="{099A53A0-112A-42C2-AC5B-7C63906DE644}"/>
    <cellStyle name="Normal 4 4 3 3 3 5 2" xfId="16449" xr:uid="{9F331F72-5BAF-4EBC-982B-88A99AE77D8D}"/>
    <cellStyle name="Normal 4 4 3 3 3 6" xfId="16443" xr:uid="{0C19986E-1424-482B-82B6-E6B6B8D9E211}"/>
    <cellStyle name="Normal 4 4 3 3 4" xfId="7342" xr:uid="{B09FF9DC-2F7D-40C3-8DB7-D1C99BDA1356}"/>
    <cellStyle name="Normal 4 4 3 3 4 2" xfId="7343" xr:uid="{627991ED-4F6C-4670-956B-DB023833248C}"/>
    <cellStyle name="Normal 4 4 3 3 4 2 2" xfId="16451" xr:uid="{C65DD326-C136-4511-BBB1-41E35C009208}"/>
    <cellStyle name="Normal 4 4 3 3 4 3" xfId="7344" xr:uid="{2BD3E3A3-C0B4-4553-8646-9A2D1EA0012D}"/>
    <cellStyle name="Normal 4 4 3 3 4 3 2" xfId="16452" xr:uid="{CF8D3262-8B5E-4304-86DD-99D2C1947B26}"/>
    <cellStyle name="Normal 4 4 3 3 4 4" xfId="16450" xr:uid="{99087B17-11FA-4BA1-B36D-8FD0E435DB56}"/>
    <cellStyle name="Normal 4 4 3 3 5" xfId="7345" xr:uid="{6A56D330-0568-46DD-AA23-C0C374A4ABD2}"/>
    <cellStyle name="Normal 4 4 3 3 5 2" xfId="16453" xr:uid="{87350C61-0178-4F6C-A09C-F8ACC8065664}"/>
    <cellStyle name="Normal 4 4 3 3 6" xfId="7346" xr:uid="{BB4C1740-2C03-4E0A-8527-0D96041A693C}"/>
    <cellStyle name="Normal 4 4 3 3 6 2" xfId="16454" xr:uid="{A570EA68-DBF2-425D-B129-64860168EE2B}"/>
    <cellStyle name="Normal 4 4 3 3 7" xfId="7347" xr:uid="{440B85EE-F55C-4641-9611-DB729992DBB2}"/>
    <cellStyle name="Normal 4 4 3 3 7 2" xfId="16455" xr:uid="{6166F274-518F-431C-A720-F633919DA8F1}"/>
    <cellStyle name="Normal 4 4 3 3 8" xfId="16435" xr:uid="{81DB69FE-A38B-4FFD-977C-3C7510C66FAD}"/>
    <cellStyle name="Normal 4 4 3 4" xfId="7348" xr:uid="{E54C69B7-6C85-4B9C-9804-C75DF02913F9}"/>
    <cellStyle name="Normal 4 4 3 4 2" xfId="7349" xr:uid="{57107AC9-CFF9-4934-A2FC-99C41CF0E206}"/>
    <cellStyle name="Normal 4 4 3 4 2 2" xfId="7350" xr:uid="{6AB84FFF-5F89-4391-B469-0FA99C2F3992}"/>
    <cellStyle name="Normal 4 4 3 4 2 2 2" xfId="16458" xr:uid="{B48A3A6E-FB77-45F3-A92D-E4F77CF1C326}"/>
    <cellStyle name="Normal 4 4 3 4 2 3" xfId="7351" xr:uid="{1FA2DEBC-16DF-4983-9A97-7F3662B22C6B}"/>
    <cellStyle name="Normal 4 4 3 4 2 3 2" xfId="16459" xr:uid="{B8E0A439-5B58-4E4E-B831-57206F7CC715}"/>
    <cellStyle name="Normal 4 4 3 4 2 4" xfId="16457" xr:uid="{5CF1B902-3B0D-47DD-8F4B-53DE00E1D4E5}"/>
    <cellStyle name="Normal 4 4 3 4 3" xfId="7352" xr:uid="{F3CB63A2-6067-4210-8A74-E1E20C6CF156}"/>
    <cellStyle name="Normal 4 4 3 4 3 2" xfId="16460" xr:uid="{73D07CDB-D0EA-402C-915C-663C80DA780C}"/>
    <cellStyle name="Normal 4 4 3 4 4" xfId="7353" xr:uid="{EA0F1F30-B7AB-4C55-8421-644F631A20B6}"/>
    <cellStyle name="Normal 4 4 3 4 4 2" xfId="16461" xr:uid="{6BD3B43C-778A-4E75-B7CC-A13187C3F0D3}"/>
    <cellStyle name="Normal 4 4 3 4 5" xfId="7354" xr:uid="{22864657-D22A-4BDD-BE51-FCEF1A182B4B}"/>
    <cellStyle name="Normal 4 4 3 4 5 2" xfId="16462" xr:uid="{FA665A87-965F-44C8-98EB-E9E07B40E161}"/>
    <cellStyle name="Normal 4 4 3 4 6" xfId="16456" xr:uid="{C5E5EC4B-3786-4524-8FA1-AC8D7F07A9A6}"/>
    <cellStyle name="Normal 4 4 3 5" xfId="7355" xr:uid="{55009A38-514B-40D0-8BEB-DA91BC90D11B}"/>
    <cellStyle name="Normal 4 4 3 5 2" xfId="7356" xr:uid="{17129548-1662-4397-BC5E-DA28D9906F40}"/>
    <cellStyle name="Normal 4 4 3 5 2 2" xfId="7357" xr:uid="{B6BF3B0D-9644-44CF-91EC-0C604BCD4156}"/>
    <cellStyle name="Normal 4 4 3 5 2 2 2" xfId="16465" xr:uid="{C985BBA1-B75D-4112-B77B-C790E1CF4A28}"/>
    <cellStyle name="Normal 4 4 3 5 2 3" xfId="7358" xr:uid="{89A7EC8C-5189-4DE5-A256-926C605C2BC2}"/>
    <cellStyle name="Normal 4 4 3 5 2 3 2" xfId="16466" xr:uid="{1C93EC30-6D7E-4A70-BDA7-46A7E2863733}"/>
    <cellStyle name="Normal 4 4 3 5 2 4" xfId="16464" xr:uid="{BE06BBCC-5B68-465A-A2F3-2986307FE180}"/>
    <cellStyle name="Normal 4 4 3 5 3" xfId="7359" xr:uid="{E6A825A5-D6B1-468E-9E85-66E33DC3931C}"/>
    <cellStyle name="Normal 4 4 3 5 3 2" xfId="16467" xr:uid="{9E66F7D4-4127-4864-8321-4B89B804506A}"/>
    <cellStyle name="Normal 4 4 3 5 4" xfId="7360" xr:uid="{5FAC75D6-65B7-4F1E-B9FA-AB8ADACEFABC}"/>
    <cellStyle name="Normal 4 4 3 5 4 2" xfId="16468" xr:uid="{3F73C1B3-4A34-4B20-9598-7AF6E8106221}"/>
    <cellStyle name="Normal 4 4 3 5 5" xfId="7361" xr:uid="{BCF646D4-3CC6-4823-8019-FF3D93DE9BE7}"/>
    <cellStyle name="Normal 4 4 3 5 5 2" xfId="16469" xr:uid="{92EE0987-23A4-4782-BD5A-8E92338BB923}"/>
    <cellStyle name="Normal 4 4 3 5 6" xfId="16463" xr:uid="{3B968830-AE38-4780-905B-D0A7DD75F6FD}"/>
    <cellStyle name="Normal 4 4 3 6" xfId="7362" xr:uid="{5B77F6A9-40CF-41DA-9D8A-8F5882B24B32}"/>
    <cellStyle name="Normal 4 4 3 6 2" xfId="7363" xr:uid="{B6A0B8C8-F576-4D2A-B5C5-3DFCD0BB79CA}"/>
    <cellStyle name="Normal 4 4 3 6 2 2" xfId="16471" xr:uid="{ECA21E5E-42A6-4D16-8814-FDF8F0145388}"/>
    <cellStyle name="Normal 4 4 3 6 3" xfId="7364" xr:uid="{F0A3CCEC-8201-4DE8-BEE8-A7B76E4F0B48}"/>
    <cellStyle name="Normal 4 4 3 6 3 2" xfId="16472" xr:uid="{BEBF6EA9-D2C6-4D90-9019-C0F21CB1ABE4}"/>
    <cellStyle name="Normal 4 4 3 6 4" xfId="16470" xr:uid="{BC36370C-26D2-4D8A-B6A6-27691D0CEE62}"/>
    <cellStyle name="Normal 4 4 3 7" xfId="7365" xr:uid="{A9E250B6-3500-4E61-9603-1596F35AC5B9}"/>
    <cellStyle name="Normal 4 4 3 7 2" xfId="16473" xr:uid="{05F68D9F-4833-489B-86E0-098CB29E0998}"/>
    <cellStyle name="Normal 4 4 3 8" xfId="7366" xr:uid="{15C690C7-0DB1-4275-84BE-04BEF48D4188}"/>
    <cellStyle name="Normal 4 4 3 8 2" xfId="16474" xr:uid="{6BD9C1C9-4974-42B1-B214-0C676C2FD4DA}"/>
    <cellStyle name="Normal 4 4 3 9" xfId="7367" xr:uid="{3A6D9D8A-0978-43ED-BE9E-9424C47839F1}"/>
    <cellStyle name="Normal 4 4 3 9 2" xfId="16475" xr:uid="{BF489D0A-DC58-4D5A-81D7-F2BBAAAAC857}"/>
    <cellStyle name="Normal 4 4 4" xfId="7368" xr:uid="{10EB757B-40CC-410E-A1D2-617BFDFD45B5}"/>
    <cellStyle name="Normal 4 4 4 10" xfId="16476" xr:uid="{6B56260C-7CD4-4BFA-9D3A-54F67E5B2FFC}"/>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2 2" xfId="16481" xr:uid="{23C6C71C-7FD1-4167-B028-AACC19F0B799}"/>
    <cellStyle name="Normal 4 4 4 2 2 2 2 3" xfId="7374" xr:uid="{DD228AEC-6976-4EF1-9F14-EA6CDD5DDFE0}"/>
    <cellStyle name="Normal 4 4 4 2 2 2 2 3 2" xfId="16482" xr:uid="{4D339741-5660-4166-BCA8-BCF68C8AB921}"/>
    <cellStyle name="Normal 4 4 4 2 2 2 2 4" xfId="16480" xr:uid="{D91D867B-0D4E-4C7C-B209-6139D2EF62AF}"/>
    <cellStyle name="Normal 4 4 4 2 2 2 3" xfId="7375" xr:uid="{A2545C2C-B9BD-4B3B-928D-49A589B074C8}"/>
    <cellStyle name="Normal 4 4 4 2 2 2 3 2" xfId="16483" xr:uid="{355370B6-9268-43F1-B800-1371E342FAF8}"/>
    <cellStyle name="Normal 4 4 4 2 2 2 4" xfId="7376" xr:uid="{9BB5CC8A-3105-49A6-8BBD-E0D43DB77D59}"/>
    <cellStyle name="Normal 4 4 4 2 2 2 4 2" xfId="16484" xr:uid="{B795F858-81CC-43DC-B8CF-12DD668B1338}"/>
    <cellStyle name="Normal 4 4 4 2 2 2 5" xfId="7377" xr:uid="{FD6ACB9E-F26B-420E-BDAC-83D2A7FE360B}"/>
    <cellStyle name="Normal 4 4 4 2 2 2 5 2" xfId="16485" xr:uid="{8F6A4D34-DB42-489E-8258-1E506CACA4A2}"/>
    <cellStyle name="Normal 4 4 4 2 2 2 6" xfId="16479" xr:uid="{141E70B9-F45B-4B5E-AE47-99FD1E01C0ED}"/>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2 2" xfId="16488" xr:uid="{BC4D6570-9551-4E06-A60F-CFD3E863EB37}"/>
    <cellStyle name="Normal 4 4 4 2 2 3 2 3" xfId="7381" xr:uid="{ADE7E2C3-E496-404D-AA6C-574D04CB65C6}"/>
    <cellStyle name="Normal 4 4 4 2 2 3 2 3 2" xfId="16489" xr:uid="{D7E3BDE8-C1CA-4CE5-9119-8D336D50BB76}"/>
    <cellStyle name="Normal 4 4 4 2 2 3 2 4" xfId="16487" xr:uid="{6AC336D2-5A60-4754-A64D-0D6E74E7D3F7}"/>
    <cellStyle name="Normal 4 4 4 2 2 3 3" xfId="7382" xr:uid="{98EB8245-A184-4A9D-9A8A-AA6C8206045B}"/>
    <cellStyle name="Normal 4 4 4 2 2 3 3 2" xfId="16490" xr:uid="{E754D647-C8C7-4213-87E7-0D45846EF39E}"/>
    <cellStyle name="Normal 4 4 4 2 2 3 4" xfId="7383" xr:uid="{4149741A-F304-4820-A005-6E82C0014315}"/>
    <cellStyle name="Normal 4 4 4 2 2 3 4 2" xfId="16491" xr:uid="{409DFD43-38B2-4D14-9DB7-71D0EC32EB75}"/>
    <cellStyle name="Normal 4 4 4 2 2 3 5" xfId="7384" xr:uid="{FAB761C0-D6B5-499D-9D09-E290FDBF6C90}"/>
    <cellStyle name="Normal 4 4 4 2 2 3 5 2" xfId="16492" xr:uid="{D42196DA-CD08-4678-AB50-12699BE6C591}"/>
    <cellStyle name="Normal 4 4 4 2 2 3 6" xfId="16486" xr:uid="{90B7B66E-4891-4495-A197-D6AE283F5399}"/>
    <cellStyle name="Normal 4 4 4 2 2 4" xfId="7385" xr:uid="{50273F4F-4D26-4368-BA6E-63093FFFA1C5}"/>
    <cellStyle name="Normal 4 4 4 2 2 4 2" xfId="7386" xr:uid="{1367EFB1-4072-4400-971A-596B56764277}"/>
    <cellStyle name="Normal 4 4 4 2 2 4 2 2" xfId="16494" xr:uid="{D13012B1-EF05-4B72-B4FB-1D64A45B7F07}"/>
    <cellStyle name="Normal 4 4 4 2 2 4 3" xfId="7387" xr:uid="{A3DC31D8-2628-4B39-AE13-31DC697127AB}"/>
    <cellStyle name="Normal 4 4 4 2 2 4 3 2" xfId="16495" xr:uid="{A065E3AC-9D9E-4332-94D3-131485714907}"/>
    <cellStyle name="Normal 4 4 4 2 2 4 4" xfId="16493" xr:uid="{EC9CBAE2-6973-4580-BD3B-C682E6E64633}"/>
    <cellStyle name="Normal 4 4 4 2 2 5" xfId="7388" xr:uid="{74F7F913-DA94-48BA-9A2E-894476E12297}"/>
    <cellStyle name="Normal 4 4 4 2 2 5 2" xfId="16496" xr:uid="{AC13FCCD-C21A-48FF-BA77-B9AC1D6B3D74}"/>
    <cellStyle name="Normal 4 4 4 2 2 6" xfId="7389" xr:uid="{4829003A-6D1E-4230-9923-16B7879400B1}"/>
    <cellStyle name="Normal 4 4 4 2 2 6 2" xfId="16497" xr:uid="{42050A05-71E0-4C23-AC06-1D72A49E049C}"/>
    <cellStyle name="Normal 4 4 4 2 2 7" xfId="7390" xr:uid="{47BD10B9-E2FE-46AA-B47C-204411E57508}"/>
    <cellStyle name="Normal 4 4 4 2 2 7 2" xfId="16498" xr:uid="{2887CB76-7AFA-4FDD-8D88-A2A8DB8734F2}"/>
    <cellStyle name="Normal 4 4 4 2 2 8" xfId="16478" xr:uid="{FEE92525-BDD3-432D-B494-4580402C1CAB}"/>
    <cellStyle name="Normal 4 4 4 2 3" xfId="7391" xr:uid="{9E005C3E-BA2A-455D-B265-06A2F8D0ED4C}"/>
    <cellStyle name="Normal 4 4 4 2 3 2" xfId="7392" xr:uid="{278B92CE-9171-4C7C-B07C-A22A836FB5F5}"/>
    <cellStyle name="Normal 4 4 4 2 3 2 2" xfId="7393" xr:uid="{9F29EC46-6252-4DF1-B5A3-04E04068A03D}"/>
    <cellStyle name="Normal 4 4 4 2 3 2 2 2" xfId="16501" xr:uid="{3731205A-2665-4899-A728-673DFCABC4DE}"/>
    <cellStyle name="Normal 4 4 4 2 3 2 3" xfId="7394" xr:uid="{76556D69-75E6-459F-B33C-2F8E9C936263}"/>
    <cellStyle name="Normal 4 4 4 2 3 2 3 2" xfId="16502" xr:uid="{BD72F5A0-F580-4126-8A09-6753DA269B8F}"/>
    <cellStyle name="Normal 4 4 4 2 3 2 4" xfId="16500" xr:uid="{DA8A2D22-D789-4AAC-A7DC-0A437A6A50E1}"/>
    <cellStyle name="Normal 4 4 4 2 3 3" xfId="7395" xr:uid="{FC7FE905-F169-4DF0-944A-C056A5CFC5EC}"/>
    <cellStyle name="Normal 4 4 4 2 3 3 2" xfId="16503" xr:uid="{5D4E7787-5C5F-4850-9569-C55C32551801}"/>
    <cellStyle name="Normal 4 4 4 2 3 4" xfId="7396" xr:uid="{910571BD-85C2-4F51-8DB9-ED6922D497DA}"/>
    <cellStyle name="Normal 4 4 4 2 3 4 2" xfId="16504" xr:uid="{4954FE7F-55F3-4B43-AB0E-C3E889ECBDE3}"/>
    <cellStyle name="Normal 4 4 4 2 3 5" xfId="7397" xr:uid="{16FFB07D-499E-49C0-9FBE-B9BBC9750A78}"/>
    <cellStyle name="Normal 4 4 4 2 3 5 2" xfId="16505" xr:uid="{91FC5F52-A188-49F8-AFD5-F72A6239EA69}"/>
    <cellStyle name="Normal 4 4 4 2 3 6" xfId="16499" xr:uid="{EBD3DED0-D585-41B1-A509-935937F62B2B}"/>
    <cellStyle name="Normal 4 4 4 2 4" xfId="7398" xr:uid="{A29015FC-38DD-479B-A1E3-EFF2FBC8C4BF}"/>
    <cellStyle name="Normal 4 4 4 2 4 2" xfId="7399" xr:uid="{E5A4CFA1-2534-49E3-809D-E9191A3F680A}"/>
    <cellStyle name="Normal 4 4 4 2 4 2 2" xfId="7400" xr:uid="{37D4A557-B6EB-4659-AC8D-B4CB397788FC}"/>
    <cellStyle name="Normal 4 4 4 2 4 2 2 2" xfId="16508" xr:uid="{D12681E9-BEDC-4222-8BCD-D3B7D6CD1F7A}"/>
    <cellStyle name="Normal 4 4 4 2 4 2 3" xfId="7401" xr:uid="{D8556BFE-300D-46D4-A8CA-6150AD989285}"/>
    <cellStyle name="Normal 4 4 4 2 4 2 3 2" xfId="16509" xr:uid="{82B7FAF8-B575-44A6-887E-153FB29CCDF0}"/>
    <cellStyle name="Normal 4 4 4 2 4 2 4" xfId="16507" xr:uid="{B0004571-6D27-497B-A8B9-9FF85258BAE3}"/>
    <cellStyle name="Normal 4 4 4 2 4 3" xfId="7402" xr:uid="{AC0A7557-A9CD-4D7B-88F2-AC88A339ED2E}"/>
    <cellStyle name="Normal 4 4 4 2 4 3 2" xfId="16510" xr:uid="{2AA9205F-7A60-4B2A-8A51-631942D575A2}"/>
    <cellStyle name="Normal 4 4 4 2 4 4" xfId="7403" xr:uid="{FBE5D912-ACD3-40EE-A68E-F628C7A64E09}"/>
    <cellStyle name="Normal 4 4 4 2 4 4 2" xfId="16511" xr:uid="{4323BA4B-77C9-44F1-AB45-13529A131C8C}"/>
    <cellStyle name="Normal 4 4 4 2 4 5" xfId="7404" xr:uid="{B68CD199-14D4-418A-8756-F3F5AAC36A62}"/>
    <cellStyle name="Normal 4 4 4 2 4 5 2" xfId="16512" xr:uid="{18D137C2-BA7C-4661-A080-618874C3987E}"/>
    <cellStyle name="Normal 4 4 4 2 4 6" xfId="16506" xr:uid="{DEA92503-F0AA-4908-B932-BDD9A2DE4A79}"/>
    <cellStyle name="Normal 4 4 4 2 5" xfId="7405" xr:uid="{A26919A1-C130-48CB-B44F-7C1C78C093FB}"/>
    <cellStyle name="Normal 4 4 4 2 5 2" xfId="7406" xr:uid="{DB02D8B1-E34F-4505-BBCF-79B13126920C}"/>
    <cellStyle name="Normal 4 4 4 2 5 2 2" xfId="16514" xr:uid="{CD317CF4-B054-4252-8008-BC7A45A5AA65}"/>
    <cellStyle name="Normal 4 4 4 2 5 3" xfId="7407" xr:uid="{1209ADCA-CFA6-4F60-995C-BC484AFA1585}"/>
    <cellStyle name="Normal 4 4 4 2 5 3 2" xfId="16515" xr:uid="{536A2CB0-C207-4C9C-92FE-A23DF56450F7}"/>
    <cellStyle name="Normal 4 4 4 2 5 4" xfId="16513" xr:uid="{5C0D9C4E-E87A-4D92-8F32-17988CAFD0B2}"/>
    <cellStyle name="Normal 4 4 4 2 6" xfId="7408" xr:uid="{A036CE2D-9F29-4BEC-9A2C-3AD6C3C6AA86}"/>
    <cellStyle name="Normal 4 4 4 2 6 2" xfId="16516" xr:uid="{F144AD1A-81CB-476B-B2BE-5A42BBF21CEA}"/>
    <cellStyle name="Normal 4 4 4 2 7" xfId="7409" xr:uid="{B65F77CC-2571-4A68-B125-68A3E1D93D01}"/>
    <cellStyle name="Normal 4 4 4 2 7 2" xfId="16517" xr:uid="{61DB3074-816A-4DD1-AC4C-E259BFDB1066}"/>
    <cellStyle name="Normal 4 4 4 2 8" xfId="7410" xr:uid="{28DA2609-401A-41CA-8E69-C492DD2884F3}"/>
    <cellStyle name="Normal 4 4 4 2 8 2" xfId="16518" xr:uid="{67A397B3-0BA7-454C-9CDE-E40D4FCA404C}"/>
    <cellStyle name="Normal 4 4 4 2 9" xfId="16477" xr:uid="{ABFD422F-5CAB-4F26-A568-CC5B835AD986}"/>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2 2" xfId="16522" xr:uid="{F2AB43C5-2D01-47D5-BD25-94C07F435469}"/>
    <cellStyle name="Normal 4 4 4 3 2 2 3" xfId="7415" xr:uid="{3A622102-9902-4A28-8F0E-F441DB1D3905}"/>
    <cellStyle name="Normal 4 4 4 3 2 2 3 2" xfId="16523" xr:uid="{05CE1077-D4D8-4C32-A93E-2786D853A292}"/>
    <cellStyle name="Normal 4 4 4 3 2 2 4" xfId="16521" xr:uid="{75804283-9A86-4E27-B110-A8655B605DFF}"/>
    <cellStyle name="Normal 4 4 4 3 2 3" xfId="7416" xr:uid="{C59EBE2D-EE20-460B-A161-2012C23F27F7}"/>
    <cellStyle name="Normal 4 4 4 3 2 3 2" xfId="16524" xr:uid="{91183959-5C18-4B02-BC67-047A64FFC4B6}"/>
    <cellStyle name="Normal 4 4 4 3 2 4" xfId="7417" xr:uid="{E851AE73-DED2-4CE7-B4FD-3670946C040F}"/>
    <cellStyle name="Normal 4 4 4 3 2 4 2" xfId="16525" xr:uid="{7D0DC920-55BF-4123-81E4-93688EC38783}"/>
    <cellStyle name="Normal 4 4 4 3 2 5" xfId="7418" xr:uid="{B21401E3-F25A-4CDA-B861-1429B8C05593}"/>
    <cellStyle name="Normal 4 4 4 3 2 5 2" xfId="16526" xr:uid="{AC87F69F-BE9A-4FD3-8C6E-89DDAF226E55}"/>
    <cellStyle name="Normal 4 4 4 3 2 6" xfId="16520" xr:uid="{DE8B8025-E525-446D-B178-A940B2CD608E}"/>
    <cellStyle name="Normal 4 4 4 3 3" xfId="7419" xr:uid="{F0984D75-8350-4A66-8FEE-5386138BC0E2}"/>
    <cellStyle name="Normal 4 4 4 3 3 2" xfId="7420" xr:uid="{B00563B1-3664-482C-A911-BA55E780B397}"/>
    <cellStyle name="Normal 4 4 4 3 3 2 2" xfId="7421" xr:uid="{37C3E6D7-2004-4180-BBDF-CE1A5D7D47AD}"/>
    <cellStyle name="Normal 4 4 4 3 3 2 2 2" xfId="16529" xr:uid="{D0D9259F-1938-4F69-BB58-A3534FDC01B9}"/>
    <cellStyle name="Normal 4 4 4 3 3 2 3" xfId="7422" xr:uid="{CB16EE81-A7A3-4581-B97B-163AEB5CB8F5}"/>
    <cellStyle name="Normal 4 4 4 3 3 2 3 2" xfId="16530" xr:uid="{FA8003C6-0CFC-498D-9D49-E3ED89DAE4EE}"/>
    <cellStyle name="Normal 4 4 4 3 3 2 4" xfId="16528" xr:uid="{65014168-A137-4BD8-8EC7-7718B1E48B46}"/>
    <cellStyle name="Normal 4 4 4 3 3 3" xfId="7423" xr:uid="{2F9467B1-B350-4DBE-B58D-FFCD42738308}"/>
    <cellStyle name="Normal 4 4 4 3 3 3 2" xfId="16531" xr:uid="{7E817DA4-9625-4398-8689-0CD03C6CA7F7}"/>
    <cellStyle name="Normal 4 4 4 3 3 4" xfId="7424" xr:uid="{279BC47A-1E13-4564-9E8B-776D3CAB5CA9}"/>
    <cellStyle name="Normal 4 4 4 3 3 4 2" xfId="16532" xr:uid="{89A74390-8E67-4051-A5AF-8B174019D289}"/>
    <cellStyle name="Normal 4 4 4 3 3 5" xfId="7425" xr:uid="{59B4E6D8-B6D1-4549-9ADD-46F1B65C29DE}"/>
    <cellStyle name="Normal 4 4 4 3 3 5 2" xfId="16533" xr:uid="{C193234E-A4B2-4D3E-85D5-0054C741F13B}"/>
    <cellStyle name="Normal 4 4 4 3 3 6" xfId="16527" xr:uid="{D9D54396-6967-45B6-BAE7-FBF7B0E61D8C}"/>
    <cellStyle name="Normal 4 4 4 3 4" xfId="7426" xr:uid="{8CC00CA1-C584-4BD8-8028-6C7E2F376A5E}"/>
    <cellStyle name="Normal 4 4 4 3 4 2" xfId="7427" xr:uid="{51E9EDBE-AB53-45D0-923E-88296B212CA2}"/>
    <cellStyle name="Normal 4 4 4 3 4 2 2" xfId="16535" xr:uid="{9662C9FC-6177-4C2E-BB6B-2AF18E0A056F}"/>
    <cellStyle name="Normal 4 4 4 3 4 3" xfId="7428" xr:uid="{42019709-C4D2-46BF-B166-5ABDFFB29B21}"/>
    <cellStyle name="Normal 4 4 4 3 4 3 2" xfId="16536" xr:uid="{EDF92265-5B2E-4D08-B68C-62D91249FCF8}"/>
    <cellStyle name="Normal 4 4 4 3 4 4" xfId="16534" xr:uid="{5DBE5DE3-E251-4CD9-9CB9-3F5776C7E275}"/>
    <cellStyle name="Normal 4 4 4 3 5" xfId="7429" xr:uid="{6E655034-A3ED-447D-BCB1-C4EFBBBD6BEF}"/>
    <cellStyle name="Normal 4 4 4 3 5 2" xfId="16537" xr:uid="{F91FF9C3-793B-4962-95AB-E1B0B7FA1521}"/>
    <cellStyle name="Normal 4 4 4 3 6" xfId="7430" xr:uid="{B5F36EC2-F685-46E3-9D49-854651C3B478}"/>
    <cellStyle name="Normal 4 4 4 3 6 2" xfId="16538" xr:uid="{E286A2B9-C83F-4AB9-BFC7-27D6453D1796}"/>
    <cellStyle name="Normal 4 4 4 3 7" xfId="7431" xr:uid="{762D2CCB-3774-4A9D-B258-33A0A1895034}"/>
    <cellStyle name="Normal 4 4 4 3 7 2" xfId="16539" xr:uid="{E3A34FF3-8496-4404-82E9-0D40C55DFC0C}"/>
    <cellStyle name="Normal 4 4 4 3 8" xfId="16519" xr:uid="{7C6C844B-C7FD-47EB-95BB-19F84F4D97E4}"/>
    <cellStyle name="Normal 4 4 4 4" xfId="7432" xr:uid="{CDF2F1BE-CD7F-484C-9085-3217D85D5014}"/>
    <cellStyle name="Normal 4 4 4 4 2" xfId="7433" xr:uid="{491877C1-5B51-484D-8219-6B0870FB95B4}"/>
    <cellStyle name="Normal 4 4 4 4 2 2" xfId="7434" xr:uid="{3D9FEB13-C119-4D99-945A-5B6FF22DC8CA}"/>
    <cellStyle name="Normal 4 4 4 4 2 2 2" xfId="16542" xr:uid="{EA69039A-20B7-4A9F-8E4C-346AFC3D1E3A}"/>
    <cellStyle name="Normal 4 4 4 4 2 3" xfId="7435" xr:uid="{E7569D39-47E8-45C3-8482-8F6F6A080798}"/>
    <cellStyle name="Normal 4 4 4 4 2 3 2" xfId="16543" xr:uid="{D5D3DB19-FABC-4F75-9098-85971553F5BC}"/>
    <cellStyle name="Normal 4 4 4 4 2 4" xfId="16541" xr:uid="{DCCE1B1D-DC60-4589-BBA2-F80A702D86D9}"/>
    <cellStyle name="Normal 4 4 4 4 3" xfId="7436" xr:uid="{A0DACB19-DB3D-46AC-9EF3-A54886ED7CDE}"/>
    <cellStyle name="Normal 4 4 4 4 3 2" xfId="16544" xr:uid="{488CCF62-89B5-4BEE-85D2-E96214651CDB}"/>
    <cellStyle name="Normal 4 4 4 4 4" xfId="7437" xr:uid="{C3BC601E-66A2-4DC9-8C79-78E52191216B}"/>
    <cellStyle name="Normal 4 4 4 4 4 2" xfId="16545" xr:uid="{732DA35E-819E-4888-B350-EA40C309264B}"/>
    <cellStyle name="Normal 4 4 4 4 5" xfId="7438" xr:uid="{9169FFA1-D77C-4E5E-AF36-F6444F9AF1E2}"/>
    <cellStyle name="Normal 4 4 4 4 5 2" xfId="16546" xr:uid="{62A4B5DD-1BA3-40A2-8ED6-AB64B6D1E428}"/>
    <cellStyle name="Normal 4 4 4 4 6" xfId="16540" xr:uid="{1B24B384-EE43-4D6F-825F-E74C472FD990}"/>
    <cellStyle name="Normal 4 4 4 5" xfId="7439" xr:uid="{FC5977D6-4E86-47A2-AC28-48C185C662AE}"/>
    <cellStyle name="Normal 4 4 4 5 2" xfId="7440" xr:uid="{F854422D-B615-4AC2-8C9F-787A7CD0D565}"/>
    <cellStyle name="Normal 4 4 4 5 2 2" xfId="7441" xr:uid="{2B656362-384F-4F17-A052-AD29B278B9EB}"/>
    <cellStyle name="Normal 4 4 4 5 2 2 2" xfId="16549" xr:uid="{8569ADA0-8776-49B5-8685-C1A57285A502}"/>
    <cellStyle name="Normal 4 4 4 5 2 3" xfId="7442" xr:uid="{EE596558-E8B1-4001-A15F-7DD7DBFFCFB8}"/>
    <cellStyle name="Normal 4 4 4 5 2 3 2" xfId="16550" xr:uid="{CE15F677-26A3-4680-AF08-3D47BBC9143F}"/>
    <cellStyle name="Normal 4 4 4 5 2 4" xfId="16548" xr:uid="{1A59B548-EB45-4F7E-A166-670EDD195D42}"/>
    <cellStyle name="Normal 4 4 4 5 3" xfId="7443" xr:uid="{81C72931-ABBF-4960-BCAC-4FD30405BC5A}"/>
    <cellStyle name="Normal 4 4 4 5 3 2" xfId="16551" xr:uid="{36E54AD6-78A5-4A72-91E1-DAAF333DCB13}"/>
    <cellStyle name="Normal 4 4 4 5 4" xfId="7444" xr:uid="{40CFEC33-8A8B-49CB-9722-AEACB41EB3E4}"/>
    <cellStyle name="Normal 4 4 4 5 4 2" xfId="16552" xr:uid="{D56418DA-C812-4BE3-9A81-0F42349E2F4A}"/>
    <cellStyle name="Normal 4 4 4 5 5" xfId="7445" xr:uid="{48913151-DB4D-48A5-9D21-F4B8B7B3E82E}"/>
    <cellStyle name="Normal 4 4 4 5 5 2" xfId="16553" xr:uid="{DA2F4AF2-1B5C-41AA-84F7-8CA97A7E50F9}"/>
    <cellStyle name="Normal 4 4 4 5 6" xfId="16547" xr:uid="{AAAEB671-5F7A-4C43-8304-5CAD275B30CE}"/>
    <cellStyle name="Normal 4 4 4 6" xfId="7446" xr:uid="{59439741-42D0-4268-98AF-1C3503CE7FFA}"/>
    <cellStyle name="Normal 4 4 4 6 2" xfId="7447" xr:uid="{CB37C1AE-E15B-4D39-A34D-ADA6527F70BD}"/>
    <cellStyle name="Normal 4 4 4 6 2 2" xfId="16555" xr:uid="{266AA8BF-CC71-4056-8692-81B225BBD8D3}"/>
    <cellStyle name="Normal 4 4 4 6 3" xfId="7448" xr:uid="{5DA519D8-7DCE-4BEF-A8C1-D3FD8EBFE3AB}"/>
    <cellStyle name="Normal 4 4 4 6 3 2" xfId="16556" xr:uid="{61392984-5E83-48BE-9183-A78981BDE760}"/>
    <cellStyle name="Normal 4 4 4 6 4" xfId="16554" xr:uid="{AF751330-173D-40E2-AD8B-32E737BB402F}"/>
    <cellStyle name="Normal 4 4 4 7" xfId="7449" xr:uid="{61069FA2-0BD6-4A1D-9717-F9AE56542CE7}"/>
    <cellStyle name="Normal 4 4 4 7 2" xfId="16557" xr:uid="{9C4AA839-A0B7-44AC-8E50-E14EE51E5A5F}"/>
    <cellStyle name="Normal 4 4 4 8" xfId="7450" xr:uid="{89ABEB2E-8BB7-41E7-BE47-2C4325BA5241}"/>
    <cellStyle name="Normal 4 4 4 8 2" xfId="16558" xr:uid="{FFC18D1C-1ED2-4985-B4E1-02F2C8ADE7F6}"/>
    <cellStyle name="Normal 4 4 4 9" xfId="7451" xr:uid="{745AC399-4AFF-4F5B-9C86-F21B9791A7FA}"/>
    <cellStyle name="Normal 4 4 4 9 2" xfId="16559" xr:uid="{C296799B-9056-41DD-A585-674EF0C95BBB}"/>
    <cellStyle name="Normal 4 4 5" xfId="7452" xr:uid="{E28F036B-9C88-4F09-9545-83F548EF0A85}"/>
    <cellStyle name="Normal 4 4 5 10" xfId="16560" xr:uid="{4E000A21-6ED0-4EB5-B7CC-F8DD220029F0}"/>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2 2" xfId="16565" xr:uid="{73A80EB0-EA2B-4878-93C8-5DD40C1900FE}"/>
    <cellStyle name="Normal 4 4 5 2 2 2 2 3" xfId="7458" xr:uid="{2B19BD71-D065-407C-81A2-092951A63449}"/>
    <cellStyle name="Normal 4 4 5 2 2 2 2 3 2" xfId="16566" xr:uid="{379F4DF1-BF4E-42F5-9B38-0F4ABEBB5332}"/>
    <cellStyle name="Normal 4 4 5 2 2 2 2 4" xfId="16564" xr:uid="{586C423E-5D86-422B-B039-C2B7FF8EF1BD}"/>
    <cellStyle name="Normal 4 4 5 2 2 2 3" xfId="7459" xr:uid="{0F6B98BE-9861-4175-811B-543C63534454}"/>
    <cellStyle name="Normal 4 4 5 2 2 2 3 2" xfId="16567" xr:uid="{ADD2A1A3-00B6-4630-AD56-FE9DA80F9596}"/>
    <cellStyle name="Normal 4 4 5 2 2 2 4" xfId="7460" xr:uid="{070D3856-6924-4395-84DB-EFF8B4948B20}"/>
    <cellStyle name="Normal 4 4 5 2 2 2 4 2" xfId="16568" xr:uid="{3E4D382D-CC8A-41CD-A7D0-B2D696FC90CF}"/>
    <cellStyle name="Normal 4 4 5 2 2 2 5" xfId="7461" xr:uid="{0EF3C340-7FE0-42A7-AFD5-97F90652B818}"/>
    <cellStyle name="Normal 4 4 5 2 2 2 5 2" xfId="16569" xr:uid="{EA9EA3B6-08D1-44D8-A378-AE146DB5D3BE}"/>
    <cellStyle name="Normal 4 4 5 2 2 2 6" xfId="16563" xr:uid="{E61EC7CD-581C-4989-9914-3328BD8C74E3}"/>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2 2" xfId="16572" xr:uid="{60B28999-1840-4FF4-A9DE-3F995481ED78}"/>
    <cellStyle name="Normal 4 4 5 2 2 3 2 3" xfId="7465" xr:uid="{708C013D-2D42-4213-AA89-EFDC7F2A43FF}"/>
    <cellStyle name="Normal 4 4 5 2 2 3 2 3 2" xfId="16573" xr:uid="{C21A61A6-F72F-4F4C-A142-6DE88431BA01}"/>
    <cellStyle name="Normal 4 4 5 2 2 3 2 4" xfId="16571" xr:uid="{D2F6503F-93C4-4A72-A438-D3AC6AB3D6A5}"/>
    <cellStyle name="Normal 4 4 5 2 2 3 3" xfId="7466" xr:uid="{37A56CA9-DD2F-4EB4-8589-69F8819F4DDB}"/>
    <cellStyle name="Normal 4 4 5 2 2 3 3 2" xfId="16574" xr:uid="{708C44DA-C639-47F9-98EF-AD67F4372511}"/>
    <cellStyle name="Normal 4 4 5 2 2 3 4" xfId="7467" xr:uid="{70CE8AB3-0197-46E0-9559-B0821EB37E77}"/>
    <cellStyle name="Normal 4 4 5 2 2 3 4 2" xfId="16575" xr:uid="{F5AE68DC-779E-442F-AC87-9CF74407BBC3}"/>
    <cellStyle name="Normal 4 4 5 2 2 3 5" xfId="7468" xr:uid="{D5347F3B-0EF6-48AE-8032-8689B310AC9E}"/>
    <cellStyle name="Normal 4 4 5 2 2 3 5 2" xfId="16576" xr:uid="{5C07E444-1DAA-4002-AE20-7BFD2E867D34}"/>
    <cellStyle name="Normal 4 4 5 2 2 3 6" xfId="16570" xr:uid="{5EEC9223-A1AA-4E47-A967-BEC2566EFF02}"/>
    <cellStyle name="Normal 4 4 5 2 2 4" xfId="7469" xr:uid="{59CC5B18-CD04-4CBD-94FB-8AC393CD0D4A}"/>
    <cellStyle name="Normal 4 4 5 2 2 4 2" xfId="7470" xr:uid="{5B2AEED8-0D3D-4A33-9947-F44CF0736EB0}"/>
    <cellStyle name="Normal 4 4 5 2 2 4 2 2" xfId="16578" xr:uid="{CA5654B1-9475-43D7-9C6C-94A3E9D75A87}"/>
    <cellStyle name="Normal 4 4 5 2 2 4 3" xfId="7471" xr:uid="{DB4C9DCE-8CD2-4151-ACFC-7CEE90424415}"/>
    <cellStyle name="Normal 4 4 5 2 2 4 3 2" xfId="16579" xr:uid="{3221A326-AE53-493A-B65B-6F703525840F}"/>
    <cellStyle name="Normal 4 4 5 2 2 4 4" xfId="16577" xr:uid="{6BBD1D6C-AD03-4E7B-8558-21DBB37C73EE}"/>
    <cellStyle name="Normal 4 4 5 2 2 5" xfId="7472" xr:uid="{EB16A1C3-5E21-4331-9A9A-1175BBA87685}"/>
    <cellStyle name="Normal 4 4 5 2 2 5 2" xfId="16580" xr:uid="{EF596E38-3FEF-4A3D-9777-FFFD0F6B5C39}"/>
    <cellStyle name="Normal 4 4 5 2 2 6" xfId="7473" xr:uid="{28345EDD-A648-4ABB-BA85-ACFBEAD18240}"/>
    <cellStyle name="Normal 4 4 5 2 2 6 2" xfId="16581" xr:uid="{F90922A6-989A-4B5C-B523-1464E9B143D1}"/>
    <cellStyle name="Normal 4 4 5 2 2 7" xfId="7474" xr:uid="{DA759E21-6823-4C73-B378-430ACE170319}"/>
    <cellStyle name="Normal 4 4 5 2 2 7 2" xfId="16582" xr:uid="{17C4CBA8-26AA-4AB1-96B1-B284B699F466}"/>
    <cellStyle name="Normal 4 4 5 2 2 8" xfId="16562" xr:uid="{47792D11-9E1F-4208-BA41-FCDA1E4CF888}"/>
    <cellStyle name="Normal 4 4 5 2 3" xfId="7475" xr:uid="{F1BEC72E-B5FF-4F9B-AA8D-B3A607FBB1AD}"/>
    <cellStyle name="Normal 4 4 5 2 3 2" xfId="7476" xr:uid="{FC4D20DA-ED4C-4274-8511-DF82D4409A9E}"/>
    <cellStyle name="Normal 4 4 5 2 3 2 2" xfId="7477" xr:uid="{D3ADBC7F-B144-4A37-814D-EECE41BA10FB}"/>
    <cellStyle name="Normal 4 4 5 2 3 2 2 2" xfId="16585" xr:uid="{DF2265B2-422E-4516-A38B-D3512EAF8918}"/>
    <cellStyle name="Normal 4 4 5 2 3 2 3" xfId="7478" xr:uid="{504BB7D7-913D-4736-86C5-563A9F09FDCE}"/>
    <cellStyle name="Normal 4 4 5 2 3 2 3 2" xfId="16586" xr:uid="{12D80B0D-1594-45B4-9C46-F5714B698BB5}"/>
    <cellStyle name="Normal 4 4 5 2 3 2 4" xfId="16584" xr:uid="{90C61BE6-2EC8-4C2C-A1EF-355E0826EA5A}"/>
    <cellStyle name="Normal 4 4 5 2 3 3" xfId="7479" xr:uid="{09925011-AFC3-4463-8E18-DCA9A9A2A9C0}"/>
    <cellStyle name="Normal 4 4 5 2 3 3 2" xfId="16587" xr:uid="{1B844D7D-7433-4BCB-8466-ADE34109738D}"/>
    <cellStyle name="Normal 4 4 5 2 3 4" xfId="7480" xr:uid="{4DB68DAC-5B7F-4FE9-B0C8-687238CF894D}"/>
    <cellStyle name="Normal 4 4 5 2 3 4 2" xfId="16588" xr:uid="{8EA2A234-34C9-42B4-BFF2-28A4080A10B2}"/>
    <cellStyle name="Normal 4 4 5 2 3 5" xfId="7481" xr:uid="{87E2F011-3415-4417-9422-BD5A8D10C114}"/>
    <cellStyle name="Normal 4 4 5 2 3 5 2" xfId="16589" xr:uid="{DF090FF0-28F1-4392-9B07-481B997F9480}"/>
    <cellStyle name="Normal 4 4 5 2 3 6" xfId="16583" xr:uid="{3D9D59E6-D0A8-49F3-8381-6609CBEB7478}"/>
    <cellStyle name="Normal 4 4 5 2 4" xfId="7482" xr:uid="{7A91C485-2DC7-4E96-BD19-E0ED223B45CE}"/>
    <cellStyle name="Normal 4 4 5 2 4 2" xfId="7483" xr:uid="{DF3B81CA-876F-4471-936F-F6A1C98A4B9A}"/>
    <cellStyle name="Normal 4 4 5 2 4 2 2" xfId="7484" xr:uid="{7B35DE83-1714-4438-A2AE-2D1172126E50}"/>
    <cellStyle name="Normal 4 4 5 2 4 2 2 2" xfId="16592" xr:uid="{27CEE860-A4FC-4CEE-88C3-7C02DFA8D8C6}"/>
    <cellStyle name="Normal 4 4 5 2 4 2 3" xfId="7485" xr:uid="{1051D2E4-1D02-40B3-9FDD-462C144522F8}"/>
    <cellStyle name="Normal 4 4 5 2 4 2 3 2" xfId="16593" xr:uid="{CB127C8D-B68E-419A-84E3-53F02D88A6C9}"/>
    <cellStyle name="Normal 4 4 5 2 4 2 4" xfId="16591" xr:uid="{80F0E998-D944-4844-85FB-7E106C5938B6}"/>
    <cellStyle name="Normal 4 4 5 2 4 3" xfId="7486" xr:uid="{44CE8921-C0F1-4D5A-A1BC-DC2818EEBCC8}"/>
    <cellStyle name="Normal 4 4 5 2 4 3 2" xfId="16594" xr:uid="{96826A0C-D688-413A-8B96-963D7FC6BAE4}"/>
    <cellStyle name="Normal 4 4 5 2 4 4" xfId="7487" xr:uid="{9630E3F6-A861-4099-B45A-AF68007B7E32}"/>
    <cellStyle name="Normal 4 4 5 2 4 4 2" xfId="16595" xr:uid="{00F4A950-8FB3-4BA5-89ED-31634F9D8CCC}"/>
    <cellStyle name="Normal 4 4 5 2 4 5" xfId="7488" xr:uid="{86E6C1E3-74DB-4980-8E33-0DFFFE6E0C84}"/>
    <cellStyle name="Normal 4 4 5 2 4 5 2" xfId="16596" xr:uid="{A7EEE3EE-2DFF-4715-88CF-1FF883B08BE3}"/>
    <cellStyle name="Normal 4 4 5 2 4 6" xfId="16590" xr:uid="{B3E8AFFF-809B-47D1-9C11-60376F948523}"/>
    <cellStyle name="Normal 4 4 5 2 5" xfId="7489" xr:uid="{40E5CCB1-5285-4A6F-8EDE-57F1C38BDC32}"/>
    <cellStyle name="Normal 4 4 5 2 5 2" xfId="7490" xr:uid="{F9061C92-F279-4B34-85C0-D900674732DA}"/>
    <cellStyle name="Normal 4 4 5 2 5 2 2" xfId="16598" xr:uid="{F0380095-1A10-4625-8D53-9C02BC5C3587}"/>
    <cellStyle name="Normal 4 4 5 2 5 3" xfId="7491" xr:uid="{69CD1828-388D-449F-929C-82F113DDC0D9}"/>
    <cellStyle name="Normal 4 4 5 2 5 3 2" xfId="16599" xr:uid="{1601CBB9-562E-4B1C-86BD-D37874385288}"/>
    <cellStyle name="Normal 4 4 5 2 5 4" xfId="16597" xr:uid="{7A6AAE70-3750-4806-AF89-6CAD8BA36F67}"/>
    <cellStyle name="Normal 4 4 5 2 6" xfId="7492" xr:uid="{FA59BDDC-E044-4FAA-99D3-6C9A5E830973}"/>
    <cellStyle name="Normal 4 4 5 2 6 2" xfId="16600" xr:uid="{5938272C-EA90-4607-AC84-FE8F42F75590}"/>
    <cellStyle name="Normal 4 4 5 2 7" xfId="7493" xr:uid="{A053242C-D5ED-493B-9C56-432E66D7668D}"/>
    <cellStyle name="Normal 4 4 5 2 7 2" xfId="16601" xr:uid="{C1AAA920-7230-4C56-944E-F52537562F26}"/>
    <cellStyle name="Normal 4 4 5 2 8" xfId="7494" xr:uid="{364370D8-6E94-4244-9B6A-B558B46ED97D}"/>
    <cellStyle name="Normal 4 4 5 2 8 2" xfId="16602" xr:uid="{6E6310BA-F059-43D0-A703-AB9F185214D8}"/>
    <cellStyle name="Normal 4 4 5 2 9" xfId="16561" xr:uid="{B889DD0C-FA60-4C9F-BFEC-9E13C62AA031}"/>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2 2" xfId="16606" xr:uid="{5C945CE1-1879-415D-AE8A-4D2EC818ED79}"/>
    <cellStyle name="Normal 4 4 5 3 2 2 3" xfId="7499" xr:uid="{6E3EE7DE-6613-4D72-9008-914B67418077}"/>
    <cellStyle name="Normal 4 4 5 3 2 2 3 2" xfId="16607" xr:uid="{1797EDB8-7202-4873-B018-7A4E3F4929A5}"/>
    <cellStyle name="Normal 4 4 5 3 2 2 4" xfId="16605" xr:uid="{E37DAC19-0348-43E8-A031-7AE8B2D5FA2E}"/>
    <cellStyle name="Normal 4 4 5 3 2 3" xfId="7500" xr:uid="{EA5B379F-E3D2-407B-A0B9-2AE4DF11F3ED}"/>
    <cellStyle name="Normal 4 4 5 3 2 3 2" xfId="16608" xr:uid="{2C0255C2-341F-4523-A628-CFC99547773E}"/>
    <cellStyle name="Normal 4 4 5 3 2 4" xfId="7501" xr:uid="{645201FE-E083-484E-B083-59F5C5719595}"/>
    <cellStyle name="Normal 4 4 5 3 2 4 2" xfId="16609" xr:uid="{DE1AF069-8A44-40AE-83CA-77A5F7516C09}"/>
    <cellStyle name="Normal 4 4 5 3 2 5" xfId="7502" xr:uid="{5A7A52D2-6284-42E7-9B0C-356607A7D35A}"/>
    <cellStyle name="Normal 4 4 5 3 2 5 2" xfId="16610" xr:uid="{DD505778-BF9D-4735-A0BD-5DAE36838A1C}"/>
    <cellStyle name="Normal 4 4 5 3 2 6" xfId="16604" xr:uid="{04DC9EFC-6310-40EA-B701-9E6943BE9151}"/>
    <cellStyle name="Normal 4 4 5 3 3" xfId="7503" xr:uid="{2EF8C5C1-4F8A-4E43-90BB-5D7E59AE5B8E}"/>
    <cellStyle name="Normal 4 4 5 3 3 2" xfId="7504" xr:uid="{463417D5-68D2-467A-8CF3-65D3C0A2D91B}"/>
    <cellStyle name="Normal 4 4 5 3 3 2 2" xfId="7505" xr:uid="{44D74143-F67E-48CF-9C27-9516F878A1CB}"/>
    <cellStyle name="Normal 4 4 5 3 3 2 2 2" xfId="16613" xr:uid="{51C59708-A8E6-4203-A456-9A03BFE96A74}"/>
    <cellStyle name="Normal 4 4 5 3 3 2 3" xfId="7506" xr:uid="{B399A93E-7DA9-403F-BE67-DF9C5B4F6CAE}"/>
    <cellStyle name="Normal 4 4 5 3 3 2 3 2" xfId="16614" xr:uid="{D75735F4-2AEB-48B3-A1FF-962D5DBDA5F3}"/>
    <cellStyle name="Normal 4 4 5 3 3 2 4" xfId="16612" xr:uid="{5B5CBF33-4E30-4CC5-87C5-F6344983E176}"/>
    <cellStyle name="Normal 4 4 5 3 3 3" xfId="7507" xr:uid="{7087B34E-D939-4AE8-880D-65A7B6C78D6F}"/>
    <cellStyle name="Normal 4 4 5 3 3 3 2" xfId="16615" xr:uid="{1C5313C7-EBBF-4779-951B-44CD0864FB7B}"/>
    <cellStyle name="Normal 4 4 5 3 3 4" xfId="7508" xr:uid="{0CDABF58-FFB2-44B5-8394-D01064181270}"/>
    <cellStyle name="Normal 4 4 5 3 3 4 2" xfId="16616" xr:uid="{89ED00C2-CF0E-4740-BA48-E86E69DB6A3D}"/>
    <cellStyle name="Normal 4 4 5 3 3 5" xfId="7509" xr:uid="{0BADD9D1-14BC-42AD-98BD-0A54A45449F9}"/>
    <cellStyle name="Normal 4 4 5 3 3 5 2" xfId="16617" xr:uid="{65E497A9-503A-48DA-A1E2-69EA45889CCC}"/>
    <cellStyle name="Normal 4 4 5 3 3 6" xfId="16611" xr:uid="{AB60AFDB-8B3B-4EE0-BCB5-4987432DB2B6}"/>
    <cellStyle name="Normal 4 4 5 3 4" xfId="7510" xr:uid="{EA59A447-056C-426B-8C17-5E9C5E52B431}"/>
    <cellStyle name="Normal 4 4 5 3 4 2" xfId="7511" xr:uid="{864C2A3E-0C27-4D03-9062-4F6824A4DE29}"/>
    <cellStyle name="Normal 4 4 5 3 4 2 2" xfId="16619" xr:uid="{DECF471B-1DD6-4DAA-BEB5-ACF7EB5CD007}"/>
    <cellStyle name="Normal 4 4 5 3 4 3" xfId="7512" xr:uid="{162C7E23-DD40-467B-A6DD-FA30F2C6866D}"/>
    <cellStyle name="Normal 4 4 5 3 4 3 2" xfId="16620" xr:uid="{69C9457E-DED5-4FBF-AA36-CE1D05FDAB46}"/>
    <cellStyle name="Normal 4 4 5 3 4 4" xfId="16618" xr:uid="{23EEFDB8-00D3-4B4B-A59D-58BFA5DDC3ED}"/>
    <cellStyle name="Normal 4 4 5 3 5" xfId="7513" xr:uid="{77422FA1-8F84-4676-AD7A-D5258D6C68C3}"/>
    <cellStyle name="Normal 4 4 5 3 5 2" xfId="16621" xr:uid="{BB87DCEA-F5AB-4E98-8CA2-F6EE84423E6B}"/>
    <cellStyle name="Normal 4 4 5 3 6" xfId="7514" xr:uid="{05EE8F13-DA63-4EA8-99BF-993E41B2C97C}"/>
    <cellStyle name="Normal 4 4 5 3 6 2" xfId="16622" xr:uid="{C3231069-7564-4F71-B5AE-B2BCE584962E}"/>
    <cellStyle name="Normal 4 4 5 3 7" xfId="7515" xr:uid="{D7F5635C-D335-4CD9-BA9B-0EB35724D183}"/>
    <cellStyle name="Normal 4 4 5 3 7 2" xfId="16623" xr:uid="{17F5527B-89C6-44C5-90CC-BC390FC48E98}"/>
    <cellStyle name="Normal 4 4 5 3 8" xfId="16603" xr:uid="{AEAD904F-65ED-44A1-844C-D1753E878E9D}"/>
    <cellStyle name="Normal 4 4 5 4" xfId="7516" xr:uid="{068F7529-4397-4C22-BE28-7B507BA2EFB3}"/>
    <cellStyle name="Normal 4 4 5 4 2" xfId="7517" xr:uid="{B1AB848C-620E-47E3-B364-3E1C3F8E625B}"/>
    <cellStyle name="Normal 4 4 5 4 2 2" xfId="7518" xr:uid="{F7BD6372-577A-4B6A-A407-A5DE4806EBE5}"/>
    <cellStyle name="Normal 4 4 5 4 2 2 2" xfId="16626" xr:uid="{CA9A3AD5-5BD3-4A53-A3D0-872AE914513C}"/>
    <cellStyle name="Normal 4 4 5 4 2 3" xfId="7519" xr:uid="{B172BF69-2353-40E9-8361-DFFA8C394AB8}"/>
    <cellStyle name="Normal 4 4 5 4 2 3 2" xfId="16627" xr:uid="{F6F643D9-921B-4F83-ACE2-30DE2B8B6C42}"/>
    <cellStyle name="Normal 4 4 5 4 2 4" xfId="16625" xr:uid="{607754CF-F073-42DB-9DEA-98CB810EA4DC}"/>
    <cellStyle name="Normal 4 4 5 4 3" xfId="7520" xr:uid="{7D92589C-3EB6-4BC8-BBEE-065FD03A5AA1}"/>
    <cellStyle name="Normal 4 4 5 4 3 2" xfId="16628" xr:uid="{49BA46E6-7846-4699-9DFD-85BE1F7A19FA}"/>
    <cellStyle name="Normal 4 4 5 4 4" xfId="7521" xr:uid="{1DB0273E-9942-48E1-8A43-F924C81B80F5}"/>
    <cellStyle name="Normal 4 4 5 4 4 2" xfId="16629" xr:uid="{0B81F3FA-1861-4037-9B33-45E88BC0FF8B}"/>
    <cellStyle name="Normal 4 4 5 4 5" xfId="7522" xr:uid="{44B0A03C-CAF1-4352-A1B3-DEC58A9DC2DC}"/>
    <cellStyle name="Normal 4 4 5 4 5 2" xfId="16630" xr:uid="{3D3C97C5-E759-4094-822E-E2475F84D19B}"/>
    <cellStyle name="Normal 4 4 5 4 6" xfId="16624" xr:uid="{7C838444-A0A8-47B2-AF96-5F3508CC2C80}"/>
    <cellStyle name="Normal 4 4 5 5" xfId="7523" xr:uid="{891006BC-E877-4930-BE58-9D314C3EE339}"/>
    <cellStyle name="Normal 4 4 5 5 2" xfId="7524" xr:uid="{4EBEAB73-79E1-4D66-BB25-DBA2D01BDCEC}"/>
    <cellStyle name="Normal 4 4 5 5 2 2" xfId="7525" xr:uid="{54B54A08-FD46-4A6B-A1F2-46D9161FFB56}"/>
    <cellStyle name="Normal 4 4 5 5 2 2 2" xfId="16633" xr:uid="{6FA6297D-B0DC-42DA-B0E0-C714E435F0B9}"/>
    <cellStyle name="Normal 4 4 5 5 2 3" xfId="7526" xr:uid="{5265FE8F-25E9-4E44-A49B-BB6B0F118305}"/>
    <cellStyle name="Normal 4 4 5 5 2 3 2" xfId="16634" xr:uid="{7B76C22F-CBE0-4E40-B1E9-3D59457D83DE}"/>
    <cellStyle name="Normal 4 4 5 5 2 4" xfId="16632" xr:uid="{EE8E7BFA-D88B-4980-A982-E4ECDD728D17}"/>
    <cellStyle name="Normal 4 4 5 5 3" xfId="7527" xr:uid="{636C8635-4E16-423F-AF56-8C1BC28EBB87}"/>
    <cellStyle name="Normal 4 4 5 5 3 2" xfId="16635" xr:uid="{11E8EE12-A52F-44F4-85E0-839E4E5E8D57}"/>
    <cellStyle name="Normal 4 4 5 5 4" xfId="7528" xr:uid="{4E68E57D-6584-43AD-BE64-147256186120}"/>
    <cellStyle name="Normal 4 4 5 5 4 2" xfId="16636" xr:uid="{31E5C245-4061-4CB9-B2C0-A5EB2885D560}"/>
    <cellStyle name="Normal 4 4 5 5 5" xfId="7529" xr:uid="{E67E7679-9046-4E8A-A5A5-3C1A4456FC77}"/>
    <cellStyle name="Normal 4 4 5 5 5 2" xfId="16637" xr:uid="{CB44B895-818F-44BA-ADCE-1FF2B8BCEE70}"/>
    <cellStyle name="Normal 4 4 5 5 6" xfId="16631" xr:uid="{915C38B5-A724-4B24-9FB7-50C9A173B36E}"/>
    <cellStyle name="Normal 4 4 5 6" xfId="7530" xr:uid="{39E49283-CA2E-49F5-BA7E-9A89AF30EC97}"/>
    <cellStyle name="Normal 4 4 5 6 2" xfId="7531" xr:uid="{679D1226-D228-4360-8929-C5E62C03B383}"/>
    <cellStyle name="Normal 4 4 5 6 2 2" xfId="16639" xr:uid="{EA318714-C737-412D-A52B-27F6EEBF6B87}"/>
    <cellStyle name="Normal 4 4 5 6 3" xfId="7532" xr:uid="{E8B28993-AA3B-4030-B82F-B93598FB1748}"/>
    <cellStyle name="Normal 4 4 5 6 3 2" xfId="16640" xr:uid="{D690A406-BA32-4D31-BB9C-CF41463D1E7A}"/>
    <cellStyle name="Normal 4 4 5 6 4" xfId="16638" xr:uid="{D9E0A40D-6AFA-4000-A7DD-A2ADDF3475E1}"/>
    <cellStyle name="Normal 4 4 5 7" xfId="7533" xr:uid="{2C1B0627-10A1-488A-A241-106F74979A5C}"/>
    <cellStyle name="Normal 4 4 5 7 2" xfId="16641" xr:uid="{0738DFDE-B8B4-41AA-90E9-0D39F37EADE1}"/>
    <cellStyle name="Normal 4 4 5 8" xfId="7534" xr:uid="{501DEA19-9924-4EBD-B25A-97190356C4DA}"/>
    <cellStyle name="Normal 4 4 5 8 2" xfId="16642" xr:uid="{4F165021-1E50-458C-8E31-7F8EF5FA4780}"/>
    <cellStyle name="Normal 4 4 5 9" xfId="7535" xr:uid="{E262F02D-A421-4CBD-9355-B1B36A9AB64E}"/>
    <cellStyle name="Normal 4 4 5 9 2" xfId="16643" xr:uid="{1052C402-3283-4D8E-8435-29568266B5DD}"/>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2 2" xfId="16648" xr:uid="{F95590C2-9F82-44AF-82CA-AE89F0859B3E}"/>
    <cellStyle name="Normal 4 4 6 2 2 2 3" xfId="7541" xr:uid="{8C81716F-71D1-4BB6-891C-A1C5BB526DC5}"/>
    <cellStyle name="Normal 4 4 6 2 2 2 3 2" xfId="16649" xr:uid="{D0C3E926-5AEB-48FC-A8FB-12F0B77B9449}"/>
    <cellStyle name="Normal 4 4 6 2 2 2 4" xfId="16647" xr:uid="{B454586A-A592-415E-A8B1-D19D26F6C128}"/>
    <cellStyle name="Normal 4 4 6 2 2 3" xfId="7542" xr:uid="{900D9764-FE46-4270-AEAE-75F57C10054C}"/>
    <cellStyle name="Normal 4 4 6 2 2 3 2" xfId="16650" xr:uid="{59A2A373-AC3C-4896-BE09-A5D2CECD6D96}"/>
    <cellStyle name="Normal 4 4 6 2 2 4" xfId="7543" xr:uid="{AC744682-3676-491D-80E1-EBB7A9563AF9}"/>
    <cellStyle name="Normal 4 4 6 2 2 4 2" xfId="16651" xr:uid="{B33A1EE0-5A69-4088-A4C7-BBB752384FCB}"/>
    <cellStyle name="Normal 4 4 6 2 2 5" xfId="7544" xr:uid="{A23BC3DD-8117-4B62-B69B-2E82C18B238F}"/>
    <cellStyle name="Normal 4 4 6 2 2 5 2" xfId="16652" xr:uid="{CE7C2018-2DC8-42AC-8448-264FDF8C00EB}"/>
    <cellStyle name="Normal 4 4 6 2 2 6" xfId="16646" xr:uid="{4E86C8D1-D671-4285-A1BD-D89AEC604300}"/>
    <cellStyle name="Normal 4 4 6 2 3" xfId="7545" xr:uid="{DCE60882-20CA-4914-B703-0F445155B916}"/>
    <cellStyle name="Normal 4 4 6 2 3 2" xfId="7546" xr:uid="{96D50D68-4DEC-4039-9661-E252140959C0}"/>
    <cellStyle name="Normal 4 4 6 2 3 2 2" xfId="7547" xr:uid="{0F73700D-4B41-4BBC-B82B-F937B4381A56}"/>
    <cellStyle name="Normal 4 4 6 2 3 2 2 2" xfId="16655" xr:uid="{E8BD7579-55C6-4EA7-BD39-A15EB86F830C}"/>
    <cellStyle name="Normal 4 4 6 2 3 2 3" xfId="7548" xr:uid="{6BB63C95-1B7C-4588-835D-B0CBD45EB6CB}"/>
    <cellStyle name="Normal 4 4 6 2 3 2 3 2" xfId="16656" xr:uid="{1AF88655-4EE3-4D05-BD66-1AAA3F90BFC7}"/>
    <cellStyle name="Normal 4 4 6 2 3 2 4" xfId="16654" xr:uid="{D552A217-B0C6-4BD4-8B61-8FD4E1D5C178}"/>
    <cellStyle name="Normal 4 4 6 2 3 3" xfId="7549" xr:uid="{DD54C78E-3AD0-4477-BA53-3A588308831C}"/>
    <cellStyle name="Normal 4 4 6 2 3 3 2" xfId="16657" xr:uid="{2DE562DE-7EE1-40B9-8855-1F1DE2FCD97E}"/>
    <cellStyle name="Normal 4 4 6 2 3 4" xfId="7550" xr:uid="{0698CDFF-5394-4E08-AE53-BDC7A0D9C641}"/>
    <cellStyle name="Normal 4 4 6 2 3 4 2" xfId="16658" xr:uid="{8977DC3C-F23C-41F5-8E0B-A1DED884C9AB}"/>
    <cellStyle name="Normal 4 4 6 2 3 5" xfId="7551" xr:uid="{A68AF04D-2B61-496E-93C7-346490959D24}"/>
    <cellStyle name="Normal 4 4 6 2 3 5 2" xfId="16659" xr:uid="{E6EEB8FF-55B2-4777-B8BD-C1B3ED8B7FA4}"/>
    <cellStyle name="Normal 4 4 6 2 3 6" xfId="16653" xr:uid="{FE621BC5-A35F-4EC0-89B1-EDF32B72FA41}"/>
    <cellStyle name="Normal 4 4 6 2 4" xfId="7552" xr:uid="{CC2729CB-394A-429D-82C1-7CB870EF6557}"/>
    <cellStyle name="Normal 4 4 6 2 4 2" xfId="7553" xr:uid="{36E39BA3-40AD-4111-BA67-781668A632E1}"/>
    <cellStyle name="Normal 4 4 6 2 4 2 2" xfId="16661" xr:uid="{7ACA27D1-D7E3-48E6-B3B6-7974B360E4D3}"/>
    <cellStyle name="Normal 4 4 6 2 4 3" xfId="7554" xr:uid="{FCA72A41-D7A2-4607-BF33-9CABF7DF7140}"/>
    <cellStyle name="Normal 4 4 6 2 4 3 2" xfId="16662" xr:uid="{895135C8-53A0-4D96-910E-ADDE40CE53BB}"/>
    <cellStyle name="Normal 4 4 6 2 4 4" xfId="16660" xr:uid="{CCD964A8-7540-436D-B103-3B8ABB1A8428}"/>
    <cellStyle name="Normal 4 4 6 2 5" xfId="7555" xr:uid="{791E236D-8CB7-4942-A10B-7167B6B7DF9D}"/>
    <cellStyle name="Normal 4 4 6 2 5 2" xfId="16663" xr:uid="{98BEFE6B-7C1F-4641-B03D-168073308C11}"/>
    <cellStyle name="Normal 4 4 6 2 6" xfId="7556" xr:uid="{94677BEF-0296-4876-9051-DEA292454D2F}"/>
    <cellStyle name="Normal 4 4 6 2 6 2" xfId="16664" xr:uid="{87E2F02E-5F56-4B55-8AB6-8B6AAD848C11}"/>
    <cellStyle name="Normal 4 4 6 2 7" xfId="7557" xr:uid="{63713623-06CC-4053-B2CD-49D7BEAC8DC0}"/>
    <cellStyle name="Normal 4 4 6 2 7 2" xfId="16665" xr:uid="{3900A674-6D33-432C-B47C-A42B77AC1DD1}"/>
    <cellStyle name="Normal 4 4 6 2 8" xfId="16645" xr:uid="{EBBBA73F-AC2F-48FC-81E0-3B5A6DB786DF}"/>
    <cellStyle name="Normal 4 4 6 3" xfId="7558" xr:uid="{D29BA90F-AF69-4938-B986-8C3BA12B2BD2}"/>
    <cellStyle name="Normal 4 4 6 3 2" xfId="7559" xr:uid="{7837DB3A-2888-43E4-BAE2-02E1785766BB}"/>
    <cellStyle name="Normal 4 4 6 3 2 2" xfId="7560" xr:uid="{559A3F2B-3A74-4E47-978B-B38B5602E30F}"/>
    <cellStyle name="Normal 4 4 6 3 2 2 2" xfId="16668" xr:uid="{291598F9-8F1E-4E6D-91B4-88C704380473}"/>
    <cellStyle name="Normal 4 4 6 3 2 3" xfId="7561" xr:uid="{6124F894-D019-4736-835F-652F7689712D}"/>
    <cellStyle name="Normal 4 4 6 3 2 3 2" xfId="16669" xr:uid="{9852ACD4-30A3-49A0-9284-51842BBD5A91}"/>
    <cellStyle name="Normal 4 4 6 3 2 4" xfId="16667" xr:uid="{E4E961B0-CE18-4438-A421-C1E6FD9E8EFD}"/>
    <cellStyle name="Normal 4 4 6 3 3" xfId="7562" xr:uid="{6DA0EFA9-092A-45A3-98C6-9C02A95A0620}"/>
    <cellStyle name="Normal 4 4 6 3 3 2" xfId="16670" xr:uid="{6D9D024F-62AA-42F6-8B1B-1DAE7509DAC2}"/>
    <cellStyle name="Normal 4 4 6 3 4" xfId="7563" xr:uid="{9B872BEC-E6A8-4C72-93D3-62736D34008A}"/>
    <cellStyle name="Normal 4 4 6 3 4 2" xfId="16671" xr:uid="{321FB7C4-163E-4427-B572-D39CBCE0F663}"/>
    <cellStyle name="Normal 4 4 6 3 5" xfId="7564" xr:uid="{E8697D8E-CB3D-4094-A974-BB88C29C5726}"/>
    <cellStyle name="Normal 4 4 6 3 5 2" xfId="16672" xr:uid="{3C3BA6FB-0C4E-4D9F-BA6C-3D8E1E18ED91}"/>
    <cellStyle name="Normal 4 4 6 3 6" xfId="16666" xr:uid="{03BE6742-BD36-4EBB-928B-C33C0885D87F}"/>
    <cellStyle name="Normal 4 4 6 4" xfId="7565" xr:uid="{CCF0E4FB-58A0-433C-BF08-224AF87B7C15}"/>
    <cellStyle name="Normal 4 4 6 4 2" xfId="7566" xr:uid="{E274E821-2400-49AA-8843-17BA27399CD3}"/>
    <cellStyle name="Normal 4 4 6 4 2 2" xfId="7567" xr:uid="{7D8FCF59-C9C8-4800-BC1D-AA258D9FA0E0}"/>
    <cellStyle name="Normal 4 4 6 4 2 2 2" xfId="16675" xr:uid="{550595C3-0569-44BA-9B9A-3E85EF721953}"/>
    <cellStyle name="Normal 4 4 6 4 2 3" xfId="7568" xr:uid="{3918F3DC-D35E-4AF0-8C21-4020E004BBD4}"/>
    <cellStyle name="Normal 4 4 6 4 2 3 2" xfId="16676" xr:uid="{9681A80A-D996-43C3-BC17-30E4B5DDA69B}"/>
    <cellStyle name="Normal 4 4 6 4 2 4" xfId="16674" xr:uid="{734388F0-1227-4474-81D6-270BE15820FF}"/>
    <cellStyle name="Normal 4 4 6 4 3" xfId="7569" xr:uid="{DD42D941-FCE1-4FB3-A40B-0094F71AAEA2}"/>
    <cellStyle name="Normal 4 4 6 4 3 2" xfId="16677" xr:uid="{88C32446-5BD0-4106-B2AC-4FD19C8A4808}"/>
    <cellStyle name="Normal 4 4 6 4 4" xfId="7570" xr:uid="{80FB27D1-BF33-4132-AF3F-4652357875A3}"/>
    <cellStyle name="Normal 4 4 6 4 4 2" xfId="16678" xr:uid="{420D4C5B-9126-41C9-BD83-F3F938D4125E}"/>
    <cellStyle name="Normal 4 4 6 4 5" xfId="7571" xr:uid="{81BB8ED3-1BAC-4D3E-9657-283930CB9718}"/>
    <cellStyle name="Normal 4 4 6 4 5 2" xfId="16679" xr:uid="{EB53882A-F365-4301-9F8D-45D515223EFB}"/>
    <cellStyle name="Normal 4 4 6 4 6" xfId="16673" xr:uid="{21DE7815-23EE-487E-A29F-9FBE23B9E770}"/>
    <cellStyle name="Normal 4 4 6 5" xfId="7572" xr:uid="{7AEE3092-B7AE-4261-9BEF-5EE3F2A42731}"/>
    <cellStyle name="Normal 4 4 6 5 2" xfId="7573" xr:uid="{94A5CB92-7770-4450-AB59-0E02C71B07E9}"/>
    <cellStyle name="Normal 4 4 6 5 2 2" xfId="16681" xr:uid="{66F7E39A-7488-4703-AF65-D445964EC602}"/>
    <cellStyle name="Normal 4 4 6 5 3" xfId="7574" xr:uid="{31A5823A-C80E-4F26-8824-A413AFDE39D3}"/>
    <cellStyle name="Normal 4 4 6 5 3 2" xfId="16682" xr:uid="{B1A3A0C8-890F-4E43-B191-C8C54E4FE280}"/>
    <cellStyle name="Normal 4 4 6 5 4" xfId="16680" xr:uid="{F76C0691-874C-4514-A9A2-875B742B3A3D}"/>
    <cellStyle name="Normal 4 4 6 6" xfId="7575" xr:uid="{A1A811ED-15C0-4319-B3C0-E9C275D404FC}"/>
    <cellStyle name="Normal 4 4 6 6 2" xfId="16683" xr:uid="{2840187F-AB9E-4162-80A5-1E22A3C3CAE9}"/>
    <cellStyle name="Normal 4 4 6 7" xfId="7576" xr:uid="{D6E084C5-7343-4645-B888-87256B075673}"/>
    <cellStyle name="Normal 4 4 6 7 2" xfId="16684" xr:uid="{FDD6645A-7BC3-4C18-9F15-D57986E76B01}"/>
    <cellStyle name="Normal 4 4 6 8" xfId="7577" xr:uid="{14BBD708-84CB-438B-90CE-2CE962495AF8}"/>
    <cellStyle name="Normal 4 4 6 8 2" xfId="16685" xr:uid="{B501BC62-A386-49F6-A718-C3FB76C4F742}"/>
    <cellStyle name="Normal 4 4 6 9" xfId="16644" xr:uid="{054F6189-8C4C-437D-896F-447A5BFF558E}"/>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2 2" xfId="16689" xr:uid="{9C00DBBF-0620-4343-B0D2-D0E6D329FBDF}"/>
    <cellStyle name="Normal 4 4 7 2 2 3" xfId="7582" xr:uid="{5513853F-3839-4776-B994-A1B003014196}"/>
    <cellStyle name="Normal 4 4 7 2 2 3 2" xfId="16690" xr:uid="{944DFAF6-891E-468F-A31B-44EE4EAB5346}"/>
    <cellStyle name="Normal 4 4 7 2 2 4" xfId="16688" xr:uid="{3C572E15-D7C4-4FAC-BACF-C79905B30E40}"/>
    <cellStyle name="Normal 4 4 7 2 3" xfId="7583" xr:uid="{6D9873E2-4F63-464D-8CE4-86202A001230}"/>
    <cellStyle name="Normal 4 4 7 2 3 2" xfId="16691" xr:uid="{BFAAB33E-4803-440D-AF14-91FDF1CB1F31}"/>
    <cellStyle name="Normal 4 4 7 2 4" xfId="7584" xr:uid="{3B485D46-5D3E-46BD-AF98-643E1785679D}"/>
    <cellStyle name="Normal 4 4 7 2 4 2" xfId="16692" xr:uid="{8DDB74FC-373B-4E9A-8CF6-E0B828EA3DF7}"/>
    <cellStyle name="Normal 4 4 7 2 5" xfId="7585" xr:uid="{FBE66C48-1708-4D86-94BE-0D44912C2C27}"/>
    <cellStyle name="Normal 4 4 7 2 5 2" xfId="16693" xr:uid="{A1E1223F-B319-4946-B61B-2ABCC7294B4C}"/>
    <cellStyle name="Normal 4 4 7 2 6" xfId="16687" xr:uid="{F463E626-43AF-4462-BB1A-50810D97B22B}"/>
    <cellStyle name="Normal 4 4 7 3" xfId="7586" xr:uid="{ED1C9B71-686C-46B7-BE24-4F6715D46FF4}"/>
    <cellStyle name="Normal 4 4 7 3 2" xfId="7587" xr:uid="{DB951EB1-3C60-47A7-B4FE-5BA97D73566D}"/>
    <cellStyle name="Normal 4 4 7 3 2 2" xfId="7588" xr:uid="{E5D4A733-804C-412D-9896-CDC9C386C159}"/>
    <cellStyle name="Normal 4 4 7 3 2 2 2" xfId="16696" xr:uid="{A5525204-11EF-4CFC-927D-43BF2340159B}"/>
    <cellStyle name="Normal 4 4 7 3 2 3" xfId="7589" xr:uid="{069C61FD-FCAA-415C-A013-5EB26F78965F}"/>
    <cellStyle name="Normal 4 4 7 3 2 3 2" xfId="16697" xr:uid="{1BF4A028-EECB-4D2A-AAA8-1A438E99F1A5}"/>
    <cellStyle name="Normal 4 4 7 3 2 4" xfId="16695" xr:uid="{BB680C74-8CE2-49FB-9946-18681BACEE56}"/>
    <cellStyle name="Normal 4 4 7 3 3" xfId="7590" xr:uid="{1E4223FB-84B4-4DF2-86D6-DE5373946DB5}"/>
    <cellStyle name="Normal 4 4 7 3 3 2" xfId="16698" xr:uid="{7E5433FC-01BA-4FFC-B703-BDC0E3CFAEFD}"/>
    <cellStyle name="Normal 4 4 7 3 4" xfId="7591" xr:uid="{F17FC4AC-2B11-46ED-82C4-D221EC4F38AA}"/>
    <cellStyle name="Normal 4 4 7 3 4 2" xfId="16699" xr:uid="{596FD425-07F6-461A-8555-08AD9958D9E2}"/>
    <cellStyle name="Normal 4 4 7 3 5" xfId="7592" xr:uid="{42FCC2BB-77A5-495D-AB76-C51DCAB2384F}"/>
    <cellStyle name="Normal 4 4 7 3 5 2" xfId="16700" xr:uid="{0E8D1D45-3933-4541-820F-89D76B9604FA}"/>
    <cellStyle name="Normal 4 4 7 3 6" xfId="16694" xr:uid="{62AC1F1B-E47A-4FA2-9F92-25CFC8BF5784}"/>
    <cellStyle name="Normal 4 4 7 4" xfId="7593" xr:uid="{0CCD4F36-7313-4760-83E5-788E0ACA51A5}"/>
    <cellStyle name="Normal 4 4 7 4 2" xfId="7594" xr:uid="{DD62BD3A-93FD-4DBB-B372-9857F279F5BB}"/>
    <cellStyle name="Normal 4 4 7 4 2 2" xfId="16702" xr:uid="{0F505C98-A3A6-4063-A746-CA1FED484D72}"/>
    <cellStyle name="Normal 4 4 7 4 3" xfId="7595" xr:uid="{9EC2823D-76F6-4807-8E86-013A99404E04}"/>
    <cellStyle name="Normal 4 4 7 4 3 2" xfId="16703" xr:uid="{3819F73E-F2DE-48E1-AF9C-4A552E3DF2E5}"/>
    <cellStyle name="Normal 4 4 7 4 4" xfId="16701" xr:uid="{020F70C8-7AE7-46F6-A0A7-55C12AAA0B84}"/>
    <cellStyle name="Normal 4 4 7 5" xfId="7596" xr:uid="{8E2E80DA-0B75-4344-8242-498DE7C4AB63}"/>
    <cellStyle name="Normal 4 4 7 5 2" xfId="16704" xr:uid="{3D924454-CA27-4A35-A9CE-ECC00EBF017B}"/>
    <cellStyle name="Normal 4 4 7 6" xfId="7597" xr:uid="{0A662B04-0465-4B88-A9C8-EC5233B23965}"/>
    <cellStyle name="Normal 4 4 7 6 2" xfId="16705" xr:uid="{F07D4697-A4D0-4137-AEA1-70995C523B8C}"/>
    <cellStyle name="Normal 4 4 7 7" xfId="7598" xr:uid="{31D1240B-B5CE-4ABF-925C-B4595B5FD7F2}"/>
    <cellStyle name="Normal 4 4 7 7 2" xfId="16706" xr:uid="{78574DAC-5827-44C5-AA37-4681ADA148E4}"/>
    <cellStyle name="Normal 4 4 7 8" xfId="16686" xr:uid="{F3D17B33-59C6-4248-8744-66EF359440E1}"/>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2 2" xfId="16710" xr:uid="{E51D7CDD-8C1F-4FB3-AEC1-7FC34DF1CDE2}"/>
    <cellStyle name="Normal 4 4 8 2 2 3" xfId="7603" xr:uid="{A215C686-D699-4F9F-92BF-08C2DB23A610}"/>
    <cellStyle name="Normal 4 4 8 2 2 3 2" xfId="16711" xr:uid="{865B0264-5796-4A3E-8823-AC17E8F75643}"/>
    <cellStyle name="Normal 4 4 8 2 2 4" xfId="16709" xr:uid="{D68B38CE-1A8C-4353-8EF1-A0B0CEBBEF52}"/>
    <cellStyle name="Normal 4 4 8 2 3" xfId="7604" xr:uid="{DEE82025-9653-41C4-AA54-C2AFAB12EF13}"/>
    <cellStyle name="Normal 4 4 8 2 3 2" xfId="16712" xr:uid="{4D3B99AF-8104-46B1-B783-8DF800E20342}"/>
    <cellStyle name="Normal 4 4 8 2 4" xfId="7605" xr:uid="{8628ECF9-92FE-40EB-A70C-3D15BC778E13}"/>
    <cellStyle name="Normal 4 4 8 2 4 2" xfId="16713" xr:uid="{9C35C0CF-FD5B-420A-8CD1-8C279DEB6271}"/>
    <cellStyle name="Normal 4 4 8 2 5" xfId="7606" xr:uid="{27C66778-B5D5-44B2-901B-4487DD6094F2}"/>
    <cellStyle name="Normal 4 4 8 2 5 2" xfId="16714" xr:uid="{16ECA57D-C94F-476E-B136-E02D039FC057}"/>
    <cellStyle name="Normal 4 4 8 2 6" xfId="16708" xr:uid="{FE10D712-5230-47A6-B664-0D522B761EBA}"/>
    <cellStyle name="Normal 4 4 8 3" xfId="7607" xr:uid="{C5C10D2D-09AF-47CB-8F87-D3E585A92427}"/>
    <cellStyle name="Normal 4 4 8 3 2" xfId="7608" xr:uid="{274D66F1-DF23-43BD-A7A4-7EEBD05016F8}"/>
    <cellStyle name="Normal 4 4 8 3 2 2" xfId="7609" xr:uid="{E4FD039E-2879-40F8-A10A-277F38BF980C}"/>
    <cellStyle name="Normal 4 4 8 3 2 2 2" xfId="16717" xr:uid="{2B583574-41DB-4D7F-81F7-E64C04A8D327}"/>
    <cellStyle name="Normal 4 4 8 3 2 3" xfId="7610" xr:uid="{459A8E75-6117-47CC-848D-39C5C338BD57}"/>
    <cellStyle name="Normal 4 4 8 3 2 3 2" xfId="16718" xr:uid="{9A9C299E-F2DE-44A4-A6AF-E521597425BB}"/>
    <cellStyle name="Normal 4 4 8 3 2 4" xfId="16716" xr:uid="{C87226E2-CD0B-4ABF-AA93-B893A469220B}"/>
    <cellStyle name="Normal 4 4 8 3 3" xfId="7611" xr:uid="{35778C43-0B19-4419-93CE-8ABBF4C2EFF2}"/>
    <cellStyle name="Normal 4 4 8 3 3 2" xfId="16719" xr:uid="{57703770-7D3D-4F05-8816-283BC2174840}"/>
    <cellStyle name="Normal 4 4 8 3 4" xfId="7612" xr:uid="{EDC4CF40-FB89-4855-A3AF-CE917A3F863D}"/>
    <cellStyle name="Normal 4 4 8 3 4 2" xfId="16720" xr:uid="{91EEAE18-1E41-4766-AE5A-DA108F70E504}"/>
    <cellStyle name="Normal 4 4 8 3 5" xfId="7613" xr:uid="{9D1B3A9F-A803-47F8-9CF4-EA4D117F1D30}"/>
    <cellStyle name="Normal 4 4 8 3 5 2" xfId="16721" xr:uid="{FAD0ADC0-7FDD-4DB3-999B-DE4EC5DC4F1A}"/>
    <cellStyle name="Normal 4 4 8 3 6" xfId="16715" xr:uid="{FF319D61-2D35-4F1F-BE40-A2A253E58BB4}"/>
    <cellStyle name="Normal 4 4 8 4" xfId="7614" xr:uid="{3E63A8DA-AF17-419A-B53E-F05B0AADE6CE}"/>
    <cellStyle name="Normal 4 4 8 4 2" xfId="7615" xr:uid="{4D8FC48F-7109-4756-8DD9-5DC1F4E175CA}"/>
    <cellStyle name="Normal 4 4 8 4 2 2" xfId="16723" xr:uid="{85B8B9B8-950D-4368-AC06-372B7450A1A3}"/>
    <cellStyle name="Normal 4 4 8 4 3" xfId="7616" xr:uid="{72FF3943-BA44-4002-89EE-9F599DEEC529}"/>
    <cellStyle name="Normal 4 4 8 4 3 2" xfId="16724" xr:uid="{39C3F6F4-A346-4E1A-81D1-EA870B7FE384}"/>
    <cellStyle name="Normal 4 4 8 4 4" xfId="16722" xr:uid="{0CC92DB8-852F-4207-93F4-F771AC0424B6}"/>
    <cellStyle name="Normal 4 4 8 5" xfId="7617" xr:uid="{FEAE85F6-1CD0-46BA-9D71-5CE15682061F}"/>
    <cellStyle name="Normal 4 4 8 5 2" xfId="16725" xr:uid="{A6038791-678F-4106-A396-BF65B333CF2D}"/>
    <cellStyle name="Normal 4 4 8 6" xfId="7618" xr:uid="{8399ECF6-9259-4C44-BC69-FD9F8D04B0A7}"/>
    <cellStyle name="Normal 4 4 8 6 2" xfId="16726" xr:uid="{99CFB916-AE97-4D7C-8A8E-C1B0873F4F13}"/>
    <cellStyle name="Normal 4 4 8 7" xfId="7619" xr:uid="{CA222E8E-9DF4-403D-9E96-3EBAD1D861FB}"/>
    <cellStyle name="Normal 4 4 8 7 2" xfId="16727" xr:uid="{E3519FB0-CA57-4AA6-9BE7-E618E2E5434B}"/>
    <cellStyle name="Normal 4 4 8 8" xfId="16707" xr:uid="{F489EB1F-6AFD-4B7E-A8D5-5FCB1E46B63C}"/>
    <cellStyle name="Normal 4 4 9" xfId="7620" xr:uid="{A338C6CF-3E77-42C8-A57C-2290BB8E5624}"/>
    <cellStyle name="Normal 4 4 9 2" xfId="7621" xr:uid="{13C34421-7FFF-4E88-A51F-085B0DB11B1C}"/>
    <cellStyle name="Normal 4 4 9 2 2" xfId="7622" xr:uid="{A449C3CA-9437-4AB9-A3D4-F73E90551392}"/>
    <cellStyle name="Normal 4 4 9 2 2 2" xfId="16730" xr:uid="{B71F6EDB-4990-4769-8A75-FFF5351E8D49}"/>
    <cellStyle name="Normal 4 4 9 2 3" xfId="7623" xr:uid="{D0A097F5-993F-4F39-9CE0-C645876B71DD}"/>
    <cellStyle name="Normal 4 4 9 2 3 2" xfId="16731" xr:uid="{E4673B13-18E7-43B6-B28B-D2109EBD370A}"/>
    <cellStyle name="Normal 4 4 9 2 4" xfId="16729" xr:uid="{0A36D592-A721-4324-BE75-057FE6D7F7F9}"/>
    <cellStyle name="Normal 4 4 9 3" xfId="7624" xr:uid="{E54F6383-E098-4A8B-9A4A-7015744471D9}"/>
    <cellStyle name="Normal 4 4 9 3 2" xfId="16732" xr:uid="{B6BE69A7-D33E-413F-940E-698B34E78E0D}"/>
    <cellStyle name="Normal 4 4 9 4" xfId="7625" xr:uid="{94F5B42E-ADF0-4FDC-ADE6-22A6D5837B29}"/>
    <cellStyle name="Normal 4 4 9 4 2" xfId="16733" xr:uid="{BAC92B91-F074-457D-9465-90405AF6212E}"/>
    <cellStyle name="Normal 4 4 9 5" xfId="7626" xr:uid="{534A7856-68DF-4B53-A0CA-706D20F3CC47}"/>
    <cellStyle name="Normal 4 4 9 5 2" xfId="16734" xr:uid="{5402846F-AB05-407E-9AF1-2B04C8736B72}"/>
    <cellStyle name="Normal 4 4 9 6" xfId="16728" xr:uid="{0E808072-92AB-4F23-80A1-D7EE697A48AC}"/>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2 2" xfId="16737" xr:uid="{7DCBD92E-809D-4BD3-8E17-7750A5A4432B}"/>
    <cellStyle name="Normal 4 5 10 2 3" xfId="7630" xr:uid="{2FEFE3A1-717F-48B0-9EE7-DF437BF1E079}"/>
    <cellStyle name="Normal 4 5 10 2 3 2" xfId="16738" xr:uid="{72452E34-78CB-4E7C-8D55-B4202E170EB4}"/>
    <cellStyle name="Normal 4 5 10 2 4" xfId="16736" xr:uid="{CC7E766F-14CC-4132-B1BB-E50A1B3E84FC}"/>
    <cellStyle name="Normal 4 5 10 3" xfId="7631" xr:uid="{A128210C-6899-4846-94E1-054261C35BAA}"/>
    <cellStyle name="Normal 4 5 10 3 2" xfId="16739" xr:uid="{606ABBBE-9A23-4B76-9299-DCA5731A25B0}"/>
    <cellStyle name="Normal 4 5 10 4" xfId="7632" xr:uid="{54BF7209-D7F4-472D-8EC0-77D1BB3C76D5}"/>
    <cellStyle name="Normal 4 5 10 4 2" xfId="16740" xr:uid="{3E9E4639-3499-4A7D-AA1D-73A7FEC52FB1}"/>
    <cellStyle name="Normal 4 5 10 5" xfId="7633" xr:uid="{F07D1E78-C63B-4CE0-BFF5-6FE34830F072}"/>
    <cellStyle name="Normal 4 5 10 5 2" xfId="16741" xr:uid="{2646887F-18D7-46E3-BF0E-75D2DF7A01F9}"/>
    <cellStyle name="Normal 4 5 10 6" xfId="16735" xr:uid="{2D113169-4A1B-40E5-89BA-542A9CF6F7F2}"/>
    <cellStyle name="Normal 4 5 11" xfId="7634" xr:uid="{8FC960D6-4242-46F4-B232-8DEDC8A5570D}"/>
    <cellStyle name="Normal 4 5 11 2" xfId="7635" xr:uid="{050CBA01-B740-4318-B0FD-47AB976863F0}"/>
    <cellStyle name="Normal 4 5 11 2 2" xfId="16743" xr:uid="{2E1B2A46-9603-4C4B-AEB3-6DE36307EC16}"/>
    <cellStyle name="Normal 4 5 11 3" xfId="7636" xr:uid="{FCB29F87-8B74-42CF-A0B6-0F73603B066E}"/>
    <cellStyle name="Normal 4 5 11 3 2" xfId="16744" xr:uid="{AA7C9CD6-C36A-450C-88A9-75AEAC11193E}"/>
    <cellStyle name="Normal 4 5 11 4" xfId="16742" xr:uid="{BC9DF0A3-C064-4D05-ACFE-147647C51C46}"/>
    <cellStyle name="Normal 4 5 12" xfId="7637" xr:uid="{2968218A-8646-4110-BCF5-62FA4FFCF89A}"/>
    <cellStyle name="Normal 4 5 12 2" xfId="16745" xr:uid="{313D945F-A603-4404-87E1-26F2C3E4542E}"/>
    <cellStyle name="Normal 4 5 13" xfId="7638" xr:uid="{A0AB05C0-B16D-447D-8F5D-B6C7B1907BF8}"/>
    <cellStyle name="Normal 4 5 13 2" xfId="16746" xr:uid="{B77B6C3B-5CD5-439D-B95D-EECB5FA2D8F1}"/>
    <cellStyle name="Normal 4 5 14" xfId="7639" xr:uid="{36D183F3-B716-4330-A588-F17491C1B13B}"/>
    <cellStyle name="Normal 4 5 14 2" xfId="16747" xr:uid="{0820A861-33DA-4A2B-A971-CE3949875E84}"/>
    <cellStyle name="Normal 4 5 2" xfId="1248" xr:uid="{AF0F3C4B-7775-4B71-B418-96E1D2A2598F}"/>
    <cellStyle name="Normal 4 5 2 10" xfId="7640" xr:uid="{A4C3FC1D-9B50-4A26-BB22-8E9FA481B08C}"/>
    <cellStyle name="Normal 4 5 2 10 2" xfId="16748" xr:uid="{20862447-65D5-45AB-A9F5-29E6E8C16B6C}"/>
    <cellStyle name="Normal 4 5 2 11" xfId="7641" xr:uid="{E7AF89C1-ED4E-414B-94C5-3072BC482010}"/>
    <cellStyle name="Normal 4 5 2 11 2" xfId="16749" xr:uid="{49342888-45A2-47D0-8979-172597CDE7BA}"/>
    <cellStyle name="Normal 4 5 2 12" xfId="7642" xr:uid="{ABF23F95-E7F7-485B-A6C2-971A195AC155}"/>
    <cellStyle name="Normal 4 5 2 12 2" xfId="16750" xr:uid="{914A4623-8058-4FBA-B11E-B2C0E7637C70}"/>
    <cellStyle name="Normal 4 5 2 2" xfId="7643" xr:uid="{038411A3-1E71-4B34-B23C-6281416BC5ED}"/>
    <cellStyle name="Normal 4 5 2 2 10" xfId="16751" xr:uid="{C518C352-0492-46C5-AFA8-4CCFD083990A}"/>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2 2" xfId="16756" xr:uid="{C5CEB20B-C506-4A11-A649-179545892678}"/>
    <cellStyle name="Normal 4 5 2 2 2 2 2 2 3" xfId="7649" xr:uid="{CC41A0C1-0458-491B-8B30-2CCC9F4C5977}"/>
    <cellStyle name="Normal 4 5 2 2 2 2 2 2 3 2" xfId="16757" xr:uid="{6C439B05-B0B9-4663-A682-82772E9258C7}"/>
    <cellStyle name="Normal 4 5 2 2 2 2 2 2 4" xfId="16755" xr:uid="{EC4A1F19-BE8E-4FE9-B0DE-0D834261B5AA}"/>
    <cellStyle name="Normal 4 5 2 2 2 2 2 3" xfId="7650" xr:uid="{E2F152B3-1CE9-4186-81EA-F4391B918BE4}"/>
    <cellStyle name="Normal 4 5 2 2 2 2 2 3 2" xfId="16758" xr:uid="{21B089F1-4A15-4A7A-8C21-5B015CE4EBC2}"/>
    <cellStyle name="Normal 4 5 2 2 2 2 2 4" xfId="7651" xr:uid="{BC6D6135-A1E1-4ABB-853D-8236D6F01FFA}"/>
    <cellStyle name="Normal 4 5 2 2 2 2 2 4 2" xfId="16759" xr:uid="{97C1F34A-08A3-425D-9682-D29C89220F44}"/>
    <cellStyle name="Normal 4 5 2 2 2 2 2 5" xfId="7652" xr:uid="{DA2760CB-75E3-449C-B278-AE5BB79F9434}"/>
    <cellStyle name="Normal 4 5 2 2 2 2 2 5 2" xfId="16760" xr:uid="{1C896701-2FA7-4983-8FC2-4B94FFBAA8D0}"/>
    <cellStyle name="Normal 4 5 2 2 2 2 2 6" xfId="16754" xr:uid="{F8A098C9-BFED-4F30-91BA-3E9BBDC78D30}"/>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2 2" xfId="16763" xr:uid="{8F608F94-E581-4AEF-95CD-19D8C00A91F2}"/>
    <cellStyle name="Normal 4 5 2 2 2 2 3 2 3" xfId="7656" xr:uid="{2CBEA6F7-479E-4D78-8435-3FE6A83E7553}"/>
    <cellStyle name="Normal 4 5 2 2 2 2 3 2 3 2" xfId="16764" xr:uid="{00198386-E7BB-469A-B776-D838E61E1D36}"/>
    <cellStyle name="Normal 4 5 2 2 2 2 3 2 4" xfId="16762" xr:uid="{69BDD7C3-EA15-4676-A835-07985471ACD7}"/>
    <cellStyle name="Normal 4 5 2 2 2 2 3 3" xfId="7657" xr:uid="{71C1C90B-2A97-479A-8409-29261010FE93}"/>
    <cellStyle name="Normal 4 5 2 2 2 2 3 3 2" xfId="16765" xr:uid="{DF57EECC-B59E-419F-8788-A048DF0E7411}"/>
    <cellStyle name="Normal 4 5 2 2 2 2 3 4" xfId="7658" xr:uid="{D0537713-1E3E-47C2-A6F5-FDB5D8C54BEB}"/>
    <cellStyle name="Normal 4 5 2 2 2 2 3 4 2" xfId="16766" xr:uid="{65EEB81E-90EA-4989-9660-FF3751BA1713}"/>
    <cellStyle name="Normal 4 5 2 2 2 2 3 5" xfId="7659" xr:uid="{0D5929E3-AB1B-428D-BFBA-22FB0E1166B7}"/>
    <cellStyle name="Normal 4 5 2 2 2 2 3 5 2" xfId="16767" xr:uid="{40BF596A-DB53-474E-B3C2-25A369548B98}"/>
    <cellStyle name="Normal 4 5 2 2 2 2 3 6" xfId="16761" xr:uid="{819270F2-3CB1-4FA5-A976-4CD1E274BB3E}"/>
    <cellStyle name="Normal 4 5 2 2 2 2 4" xfId="7660" xr:uid="{9EB2AD7A-22E9-4C1E-BB6C-439A8110C939}"/>
    <cellStyle name="Normal 4 5 2 2 2 2 4 2" xfId="7661" xr:uid="{6F11A2B9-0F2B-46A8-B0C0-C13DC9301A1E}"/>
    <cellStyle name="Normal 4 5 2 2 2 2 4 2 2" xfId="16769" xr:uid="{A429F7D7-D05B-457C-9046-C712A41A8908}"/>
    <cellStyle name="Normal 4 5 2 2 2 2 4 3" xfId="7662" xr:uid="{EF5C4BCE-6D3C-4F67-9999-7F7BBB886FA5}"/>
    <cellStyle name="Normal 4 5 2 2 2 2 4 3 2" xfId="16770" xr:uid="{B6AFA6F5-546F-43E4-9763-D66FD5FC27C0}"/>
    <cellStyle name="Normal 4 5 2 2 2 2 4 4" xfId="16768" xr:uid="{BB0715DE-989A-4A04-999C-8E7778ADBB7D}"/>
    <cellStyle name="Normal 4 5 2 2 2 2 5" xfId="7663" xr:uid="{65985945-1C9E-4552-8EE0-30CB32804680}"/>
    <cellStyle name="Normal 4 5 2 2 2 2 5 2" xfId="16771" xr:uid="{98EA108B-EFDB-4D30-92CE-E34F00F10729}"/>
    <cellStyle name="Normal 4 5 2 2 2 2 6" xfId="7664" xr:uid="{82D5BEF0-2A91-4C21-B947-3B5681BF2D6E}"/>
    <cellStyle name="Normal 4 5 2 2 2 2 6 2" xfId="16772" xr:uid="{EDC77409-5501-4732-9291-85065A485606}"/>
    <cellStyle name="Normal 4 5 2 2 2 2 7" xfId="7665" xr:uid="{BDC14084-02DB-443E-A84C-155F46DAE8CA}"/>
    <cellStyle name="Normal 4 5 2 2 2 2 7 2" xfId="16773" xr:uid="{BE837E3F-3CEA-450B-92D4-5C093C71E019}"/>
    <cellStyle name="Normal 4 5 2 2 2 2 8" xfId="16753" xr:uid="{9B4E8977-89A9-4A26-B8DF-8466E145F3E7}"/>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2 2" xfId="16776" xr:uid="{C6C59EC6-F129-427F-A29A-21D2DE51510A}"/>
    <cellStyle name="Normal 4 5 2 2 2 3 2 3" xfId="7669" xr:uid="{DF0EB0EE-08FD-4C6C-95FD-4F52FEDB8E2A}"/>
    <cellStyle name="Normal 4 5 2 2 2 3 2 3 2" xfId="16777" xr:uid="{45992E9E-DDBA-4329-B479-A90B50846B40}"/>
    <cellStyle name="Normal 4 5 2 2 2 3 2 4" xfId="16775" xr:uid="{B12E0A90-BA18-4B72-9F9D-37E2D663A53F}"/>
    <cellStyle name="Normal 4 5 2 2 2 3 3" xfId="7670" xr:uid="{A3967371-7674-49BD-BF7E-B3C2E9ECEA16}"/>
    <cellStyle name="Normal 4 5 2 2 2 3 3 2" xfId="16778" xr:uid="{83A34502-2730-4831-94E0-2166B115376B}"/>
    <cellStyle name="Normal 4 5 2 2 2 3 4" xfId="7671" xr:uid="{BF9979FE-EEF8-4C16-8B90-62D24DFCB800}"/>
    <cellStyle name="Normal 4 5 2 2 2 3 4 2" xfId="16779" xr:uid="{7E7746B2-38E9-4374-B479-B2FCA50C9C2C}"/>
    <cellStyle name="Normal 4 5 2 2 2 3 5" xfId="7672" xr:uid="{71820F5A-39C9-4BF8-AA8B-7353AC306912}"/>
    <cellStyle name="Normal 4 5 2 2 2 3 5 2" xfId="16780" xr:uid="{EB1696B4-B826-4095-AE6A-E40D2F1C28EB}"/>
    <cellStyle name="Normal 4 5 2 2 2 3 6" xfId="16774" xr:uid="{A93E86E5-A428-40C0-938E-F7425D28971D}"/>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2 2" xfId="16783" xr:uid="{3A98DC2C-7C8E-4D38-93C2-DA03FF8BA75E}"/>
    <cellStyle name="Normal 4 5 2 2 2 4 2 3" xfId="7676" xr:uid="{459A1B7B-DCE6-4893-9EC3-D26D4C74A73B}"/>
    <cellStyle name="Normal 4 5 2 2 2 4 2 3 2" xfId="16784" xr:uid="{64B3F690-971A-448D-81A0-8E7F9A985B3A}"/>
    <cellStyle name="Normal 4 5 2 2 2 4 2 4" xfId="16782" xr:uid="{6A84FED5-898C-4822-9D70-C4A667C395E5}"/>
    <cellStyle name="Normal 4 5 2 2 2 4 3" xfId="7677" xr:uid="{68F629C6-D7C2-481C-94EB-E6338E54D6DF}"/>
    <cellStyle name="Normal 4 5 2 2 2 4 3 2" xfId="16785" xr:uid="{33CF4ADE-CADC-4D02-AE59-AB9B88B1A3A9}"/>
    <cellStyle name="Normal 4 5 2 2 2 4 4" xfId="7678" xr:uid="{15FA7A04-D859-4A3A-8C34-CAB11AA42C68}"/>
    <cellStyle name="Normal 4 5 2 2 2 4 4 2" xfId="16786" xr:uid="{AFF503FC-716E-49E6-8343-8E76471C5EA9}"/>
    <cellStyle name="Normal 4 5 2 2 2 4 5" xfId="7679" xr:uid="{2F5DE783-C0EE-41E1-9953-40A8D67804B0}"/>
    <cellStyle name="Normal 4 5 2 2 2 4 5 2" xfId="16787" xr:uid="{6599ABB8-A5A5-45BD-BCF0-F3128A87846E}"/>
    <cellStyle name="Normal 4 5 2 2 2 4 6" xfId="16781" xr:uid="{EEE71615-CFCC-4E74-B9E9-46D35ED1F619}"/>
    <cellStyle name="Normal 4 5 2 2 2 5" xfId="7680" xr:uid="{278ED755-668A-4DB5-87EA-F327EDA13B6C}"/>
    <cellStyle name="Normal 4 5 2 2 2 5 2" xfId="7681" xr:uid="{C416C759-9C1F-412C-934F-C62607D2B5CC}"/>
    <cellStyle name="Normal 4 5 2 2 2 5 2 2" xfId="16789" xr:uid="{6AE5B2AA-E494-4FC4-B20F-2B954E17DF96}"/>
    <cellStyle name="Normal 4 5 2 2 2 5 3" xfId="7682" xr:uid="{FDF3A69C-8976-45BC-87EF-A2A46689B39D}"/>
    <cellStyle name="Normal 4 5 2 2 2 5 3 2" xfId="16790" xr:uid="{859EEFFD-6BA9-4557-B2C2-0907BC5355FE}"/>
    <cellStyle name="Normal 4 5 2 2 2 5 4" xfId="16788" xr:uid="{9AF4D64E-6F99-4B98-9CE9-3CA1F68E02D9}"/>
    <cellStyle name="Normal 4 5 2 2 2 6" xfId="7683" xr:uid="{01E19BD4-AD17-4480-8AB6-CC609D61A0B9}"/>
    <cellStyle name="Normal 4 5 2 2 2 6 2" xfId="16791" xr:uid="{87AFD7CE-731F-40BC-A090-DC95FB13773F}"/>
    <cellStyle name="Normal 4 5 2 2 2 7" xfId="7684" xr:uid="{48F2CC22-BDFB-4441-9FCB-F99433A46795}"/>
    <cellStyle name="Normal 4 5 2 2 2 7 2" xfId="16792" xr:uid="{CA6D72D6-8881-4EF4-91FD-8B4FC627FD23}"/>
    <cellStyle name="Normal 4 5 2 2 2 8" xfId="7685" xr:uid="{E42DA449-53BD-463C-A4AC-A7990EDEF60A}"/>
    <cellStyle name="Normal 4 5 2 2 2 8 2" xfId="16793" xr:uid="{D0EB506D-BEF4-428D-90CB-7D434169138C}"/>
    <cellStyle name="Normal 4 5 2 2 2 9" xfId="16752" xr:uid="{11869775-93E7-4FE1-B43F-0CAA1FB23E5D}"/>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2 2" xfId="16797" xr:uid="{DB9FC135-3883-47F1-BAA0-23A4C10646F1}"/>
    <cellStyle name="Normal 4 5 2 2 3 2 2 3" xfId="7690" xr:uid="{6537ECFE-6968-44C6-A763-09D90857D58C}"/>
    <cellStyle name="Normal 4 5 2 2 3 2 2 3 2" xfId="16798" xr:uid="{F6393034-50D8-4F1B-9F5B-66BBAC0D8561}"/>
    <cellStyle name="Normal 4 5 2 2 3 2 2 4" xfId="16796" xr:uid="{A48F79F5-47EA-462B-8BFC-DB77EE48F972}"/>
    <cellStyle name="Normal 4 5 2 2 3 2 3" xfId="7691" xr:uid="{1C516549-EFFA-4CC7-8419-F49293B0213B}"/>
    <cellStyle name="Normal 4 5 2 2 3 2 3 2" xfId="16799" xr:uid="{3D754CBF-304F-418D-85CA-0FE037F88F06}"/>
    <cellStyle name="Normal 4 5 2 2 3 2 4" xfId="7692" xr:uid="{E5631C5F-5263-4820-BCA5-042FD278A7DF}"/>
    <cellStyle name="Normal 4 5 2 2 3 2 4 2" xfId="16800" xr:uid="{DB5E0E61-18F3-45A1-87C9-54FCDFBAD878}"/>
    <cellStyle name="Normal 4 5 2 2 3 2 5" xfId="7693" xr:uid="{10C5B0F4-6E65-4E23-A319-6D1BE1768CBB}"/>
    <cellStyle name="Normal 4 5 2 2 3 2 5 2" xfId="16801" xr:uid="{28CF6DB8-5F0E-4C52-9F86-348A01D46171}"/>
    <cellStyle name="Normal 4 5 2 2 3 2 6" xfId="16795" xr:uid="{54BFC233-14AA-4E76-880A-3165484F05F1}"/>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2 2" xfId="16804" xr:uid="{37AB6974-A7F4-4B77-80FD-22CFDE8E4C21}"/>
    <cellStyle name="Normal 4 5 2 2 3 3 2 3" xfId="7697" xr:uid="{6C96F9FA-32AA-4E79-9A2C-98FA6487C7FA}"/>
    <cellStyle name="Normal 4 5 2 2 3 3 2 3 2" xfId="16805" xr:uid="{B8CDE106-6766-4562-9B32-6C6C6CDE393F}"/>
    <cellStyle name="Normal 4 5 2 2 3 3 2 4" xfId="16803" xr:uid="{2F54E8BB-3F89-4605-AF3C-8378FF1B9037}"/>
    <cellStyle name="Normal 4 5 2 2 3 3 3" xfId="7698" xr:uid="{35BEA7B4-CB42-47A8-987F-4B25091BCED2}"/>
    <cellStyle name="Normal 4 5 2 2 3 3 3 2" xfId="16806" xr:uid="{1CBF8976-2072-47CA-9646-F937959B1040}"/>
    <cellStyle name="Normal 4 5 2 2 3 3 4" xfId="7699" xr:uid="{5A51E852-4AC5-4663-8D74-2862BBCB135E}"/>
    <cellStyle name="Normal 4 5 2 2 3 3 4 2" xfId="16807" xr:uid="{74C144C7-15D5-4B2D-81DB-4F6839FF18B7}"/>
    <cellStyle name="Normal 4 5 2 2 3 3 5" xfId="7700" xr:uid="{77E97F3C-C7E7-4B58-BD2C-5E5481E1D8A8}"/>
    <cellStyle name="Normal 4 5 2 2 3 3 5 2" xfId="16808" xr:uid="{68365907-366B-4DE1-8DDA-FC8E0C4D841D}"/>
    <cellStyle name="Normal 4 5 2 2 3 3 6" xfId="16802" xr:uid="{57021AE9-6697-42B7-BA4F-54CB24C4E54C}"/>
    <cellStyle name="Normal 4 5 2 2 3 4" xfId="7701" xr:uid="{37D78269-859F-47C2-ACDA-722AC5BEAD2F}"/>
    <cellStyle name="Normal 4 5 2 2 3 4 2" xfId="7702" xr:uid="{54421516-CADE-43D7-9EEE-EA548126CF84}"/>
    <cellStyle name="Normal 4 5 2 2 3 4 2 2" xfId="16810" xr:uid="{B6A6F3F0-675A-4C6D-93F5-191AF43DAF97}"/>
    <cellStyle name="Normal 4 5 2 2 3 4 3" xfId="7703" xr:uid="{30E3DB46-82AC-40FE-89E7-CFA245681E89}"/>
    <cellStyle name="Normal 4 5 2 2 3 4 3 2" xfId="16811" xr:uid="{E429AA12-81A7-4B01-BF89-8218B8F1B582}"/>
    <cellStyle name="Normal 4 5 2 2 3 4 4" xfId="16809" xr:uid="{D6FE686C-947C-4D1A-BAFF-9B5742848C76}"/>
    <cellStyle name="Normal 4 5 2 2 3 5" xfId="7704" xr:uid="{28E86915-EB90-438F-A65B-12563A67D619}"/>
    <cellStyle name="Normal 4 5 2 2 3 5 2" xfId="16812" xr:uid="{1D613EB6-E3C4-4A53-9797-0D3906D48CA5}"/>
    <cellStyle name="Normal 4 5 2 2 3 6" xfId="7705" xr:uid="{CC3DFD4A-EA39-415A-8613-8ECAAE072EDA}"/>
    <cellStyle name="Normal 4 5 2 2 3 6 2" xfId="16813" xr:uid="{9D2ADE93-1F63-4EFB-AA75-527FF5CD2C4A}"/>
    <cellStyle name="Normal 4 5 2 2 3 7" xfId="7706" xr:uid="{37ABEDC5-30D7-4B85-A854-491BF13490B0}"/>
    <cellStyle name="Normal 4 5 2 2 3 7 2" xfId="16814" xr:uid="{C28369A2-251F-4B33-83D5-F3BCAE6F06DA}"/>
    <cellStyle name="Normal 4 5 2 2 3 8" xfId="16794" xr:uid="{EC8CE143-6C7A-4006-9DD4-882D32A52E59}"/>
    <cellStyle name="Normal 4 5 2 2 4" xfId="7707" xr:uid="{D255B80A-E7A5-4659-89A9-8539AC48CFC5}"/>
    <cellStyle name="Normal 4 5 2 2 4 2" xfId="7708" xr:uid="{5BA12F7A-DC1D-4E36-A231-C677727EE659}"/>
    <cellStyle name="Normal 4 5 2 2 4 2 2" xfId="7709" xr:uid="{51925B16-DDA2-4882-829A-36C2E977E026}"/>
    <cellStyle name="Normal 4 5 2 2 4 2 2 2" xfId="16817" xr:uid="{96A65A28-D7D8-451A-8ADD-130677BABC8A}"/>
    <cellStyle name="Normal 4 5 2 2 4 2 3" xfId="7710" xr:uid="{25AF0FC9-A448-486E-933A-AAA83D09AF8F}"/>
    <cellStyle name="Normal 4 5 2 2 4 2 3 2" xfId="16818" xr:uid="{2B334B5D-1412-41A7-889B-F7050C598F56}"/>
    <cellStyle name="Normal 4 5 2 2 4 2 4" xfId="16816" xr:uid="{1391FCA7-825A-4865-8719-5A691BABC5BF}"/>
    <cellStyle name="Normal 4 5 2 2 4 3" xfId="7711" xr:uid="{95606E65-878F-4F40-BE44-4B8B42E02D19}"/>
    <cellStyle name="Normal 4 5 2 2 4 3 2" xfId="16819" xr:uid="{F229354D-A273-4C91-9D7E-E73E8516040E}"/>
    <cellStyle name="Normal 4 5 2 2 4 4" xfId="7712" xr:uid="{7B5AD3E4-2EF1-49E9-8097-1C8A9732F520}"/>
    <cellStyle name="Normal 4 5 2 2 4 4 2" xfId="16820" xr:uid="{0D7FCBAC-8092-4052-8722-1BE73FF8CFD9}"/>
    <cellStyle name="Normal 4 5 2 2 4 5" xfId="7713" xr:uid="{2E744650-3F3C-4200-B58D-AC401428D82D}"/>
    <cellStyle name="Normal 4 5 2 2 4 5 2" xfId="16821" xr:uid="{6EDF7D01-58F1-46FA-A89C-168BCBDB12FE}"/>
    <cellStyle name="Normal 4 5 2 2 4 6" xfId="16815" xr:uid="{85D3A760-2B16-4482-A84B-9477EBCD9F54}"/>
    <cellStyle name="Normal 4 5 2 2 5" xfId="7714" xr:uid="{31FAC980-16D5-4C27-B6CE-0048DECE896E}"/>
    <cellStyle name="Normal 4 5 2 2 5 2" xfId="7715" xr:uid="{C3892573-A79B-4399-93A0-65EAEC36A540}"/>
    <cellStyle name="Normal 4 5 2 2 5 2 2" xfId="7716" xr:uid="{DCF45483-02B1-42DA-BCC5-FFC80DFC9E21}"/>
    <cellStyle name="Normal 4 5 2 2 5 2 2 2" xfId="16824" xr:uid="{058E3DBE-452C-4F04-9ED6-ABA12555DE67}"/>
    <cellStyle name="Normal 4 5 2 2 5 2 3" xfId="7717" xr:uid="{663B85BC-0937-454A-A4DB-E53CCBDBE9A9}"/>
    <cellStyle name="Normal 4 5 2 2 5 2 3 2" xfId="16825" xr:uid="{797020F3-F2A4-49CA-B1A9-3A2656E3A06F}"/>
    <cellStyle name="Normal 4 5 2 2 5 2 4" xfId="16823" xr:uid="{C46DC580-8600-437C-A1DE-8B52F49DA7D3}"/>
    <cellStyle name="Normal 4 5 2 2 5 3" xfId="7718" xr:uid="{D50C510B-D70D-4D31-BDCC-9768059C4DA1}"/>
    <cellStyle name="Normal 4 5 2 2 5 3 2" xfId="16826" xr:uid="{488D37AA-D24A-489B-8968-C63A2F939664}"/>
    <cellStyle name="Normal 4 5 2 2 5 4" xfId="7719" xr:uid="{D6E58A4F-1B69-4BAE-8A76-B73944ED7B45}"/>
    <cellStyle name="Normal 4 5 2 2 5 4 2" xfId="16827" xr:uid="{123A3EB0-CF75-4FE5-9A65-600892CFDAD3}"/>
    <cellStyle name="Normal 4 5 2 2 5 5" xfId="7720" xr:uid="{C8F9926D-B06D-4BF5-9EC2-FE66D26D6ED3}"/>
    <cellStyle name="Normal 4 5 2 2 5 5 2" xfId="16828" xr:uid="{0A6293B7-93AA-4D07-8F31-FB73A5A8E623}"/>
    <cellStyle name="Normal 4 5 2 2 5 6" xfId="16822" xr:uid="{406AFCD4-E344-461F-994E-AF301782321A}"/>
    <cellStyle name="Normal 4 5 2 2 6" xfId="7721" xr:uid="{9B32F245-75F5-4F53-8450-1B7F07903639}"/>
    <cellStyle name="Normal 4 5 2 2 6 2" xfId="7722" xr:uid="{EA5A7CB6-B87F-4149-863B-B3D0AA3969DA}"/>
    <cellStyle name="Normal 4 5 2 2 6 2 2" xfId="16830" xr:uid="{9DC693F7-003A-493A-BBB4-EC9281E27ACB}"/>
    <cellStyle name="Normal 4 5 2 2 6 3" xfId="7723" xr:uid="{E7CE4DC8-6EEA-4381-9BF2-88E71A2E023F}"/>
    <cellStyle name="Normal 4 5 2 2 6 3 2" xfId="16831" xr:uid="{E7BDD8A1-E81E-476F-8FFC-3E3BFE88B95D}"/>
    <cellStyle name="Normal 4 5 2 2 6 4" xfId="16829" xr:uid="{E64BB8BD-B693-416D-B036-1B5BFA4A958F}"/>
    <cellStyle name="Normal 4 5 2 2 7" xfId="7724" xr:uid="{6B9E6FEF-9243-44D3-A65E-B31A9FFF8707}"/>
    <cellStyle name="Normal 4 5 2 2 7 2" xfId="16832" xr:uid="{F8DA6428-BB0B-4510-BBA4-A2D4B0109F0A}"/>
    <cellStyle name="Normal 4 5 2 2 8" xfId="7725" xr:uid="{5CC7F546-3B64-4C0B-9037-785ABB029D4E}"/>
    <cellStyle name="Normal 4 5 2 2 8 2" xfId="16833" xr:uid="{264E67D5-3D7E-482C-83F5-934771AE979E}"/>
    <cellStyle name="Normal 4 5 2 2 9" xfId="7726" xr:uid="{27C0B073-190C-44C3-987F-B8F180FF3319}"/>
    <cellStyle name="Normal 4 5 2 2 9 2" xfId="16834" xr:uid="{3D69B199-A9F4-4507-9237-65E3AAC6ACAE}"/>
    <cellStyle name="Normal 4 5 2 3" xfId="7727" xr:uid="{41C8C9EC-BA4E-490C-9D9E-B5DCCEBAA81D}"/>
    <cellStyle name="Normal 4 5 2 3 10" xfId="16835" xr:uid="{585AF9B8-A8F8-4611-B72B-C636448DDC74}"/>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2 2" xfId="16840" xr:uid="{505C2CDF-8838-4325-9D00-0AD4D3F09F48}"/>
    <cellStyle name="Normal 4 5 2 3 2 2 2 2 3" xfId="7733" xr:uid="{71143F35-F026-4C6C-94B0-E821EE229B45}"/>
    <cellStyle name="Normal 4 5 2 3 2 2 2 2 3 2" xfId="16841" xr:uid="{2C75B656-4DDC-4C28-B731-DF70F02B253E}"/>
    <cellStyle name="Normal 4 5 2 3 2 2 2 2 4" xfId="16839" xr:uid="{C172A191-ACEE-4B13-8891-3E005882F431}"/>
    <cellStyle name="Normal 4 5 2 3 2 2 2 3" xfId="7734" xr:uid="{551034A7-6D61-41A0-8983-B73B3D2449DB}"/>
    <cellStyle name="Normal 4 5 2 3 2 2 2 3 2" xfId="16842" xr:uid="{6EAEABFA-ED6F-493D-B1B5-2D0CDBB23CB9}"/>
    <cellStyle name="Normal 4 5 2 3 2 2 2 4" xfId="7735" xr:uid="{9AF8E63B-3348-4DAC-8B04-636990E71A35}"/>
    <cellStyle name="Normal 4 5 2 3 2 2 2 4 2" xfId="16843" xr:uid="{67F13287-6626-4687-93B5-335BEA0CA05B}"/>
    <cellStyle name="Normal 4 5 2 3 2 2 2 5" xfId="7736" xr:uid="{0224156E-D67B-4CCC-9816-74D4875520BC}"/>
    <cellStyle name="Normal 4 5 2 3 2 2 2 5 2" xfId="16844" xr:uid="{A390DFBB-D9CB-4888-9A28-7879A1CAD933}"/>
    <cellStyle name="Normal 4 5 2 3 2 2 2 6" xfId="16838" xr:uid="{44EE308D-5DFA-4847-B419-F77C1E74CEF3}"/>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2 2" xfId="16847" xr:uid="{C56E5102-7A73-4792-A73A-D22DECEF2308}"/>
    <cellStyle name="Normal 4 5 2 3 2 2 3 2 3" xfId="7740" xr:uid="{5C23A2E9-B228-48C9-BE01-9F3903466BE8}"/>
    <cellStyle name="Normal 4 5 2 3 2 2 3 2 3 2" xfId="16848" xr:uid="{B813B94A-0C86-4609-922B-AE2541DAFAD2}"/>
    <cellStyle name="Normal 4 5 2 3 2 2 3 2 4" xfId="16846" xr:uid="{B2C69F0F-EEB6-4ACA-939A-594C49B2344D}"/>
    <cellStyle name="Normal 4 5 2 3 2 2 3 3" xfId="7741" xr:uid="{75F2413C-0C44-4835-8BA1-2E6C820A10FA}"/>
    <cellStyle name="Normal 4 5 2 3 2 2 3 3 2" xfId="16849" xr:uid="{3A65689E-1670-41C0-8E0A-C543A0170E52}"/>
    <cellStyle name="Normal 4 5 2 3 2 2 3 4" xfId="7742" xr:uid="{C3DADDAB-48B9-411B-8FD4-65C5FD67204E}"/>
    <cellStyle name="Normal 4 5 2 3 2 2 3 4 2" xfId="16850" xr:uid="{27117335-AEBF-4CBF-9517-CEBE6CBECC03}"/>
    <cellStyle name="Normal 4 5 2 3 2 2 3 5" xfId="7743" xr:uid="{79945C56-E423-49FE-8CD6-B690CD4B1681}"/>
    <cellStyle name="Normal 4 5 2 3 2 2 3 5 2" xfId="16851" xr:uid="{14669FD6-7E84-465E-9B73-7D881CE9EC16}"/>
    <cellStyle name="Normal 4 5 2 3 2 2 3 6" xfId="16845" xr:uid="{6FBE2A86-C03C-4164-B957-A7B41A90BAD0}"/>
    <cellStyle name="Normal 4 5 2 3 2 2 4" xfId="7744" xr:uid="{2AB79901-090A-441F-B0D3-1984C01F15FC}"/>
    <cellStyle name="Normal 4 5 2 3 2 2 4 2" xfId="7745" xr:uid="{F7CEBF98-13C6-4774-8C45-2B3CD211D67F}"/>
    <cellStyle name="Normal 4 5 2 3 2 2 4 2 2" xfId="16853" xr:uid="{9D61AADF-F038-45C7-8F96-BBB101A9E058}"/>
    <cellStyle name="Normal 4 5 2 3 2 2 4 3" xfId="7746" xr:uid="{AEE4C2E8-6B4F-43F5-817C-8B6069F45CE4}"/>
    <cellStyle name="Normal 4 5 2 3 2 2 4 3 2" xfId="16854" xr:uid="{37690F4D-2E54-4053-A4AD-0183D9D99334}"/>
    <cellStyle name="Normal 4 5 2 3 2 2 4 4" xfId="16852" xr:uid="{7F4AF7AB-15E3-40B0-B061-4A2D6E040C86}"/>
    <cellStyle name="Normal 4 5 2 3 2 2 5" xfId="7747" xr:uid="{43079EB5-7A08-4928-9F0E-72569971BFE9}"/>
    <cellStyle name="Normal 4 5 2 3 2 2 5 2" xfId="16855" xr:uid="{B74FCB9B-D7A1-467C-9E15-38564FAF8159}"/>
    <cellStyle name="Normal 4 5 2 3 2 2 6" xfId="7748" xr:uid="{C28A4376-33EB-4981-BF69-03FD3728990A}"/>
    <cellStyle name="Normal 4 5 2 3 2 2 6 2" xfId="16856" xr:uid="{2494A290-6656-475B-ADA3-9C7D1FDF6D9B}"/>
    <cellStyle name="Normal 4 5 2 3 2 2 7" xfId="7749" xr:uid="{941AC0B5-0BC2-4166-9A27-D5AA5CBBA0FF}"/>
    <cellStyle name="Normal 4 5 2 3 2 2 7 2" xfId="16857" xr:uid="{C71BCFA5-F108-4E08-8E5F-5B78CA413AB0}"/>
    <cellStyle name="Normal 4 5 2 3 2 2 8" xfId="16837" xr:uid="{786A4FBD-1DC5-4B32-B96B-064B0B3DF795}"/>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2 2" xfId="16860" xr:uid="{C7FFC604-1177-4ED2-AA71-22BFB979CF0E}"/>
    <cellStyle name="Normal 4 5 2 3 2 3 2 3" xfId="7753" xr:uid="{BE1D7857-3C0E-480A-9422-789B466A263C}"/>
    <cellStyle name="Normal 4 5 2 3 2 3 2 3 2" xfId="16861" xr:uid="{0F8366BF-86AA-411D-B7E3-313E8B7F49B5}"/>
    <cellStyle name="Normal 4 5 2 3 2 3 2 4" xfId="16859" xr:uid="{6CDA19E4-4D9F-4443-92A7-AB8C9AAE060A}"/>
    <cellStyle name="Normal 4 5 2 3 2 3 3" xfId="7754" xr:uid="{10A9176C-5C3F-43D3-A6D7-C4D3311424EA}"/>
    <cellStyle name="Normal 4 5 2 3 2 3 3 2" xfId="16862" xr:uid="{C2FD28FC-5D4C-453B-82AA-C7BE2E3C041A}"/>
    <cellStyle name="Normal 4 5 2 3 2 3 4" xfId="7755" xr:uid="{A9BA0FD8-EF42-4E05-93FB-A1D634D8C611}"/>
    <cellStyle name="Normal 4 5 2 3 2 3 4 2" xfId="16863" xr:uid="{A441C4D8-9805-4499-81B2-4E0BD63F4352}"/>
    <cellStyle name="Normal 4 5 2 3 2 3 5" xfId="7756" xr:uid="{15370362-697C-4625-8351-548429E41215}"/>
    <cellStyle name="Normal 4 5 2 3 2 3 5 2" xfId="16864" xr:uid="{2D53E48D-E2E5-4F4A-B327-D0C8ED49E7CD}"/>
    <cellStyle name="Normal 4 5 2 3 2 3 6" xfId="16858" xr:uid="{C4AB2F1F-60FF-4956-B226-EACBBB31631C}"/>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2 2" xfId="16867" xr:uid="{7EEFE3E6-A3CE-43E2-B2DF-E653B3BEF11C}"/>
    <cellStyle name="Normal 4 5 2 3 2 4 2 3" xfId="7760" xr:uid="{EF33ADDD-9042-47EE-A7AB-B00F2CF25A7E}"/>
    <cellStyle name="Normal 4 5 2 3 2 4 2 3 2" xfId="16868" xr:uid="{133A2032-EDC3-4C7F-A849-B6D8A34B2748}"/>
    <cellStyle name="Normal 4 5 2 3 2 4 2 4" xfId="16866" xr:uid="{C81589C6-C4D9-4399-A3CB-F95FB26FD348}"/>
    <cellStyle name="Normal 4 5 2 3 2 4 3" xfId="7761" xr:uid="{51F45B57-E08F-4D33-A6C4-43E4F79A656C}"/>
    <cellStyle name="Normal 4 5 2 3 2 4 3 2" xfId="16869" xr:uid="{9C5B1F1E-DD16-4C34-AE0F-8C98324FFE68}"/>
    <cellStyle name="Normal 4 5 2 3 2 4 4" xfId="7762" xr:uid="{4312B914-E397-4C60-8D8F-021159F5BE4B}"/>
    <cellStyle name="Normal 4 5 2 3 2 4 4 2" xfId="16870" xr:uid="{ADDC50CE-3098-46C1-8BF8-5EB1A8015E70}"/>
    <cellStyle name="Normal 4 5 2 3 2 4 5" xfId="7763" xr:uid="{CF7EEB36-5171-4F62-B81D-3039DD42E444}"/>
    <cellStyle name="Normal 4 5 2 3 2 4 5 2" xfId="16871" xr:uid="{4775B4DB-8091-4C12-B1E2-36237E1BAA49}"/>
    <cellStyle name="Normal 4 5 2 3 2 4 6" xfId="16865" xr:uid="{BD9CABBC-916D-46A4-B6C7-718300D606DE}"/>
    <cellStyle name="Normal 4 5 2 3 2 5" xfId="7764" xr:uid="{E1A3933D-2B25-4A39-8C86-B2CA3AAC5135}"/>
    <cellStyle name="Normal 4 5 2 3 2 5 2" xfId="7765" xr:uid="{49B427D9-2DAD-46AE-A5A2-A5DD804EBE00}"/>
    <cellStyle name="Normal 4 5 2 3 2 5 2 2" xfId="16873" xr:uid="{650A7306-E8A7-4CF8-869C-3DEE15A1B848}"/>
    <cellStyle name="Normal 4 5 2 3 2 5 3" xfId="7766" xr:uid="{5702C4D2-FCB3-4E0E-96CD-1AFCC9018589}"/>
    <cellStyle name="Normal 4 5 2 3 2 5 3 2" xfId="16874" xr:uid="{B3C3EB2A-DECF-4A76-A049-BDEAF1BD2E50}"/>
    <cellStyle name="Normal 4 5 2 3 2 5 4" xfId="16872" xr:uid="{DAD82C72-6AD4-4ED2-9179-082A93C93DED}"/>
    <cellStyle name="Normal 4 5 2 3 2 6" xfId="7767" xr:uid="{5053D4EA-5947-4BD4-BE89-72D044B6F224}"/>
    <cellStyle name="Normal 4 5 2 3 2 6 2" xfId="16875" xr:uid="{22EADD1D-7DC0-407D-BE0B-DB0E4218E1EC}"/>
    <cellStyle name="Normal 4 5 2 3 2 7" xfId="7768" xr:uid="{A4B3B1EB-AA76-426E-A393-7FDB00F42B48}"/>
    <cellStyle name="Normal 4 5 2 3 2 7 2" xfId="16876" xr:uid="{CDF6B5BB-3DE8-433A-9C54-11FFE5997593}"/>
    <cellStyle name="Normal 4 5 2 3 2 8" xfId="7769" xr:uid="{D333C69C-FC7F-447F-86EB-4EDB1885375D}"/>
    <cellStyle name="Normal 4 5 2 3 2 8 2" xfId="16877" xr:uid="{80725B5B-4FC1-4708-9A6D-F4C65767AE66}"/>
    <cellStyle name="Normal 4 5 2 3 2 9" xfId="16836" xr:uid="{814BE6C8-4C5B-408F-A982-EAA2097EC10A}"/>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2 2" xfId="16881" xr:uid="{3A641824-4438-4C3E-ADFA-91ADEB3C086A}"/>
    <cellStyle name="Normal 4 5 2 3 3 2 2 3" xfId="7774" xr:uid="{91570ABC-B584-4368-B8CB-5B1F4604B0FA}"/>
    <cellStyle name="Normal 4 5 2 3 3 2 2 3 2" xfId="16882" xr:uid="{F923AB0C-CAEE-4C80-9C92-15AB86D8A584}"/>
    <cellStyle name="Normal 4 5 2 3 3 2 2 4" xfId="16880" xr:uid="{FB6F0ED3-82DC-42CE-941C-F622845A0D0D}"/>
    <cellStyle name="Normal 4 5 2 3 3 2 3" xfId="7775" xr:uid="{746A10D0-2FEE-4093-BEAE-A7954FA2DB5E}"/>
    <cellStyle name="Normal 4 5 2 3 3 2 3 2" xfId="16883" xr:uid="{AE210AA5-AC47-4A40-B726-A73427AD2A0A}"/>
    <cellStyle name="Normal 4 5 2 3 3 2 4" xfId="7776" xr:uid="{498ECBFB-71A8-4520-B8AF-9B1B64C311BF}"/>
    <cellStyle name="Normal 4 5 2 3 3 2 4 2" xfId="16884" xr:uid="{7205B835-79B3-4063-B382-50CE380B17B7}"/>
    <cellStyle name="Normal 4 5 2 3 3 2 5" xfId="7777" xr:uid="{663FA0A3-63B7-47B5-B5DC-FE8AC31DB319}"/>
    <cellStyle name="Normal 4 5 2 3 3 2 5 2" xfId="16885" xr:uid="{52AEE267-DEA3-4275-9F05-4B12A987D437}"/>
    <cellStyle name="Normal 4 5 2 3 3 2 6" xfId="16879" xr:uid="{670BE52F-C7EB-4DAE-BBCB-46CDFCC93FFB}"/>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2 2" xfId="16888" xr:uid="{54309249-4914-4D40-89CC-D494BA2A2C31}"/>
    <cellStyle name="Normal 4 5 2 3 3 3 2 3" xfId="7781" xr:uid="{08DABF99-4870-480B-97D1-E98C67A1EF47}"/>
    <cellStyle name="Normal 4 5 2 3 3 3 2 3 2" xfId="16889" xr:uid="{D64384C5-863A-4CED-94A3-C5DF43E5F35A}"/>
    <cellStyle name="Normal 4 5 2 3 3 3 2 4" xfId="16887" xr:uid="{9C814A56-EB92-4B8F-9C73-A85EFF9F848A}"/>
    <cellStyle name="Normal 4 5 2 3 3 3 3" xfId="7782" xr:uid="{5258C6EA-B7F5-4788-A7F1-2B618CE25E64}"/>
    <cellStyle name="Normal 4 5 2 3 3 3 3 2" xfId="16890" xr:uid="{819B168B-BC83-4270-BE1E-CAE34EA923EE}"/>
    <cellStyle name="Normal 4 5 2 3 3 3 4" xfId="7783" xr:uid="{B8FF9E1A-BFBE-416D-A7C9-23A81035B894}"/>
    <cellStyle name="Normal 4 5 2 3 3 3 4 2" xfId="16891" xr:uid="{0E086C25-1D3C-4FDD-9885-E35DB0F1126C}"/>
    <cellStyle name="Normal 4 5 2 3 3 3 5" xfId="7784" xr:uid="{0EE2A05F-2B64-4B48-9463-B5C4D5899135}"/>
    <cellStyle name="Normal 4 5 2 3 3 3 5 2" xfId="16892" xr:uid="{1F5F35BC-B3B1-42F3-95D3-D8DE3C105AF0}"/>
    <cellStyle name="Normal 4 5 2 3 3 3 6" xfId="16886" xr:uid="{3C2EF5E6-008F-404D-AC7A-CE71DA279221}"/>
    <cellStyle name="Normal 4 5 2 3 3 4" xfId="7785" xr:uid="{F81ED5D3-544D-40B3-8E6E-2B74F102C76C}"/>
    <cellStyle name="Normal 4 5 2 3 3 4 2" xfId="7786" xr:uid="{33A72A04-7F5B-4275-9BDE-C2F733363A73}"/>
    <cellStyle name="Normal 4 5 2 3 3 4 2 2" xfId="16894" xr:uid="{64A5F74F-4B25-4004-BAAB-1282D73430D3}"/>
    <cellStyle name="Normal 4 5 2 3 3 4 3" xfId="7787" xr:uid="{4E2A2A3E-8EA5-4D54-8D55-BEC53F984E82}"/>
    <cellStyle name="Normal 4 5 2 3 3 4 3 2" xfId="16895" xr:uid="{A8F423E3-E39F-4F3E-9862-33C1D2E52130}"/>
    <cellStyle name="Normal 4 5 2 3 3 4 4" xfId="16893" xr:uid="{73E47AFD-E1F7-4D53-87F6-F434368B6695}"/>
    <cellStyle name="Normal 4 5 2 3 3 5" xfId="7788" xr:uid="{10866360-458C-4712-B22A-AC8F998EB7C3}"/>
    <cellStyle name="Normal 4 5 2 3 3 5 2" xfId="16896" xr:uid="{C5692FB5-26F0-494A-A4F0-2FAF037687F5}"/>
    <cellStyle name="Normal 4 5 2 3 3 6" xfId="7789" xr:uid="{C6B49688-7C93-489E-9356-68DAC6B4EFB8}"/>
    <cellStyle name="Normal 4 5 2 3 3 6 2" xfId="16897" xr:uid="{9A4BA0DC-80B8-4FE9-A7E3-113E8CA90DED}"/>
    <cellStyle name="Normal 4 5 2 3 3 7" xfId="7790" xr:uid="{8D7765EF-50CC-40B8-83D8-D67A16F8D470}"/>
    <cellStyle name="Normal 4 5 2 3 3 7 2" xfId="16898" xr:uid="{23808571-F664-42EF-B7DE-3A2048A6987C}"/>
    <cellStyle name="Normal 4 5 2 3 3 8" xfId="16878" xr:uid="{362EB8ED-34A3-4C89-8C72-01C773A823EE}"/>
    <cellStyle name="Normal 4 5 2 3 4" xfId="7791" xr:uid="{C030F586-83D2-4AA1-8ED7-233EEDD99337}"/>
    <cellStyle name="Normal 4 5 2 3 4 2" xfId="7792" xr:uid="{19A54F16-49D1-4619-9A96-FFC624EA5F0D}"/>
    <cellStyle name="Normal 4 5 2 3 4 2 2" xfId="7793" xr:uid="{F5E7D9E6-6790-49E3-A9FB-4DFD8E1D29A7}"/>
    <cellStyle name="Normal 4 5 2 3 4 2 2 2" xfId="16901" xr:uid="{AB5773CD-AFAF-44A0-BF05-0BCD04AA2F6A}"/>
    <cellStyle name="Normal 4 5 2 3 4 2 3" xfId="7794" xr:uid="{A55428F4-E379-4579-AF61-B1FFBDBD6BA0}"/>
    <cellStyle name="Normal 4 5 2 3 4 2 3 2" xfId="16902" xr:uid="{4835660F-91FD-4DA8-A97D-2559086CC36C}"/>
    <cellStyle name="Normal 4 5 2 3 4 2 4" xfId="16900" xr:uid="{15458F32-B972-487B-A72F-0723ABE0C6B7}"/>
    <cellStyle name="Normal 4 5 2 3 4 3" xfId="7795" xr:uid="{99144F60-84D3-4628-964C-C4D8623195C1}"/>
    <cellStyle name="Normal 4 5 2 3 4 3 2" xfId="16903" xr:uid="{3139F211-D538-4105-A4D0-07999A0EDAA2}"/>
    <cellStyle name="Normal 4 5 2 3 4 4" xfId="7796" xr:uid="{D65D64D0-4A6E-4776-B7D4-353167C91787}"/>
    <cellStyle name="Normal 4 5 2 3 4 4 2" xfId="16904" xr:uid="{2CC5CA98-6FC8-41E2-870A-055B566530BE}"/>
    <cellStyle name="Normal 4 5 2 3 4 5" xfId="7797" xr:uid="{8C608D19-578A-403D-A3CF-393E75BF35AF}"/>
    <cellStyle name="Normal 4 5 2 3 4 5 2" xfId="16905" xr:uid="{2D58F1DB-6706-4B42-A1B0-618758A556F6}"/>
    <cellStyle name="Normal 4 5 2 3 4 6" xfId="16899" xr:uid="{307512DC-738C-4F13-81A6-F5CACC3D9571}"/>
    <cellStyle name="Normal 4 5 2 3 5" xfId="7798" xr:uid="{924B92F2-12F3-411F-9ED0-86820872B095}"/>
    <cellStyle name="Normal 4 5 2 3 5 2" xfId="7799" xr:uid="{5BF3FB8E-46B8-4312-998E-7044D394A1D7}"/>
    <cellStyle name="Normal 4 5 2 3 5 2 2" xfId="7800" xr:uid="{9472A4A7-6E9C-4285-AFD6-5E37FEFC69A1}"/>
    <cellStyle name="Normal 4 5 2 3 5 2 2 2" xfId="16908" xr:uid="{E86E80C4-6D9A-4354-9F82-0F3FF1214EBC}"/>
    <cellStyle name="Normal 4 5 2 3 5 2 3" xfId="7801" xr:uid="{585F4919-B396-4C90-BE14-5CD6E9AF54A8}"/>
    <cellStyle name="Normal 4 5 2 3 5 2 3 2" xfId="16909" xr:uid="{7AF30AD1-B376-4241-ADC5-4FF769A044C4}"/>
    <cellStyle name="Normal 4 5 2 3 5 2 4" xfId="16907" xr:uid="{EE4D58DD-19BE-4A06-85C9-8C9FA849AB42}"/>
    <cellStyle name="Normal 4 5 2 3 5 3" xfId="7802" xr:uid="{2658F46E-BFE9-4DF9-A56B-EFA26EC47DE2}"/>
    <cellStyle name="Normal 4 5 2 3 5 3 2" xfId="16910" xr:uid="{4A749A78-6A23-4BDB-BEE5-BAF68C217557}"/>
    <cellStyle name="Normal 4 5 2 3 5 4" xfId="7803" xr:uid="{52A244F4-42C4-45EA-B9D9-02D2044ECF83}"/>
    <cellStyle name="Normal 4 5 2 3 5 4 2" xfId="16911" xr:uid="{21694FBC-B91D-4398-9E43-12A7A0315E4D}"/>
    <cellStyle name="Normal 4 5 2 3 5 5" xfId="7804" xr:uid="{F673DC63-5A4B-48E4-A37E-1424C1E9508D}"/>
    <cellStyle name="Normal 4 5 2 3 5 5 2" xfId="16912" xr:uid="{1330DC41-B061-460D-9CA0-D7E3C911E205}"/>
    <cellStyle name="Normal 4 5 2 3 5 6" xfId="16906" xr:uid="{B3887A2D-1C48-48D7-BC5F-ADFF93500282}"/>
    <cellStyle name="Normal 4 5 2 3 6" xfId="7805" xr:uid="{48DF4CB2-A54B-403D-A20B-A0383898EEAD}"/>
    <cellStyle name="Normal 4 5 2 3 6 2" xfId="7806" xr:uid="{AE654F6E-37D9-44B1-A028-A14C3577FA65}"/>
    <cellStyle name="Normal 4 5 2 3 6 2 2" xfId="16914" xr:uid="{994774BC-613A-4443-8BFA-50DE03EF7BA5}"/>
    <cellStyle name="Normal 4 5 2 3 6 3" xfId="7807" xr:uid="{87F20090-B358-481E-A609-8F9D89F9A124}"/>
    <cellStyle name="Normal 4 5 2 3 6 3 2" xfId="16915" xr:uid="{D3D419B6-91A2-4D36-B946-E8862A2361BD}"/>
    <cellStyle name="Normal 4 5 2 3 6 4" xfId="16913" xr:uid="{58691DDD-9F49-4F60-AEFC-DB71A5A18EF5}"/>
    <cellStyle name="Normal 4 5 2 3 7" xfId="7808" xr:uid="{47A302F3-C23C-4122-A354-1DC5F918738D}"/>
    <cellStyle name="Normal 4 5 2 3 7 2" xfId="16916" xr:uid="{F8591D4B-04AC-4ADC-864A-82C55B408768}"/>
    <cellStyle name="Normal 4 5 2 3 8" xfId="7809" xr:uid="{BF057CA1-27D6-4CC3-9435-3861515D6AC8}"/>
    <cellStyle name="Normal 4 5 2 3 8 2" xfId="16917" xr:uid="{C1804D1C-B6CE-4477-972C-04A666409568}"/>
    <cellStyle name="Normal 4 5 2 3 9" xfId="7810" xr:uid="{985538F3-CF29-46DA-9459-E968FAD7A7F0}"/>
    <cellStyle name="Normal 4 5 2 3 9 2" xfId="16918" xr:uid="{7E67BC19-E156-49DA-8B89-BDACB8462970}"/>
    <cellStyle name="Normal 4 5 2 4" xfId="7811" xr:uid="{20A69160-CF6B-4BA6-96C2-F724EA36B60E}"/>
    <cellStyle name="Normal 4 5 2 4 10" xfId="16919" xr:uid="{6F0B54FE-C595-490D-B005-4EFF6A4D171F}"/>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2 2" xfId="16924" xr:uid="{332B23AD-FC5E-4D7A-A46D-1E08D0A76BD3}"/>
    <cellStyle name="Normal 4 5 2 4 2 2 2 2 3" xfId="7817" xr:uid="{A0AE2333-D265-46EB-9E3C-097F8E23093D}"/>
    <cellStyle name="Normal 4 5 2 4 2 2 2 2 3 2" xfId="16925" xr:uid="{52E25151-959E-45F2-B138-FA93E7E94DDA}"/>
    <cellStyle name="Normal 4 5 2 4 2 2 2 2 4" xfId="16923" xr:uid="{476EEC0E-62B0-429C-8ADB-5CC4C4DF7589}"/>
    <cellStyle name="Normal 4 5 2 4 2 2 2 3" xfId="7818" xr:uid="{6ECDA1BF-1654-40C4-B418-0BB8A1862FAC}"/>
    <cellStyle name="Normal 4 5 2 4 2 2 2 3 2" xfId="16926" xr:uid="{E2A85001-752D-40FB-A82A-57BD917733FE}"/>
    <cellStyle name="Normal 4 5 2 4 2 2 2 4" xfId="7819" xr:uid="{F2BD0F70-0E84-4733-B7B2-C27D909B7528}"/>
    <cellStyle name="Normal 4 5 2 4 2 2 2 4 2" xfId="16927" xr:uid="{47686EF9-CBCE-46C1-B57D-8FE839DB7C59}"/>
    <cellStyle name="Normal 4 5 2 4 2 2 2 5" xfId="7820" xr:uid="{85C1A884-01CA-4975-A70D-BC3F06B1C73F}"/>
    <cellStyle name="Normal 4 5 2 4 2 2 2 5 2" xfId="16928" xr:uid="{43FDA3A9-075B-447D-8735-ED6C329441BD}"/>
    <cellStyle name="Normal 4 5 2 4 2 2 2 6" xfId="16922" xr:uid="{596FFFF0-CD75-424B-82E6-5D5C9BA779F0}"/>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2 2" xfId="16931" xr:uid="{BA3F5EA1-B09B-4269-A53A-78B28E07866F}"/>
    <cellStyle name="Normal 4 5 2 4 2 2 3 2 3" xfId="7824" xr:uid="{5F9929D2-83B7-490B-8DC3-C9E6BEC6CB98}"/>
    <cellStyle name="Normal 4 5 2 4 2 2 3 2 3 2" xfId="16932" xr:uid="{768112EA-8641-4F1B-879D-C28C44820522}"/>
    <cellStyle name="Normal 4 5 2 4 2 2 3 2 4" xfId="16930" xr:uid="{F99A7B29-46F9-4F14-B528-D01A19A876D5}"/>
    <cellStyle name="Normal 4 5 2 4 2 2 3 3" xfId="7825" xr:uid="{962B9594-212F-4D63-88D9-9A47E2F1205A}"/>
    <cellStyle name="Normal 4 5 2 4 2 2 3 3 2" xfId="16933" xr:uid="{A090A1B4-0B15-46C8-8489-3F1700799D6E}"/>
    <cellStyle name="Normal 4 5 2 4 2 2 3 4" xfId="7826" xr:uid="{BE55CEFC-C059-4D85-BBCB-2459B29B8911}"/>
    <cellStyle name="Normal 4 5 2 4 2 2 3 4 2" xfId="16934" xr:uid="{B6D7A542-2625-4CD3-AD5A-2D296D25B93F}"/>
    <cellStyle name="Normal 4 5 2 4 2 2 3 5" xfId="7827" xr:uid="{6A37FF3E-0529-4ED3-8C27-5A852FEAEA22}"/>
    <cellStyle name="Normal 4 5 2 4 2 2 3 5 2" xfId="16935" xr:uid="{82C33766-411F-44D9-9B23-AAC9F5CF919A}"/>
    <cellStyle name="Normal 4 5 2 4 2 2 3 6" xfId="16929" xr:uid="{D129B3BF-F7CA-4A37-A136-6E4B9B32FB82}"/>
    <cellStyle name="Normal 4 5 2 4 2 2 4" xfId="7828" xr:uid="{859320E0-91C6-4B0F-AA64-C445EBA4F603}"/>
    <cellStyle name="Normal 4 5 2 4 2 2 4 2" xfId="7829" xr:uid="{D1123871-84A2-4D14-A29F-44DF53C64BF4}"/>
    <cellStyle name="Normal 4 5 2 4 2 2 4 2 2" xfId="16937" xr:uid="{AC3DA814-4E08-45ED-9283-5D697C6710A0}"/>
    <cellStyle name="Normal 4 5 2 4 2 2 4 3" xfId="7830" xr:uid="{7D45893A-8A96-4B6B-A719-A4E95EE764C8}"/>
    <cellStyle name="Normal 4 5 2 4 2 2 4 3 2" xfId="16938" xr:uid="{D17ADC7C-6536-47CB-A000-129FBCE5519D}"/>
    <cellStyle name="Normal 4 5 2 4 2 2 4 4" xfId="16936" xr:uid="{F2734C97-41CA-477C-884D-F3BF1FFE8C0F}"/>
    <cellStyle name="Normal 4 5 2 4 2 2 5" xfId="7831" xr:uid="{A64F138C-1A1F-4A0D-9EBF-238A3C06C782}"/>
    <cellStyle name="Normal 4 5 2 4 2 2 5 2" xfId="16939" xr:uid="{2E5FBBD3-F2F0-4898-9847-EC4A9D893437}"/>
    <cellStyle name="Normal 4 5 2 4 2 2 6" xfId="7832" xr:uid="{B87F1C8E-1F21-475B-8569-5A235F827264}"/>
    <cellStyle name="Normal 4 5 2 4 2 2 6 2" xfId="16940" xr:uid="{E6DA6F23-0210-4C9A-A301-33338101398A}"/>
    <cellStyle name="Normal 4 5 2 4 2 2 7" xfId="7833" xr:uid="{2BDACE59-9992-45C4-B559-CEAC14BD0802}"/>
    <cellStyle name="Normal 4 5 2 4 2 2 7 2" xfId="16941" xr:uid="{9817196F-30C7-4B50-81AF-8F98422FEB3A}"/>
    <cellStyle name="Normal 4 5 2 4 2 2 8" xfId="16921" xr:uid="{9133F324-8343-4C51-95B2-738D4AF54D83}"/>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2 2" xfId="16944" xr:uid="{5BD54267-5A58-46C8-8F1E-A3FBEA712C49}"/>
    <cellStyle name="Normal 4 5 2 4 2 3 2 3" xfId="7837" xr:uid="{8EEE0A57-12AA-4B9B-9C1C-DB560991524E}"/>
    <cellStyle name="Normal 4 5 2 4 2 3 2 3 2" xfId="16945" xr:uid="{773AC31A-60C1-44C4-81D4-101612FB5F65}"/>
    <cellStyle name="Normal 4 5 2 4 2 3 2 4" xfId="16943" xr:uid="{69312679-FEFF-43EA-A2FE-96CA2C822DCC}"/>
    <cellStyle name="Normal 4 5 2 4 2 3 3" xfId="7838" xr:uid="{087EE188-1254-4268-AA9A-21A021A9F03B}"/>
    <cellStyle name="Normal 4 5 2 4 2 3 3 2" xfId="16946" xr:uid="{56F89242-1463-40EA-BF7C-8DCCC6CC994A}"/>
    <cellStyle name="Normal 4 5 2 4 2 3 4" xfId="7839" xr:uid="{BBF834B1-76F6-45AB-AD66-F6B1997F36BF}"/>
    <cellStyle name="Normal 4 5 2 4 2 3 4 2" xfId="16947" xr:uid="{7FA1974B-7956-4ECE-A6F6-C2520F8FCBDB}"/>
    <cellStyle name="Normal 4 5 2 4 2 3 5" xfId="7840" xr:uid="{460D3BAE-569E-41C0-9471-3FD51765CFD5}"/>
    <cellStyle name="Normal 4 5 2 4 2 3 5 2" xfId="16948" xr:uid="{40DD3BFC-5CD5-42A9-A337-6B68834F3D3C}"/>
    <cellStyle name="Normal 4 5 2 4 2 3 6" xfId="16942" xr:uid="{214A5EE0-5DA4-4EEA-91FF-0793BF43A890}"/>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2 2" xfId="16951" xr:uid="{8A6EBEC5-8437-41A3-ABF5-70096C3E4C53}"/>
    <cellStyle name="Normal 4 5 2 4 2 4 2 3" xfId="7844" xr:uid="{291B04AE-36A3-438C-AC12-8AA00F8ED8D6}"/>
    <cellStyle name="Normal 4 5 2 4 2 4 2 3 2" xfId="16952" xr:uid="{81348834-37FC-4671-904E-BF8BB060CF0E}"/>
    <cellStyle name="Normal 4 5 2 4 2 4 2 4" xfId="16950" xr:uid="{91D44D9A-C064-482B-ADED-EE93B28DE735}"/>
    <cellStyle name="Normal 4 5 2 4 2 4 3" xfId="7845" xr:uid="{4DFB34DA-E2D8-48FA-A161-4EB8E28FCD86}"/>
    <cellStyle name="Normal 4 5 2 4 2 4 3 2" xfId="16953" xr:uid="{D94D200A-BFA0-4257-826E-69E5461C3757}"/>
    <cellStyle name="Normal 4 5 2 4 2 4 4" xfId="7846" xr:uid="{AD9E44AE-783D-417D-9318-0BBC8817AD89}"/>
    <cellStyle name="Normal 4 5 2 4 2 4 4 2" xfId="16954" xr:uid="{B50F85C9-5ADA-452B-AAD7-7102262914E3}"/>
    <cellStyle name="Normal 4 5 2 4 2 4 5" xfId="7847" xr:uid="{15932E84-0E61-4DBC-B9B8-B4B3933284D9}"/>
    <cellStyle name="Normal 4 5 2 4 2 4 5 2" xfId="16955" xr:uid="{84826C26-F574-436F-A860-8DF4B00AD2D9}"/>
    <cellStyle name="Normal 4 5 2 4 2 4 6" xfId="16949" xr:uid="{C4B8B6A9-A29C-4300-8D07-41C15B59B8C2}"/>
    <cellStyle name="Normal 4 5 2 4 2 5" xfId="7848" xr:uid="{C8C5B87E-2CA7-41FE-9008-8B2C2B1560A8}"/>
    <cellStyle name="Normal 4 5 2 4 2 5 2" xfId="7849" xr:uid="{482E9269-5B0F-41FF-98C3-B01AA5EC9C0A}"/>
    <cellStyle name="Normal 4 5 2 4 2 5 2 2" xfId="16957" xr:uid="{49736FF6-EBF2-4DD0-AAA9-A5C9AC6F7FCB}"/>
    <cellStyle name="Normal 4 5 2 4 2 5 3" xfId="7850" xr:uid="{4BA901F9-8436-4AC0-84BB-84192EB87CF9}"/>
    <cellStyle name="Normal 4 5 2 4 2 5 3 2" xfId="16958" xr:uid="{C211A82E-5B87-42ED-8E7C-B310163AF748}"/>
    <cellStyle name="Normal 4 5 2 4 2 5 4" xfId="16956" xr:uid="{32405808-FFF6-44D4-834E-78DE6D231568}"/>
    <cellStyle name="Normal 4 5 2 4 2 6" xfId="7851" xr:uid="{9CA90C8F-BD5C-473E-8EF8-E64736E17BA0}"/>
    <cellStyle name="Normal 4 5 2 4 2 6 2" xfId="16959" xr:uid="{59A2D471-1A5D-44A5-9B42-240FF07948E7}"/>
    <cellStyle name="Normal 4 5 2 4 2 7" xfId="7852" xr:uid="{9BB620DB-C77F-4143-BC30-4A71FA29DB85}"/>
    <cellStyle name="Normal 4 5 2 4 2 7 2" xfId="16960" xr:uid="{27D7C651-1FF8-480A-A692-5A1DD1FC5652}"/>
    <cellStyle name="Normal 4 5 2 4 2 8" xfId="7853" xr:uid="{238E06C4-D106-4FB0-BC17-77940B2EED75}"/>
    <cellStyle name="Normal 4 5 2 4 2 8 2" xfId="16961" xr:uid="{E8086230-6AC8-4F12-81E2-4711CBABBB97}"/>
    <cellStyle name="Normal 4 5 2 4 2 9" xfId="16920" xr:uid="{FBD039E0-C66D-4948-9756-0B6505F4E4BD}"/>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2 2" xfId="16965" xr:uid="{26B1E70C-60D1-40AE-B27C-87564BD16F7C}"/>
    <cellStyle name="Normal 4 5 2 4 3 2 2 3" xfId="7858" xr:uid="{DF816FF9-95C7-4B0A-811A-17B74511A663}"/>
    <cellStyle name="Normal 4 5 2 4 3 2 2 3 2" xfId="16966" xr:uid="{0ACE9DE6-00E4-4780-8BBA-315EFDAD49E7}"/>
    <cellStyle name="Normal 4 5 2 4 3 2 2 4" xfId="16964" xr:uid="{7AE51860-A4EC-46BD-B5D4-E197C25B5FE5}"/>
    <cellStyle name="Normal 4 5 2 4 3 2 3" xfId="7859" xr:uid="{B90A9F53-2C74-42C0-A966-4F11430328E2}"/>
    <cellStyle name="Normal 4 5 2 4 3 2 3 2" xfId="16967" xr:uid="{E3A6BAC0-B5B6-4311-A044-A6970603E689}"/>
    <cellStyle name="Normal 4 5 2 4 3 2 4" xfId="7860" xr:uid="{E8D54274-ED9A-428A-AAC5-501B5037167F}"/>
    <cellStyle name="Normal 4 5 2 4 3 2 4 2" xfId="16968" xr:uid="{63483917-00E1-48BC-B8B0-7AACEA86347F}"/>
    <cellStyle name="Normal 4 5 2 4 3 2 5" xfId="7861" xr:uid="{E1DEEEC8-87D7-4516-B94A-2B8D71BA8B98}"/>
    <cellStyle name="Normal 4 5 2 4 3 2 5 2" xfId="16969" xr:uid="{4528D42E-43B1-4E7E-AE28-9CC8C0ABEF33}"/>
    <cellStyle name="Normal 4 5 2 4 3 2 6" xfId="16963" xr:uid="{E5C79F4B-EA51-484C-BFF8-F0003AB2A7BA}"/>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2 2" xfId="16972" xr:uid="{3D682965-202B-4851-8F10-C55DABC98A72}"/>
    <cellStyle name="Normal 4 5 2 4 3 3 2 3" xfId="7865" xr:uid="{F901DBA3-D61F-40BD-BD59-4875A9C5E92E}"/>
    <cellStyle name="Normal 4 5 2 4 3 3 2 3 2" xfId="16973" xr:uid="{B8A4D602-FF27-4EB5-9983-F1574FF0AE04}"/>
    <cellStyle name="Normal 4 5 2 4 3 3 2 4" xfId="16971" xr:uid="{E2301AEB-FF02-4D1C-8F71-94B187962978}"/>
    <cellStyle name="Normal 4 5 2 4 3 3 3" xfId="7866" xr:uid="{B3A39558-B0CC-4F59-9384-04E90ED20436}"/>
    <cellStyle name="Normal 4 5 2 4 3 3 3 2" xfId="16974" xr:uid="{06ADF2A3-50F2-4353-A105-71B87D024C43}"/>
    <cellStyle name="Normal 4 5 2 4 3 3 4" xfId="7867" xr:uid="{4D9F2BF8-3F84-4A91-94D3-BFB0CAEBF19F}"/>
    <cellStyle name="Normal 4 5 2 4 3 3 4 2" xfId="16975" xr:uid="{1D8FF5A5-87A3-4223-BE9B-5FED7C9477D1}"/>
    <cellStyle name="Normal 4 5 2 4 3 3 5" xfId="7868" xr:uid="{9FD29C8C-2C95-4E2E-891A-3D1696236653}"/>
    <cellStyle name="Normal 4 5 2 4 3 3 5 2" xfId="16976" xr:uid="{FBBB14A7-A20E-41B2-923F-C1999039C23D}"/>
    <cellStyle name="Normal 4 5 2 4 3 3 6" xfId="16970" xr:uid="{C80BA6D5-4C19-40F9-AFB5-4A0E665F58C2}"/>
    <cellStyle name="Normal 4 5 2 4 3 4" xfId="7869" xr:uid="{D5C23999-C047-4023-B5B2-818F22DF14A5}"/>
    <cellStyle name="Normal 4 5 2 4 3 4 2" xfId="7870" xr:uid="{F7528BA4-165D-4710-B568-41705CBB4C27}"/>
    <cellStyle name="Normal 4 5 2 4 3 4 2 2" xfId="16978" xr:uid="{4559F47E-21DA-46FB-A0DE-056523109398}"/>
    <cellStyle name="Normal 4 5 2 4 3 4 3" xfId="7871" xr:uid="{4BE5D387-9220-41D8-8686-C445DEC2B215}"/>
    <cellStyle name="Normal 4 5 2 4 3 4 3 2" xfId="16979" xr:uid="{2346115B-9A54-486B-8DB0-E50DF7E80344}"/>
    <cellStyle name="Normal 4 5 2 4 3 4 4" xfId="16977" xr:uid="{3C6D28F8-EB14-40CF-81C2-05146CF7B61B}"/>
    <cellStyle name="Normal 4 5 2 4 3 5" xfId="7872" xr:uid="{DCE5F153-FEE6-40F7-A344-6C42D94E07D9}"/>
    <cellStyle name="Normal 4 5 2 4 3 5 2" xfId="16980" xr:uid="{8912DCC4-7043-4FE9-85E4-FC823937DBCD}"/>
    <cellStyle name="Normal 4 5 2 4 3 6" xfId="7873" xr:uid="{F87A2ABF-AF6A-4442-94AC-AEE7E7822CC9}"/>
    <cellStyle name="Normal 4 5 2 4 3 6 2" xfId="16981" xr:uid="{07F217E4-6054-480B-822A-47B2FB337E78}"/>
    <cellStyle name="Normal 4 5 2 4 3 7" xfId="7874" xr:uid="{A3DEF8B9-4FEA-4DB2-818A-65E726AB4096}"/>
    <cellStyle name="Normal 4 5 2 4 3 7 2" xfId="16982" xr:uid="{4D001D60-AEAD-43DB-B84A-6D374BDB3088}"/>
    <cellStyle name="Normal 4 5 2 4 3 8" xfId="16962" xr:uid="{C2B4C595-08CC-42B6-ACBC-BAAE102EA6A4}"/>
    <cellStyle name="Normal 4 5 2 4 4" xfId="7875" xr:uid="{4DA2CC4D-6DDB-4CBB-949F-D191B7C7838F}"/>
    <cellStyle name="Normal 4 5 2 4 4 2" xfId="7876" xr:uid="{BFE00EFD-DC55-438E-B4B4-75177C6E9C1C}"/>
    <cellStyle name="Normal 4 5 2 4 4 2 2" xfId="7877" xr:uid="{39EC2895-6416-4A71-A805-B70EE841E224}"/>
    <cellStyle name="Normal 4 5 2 4 4 2 2 2" xfId="16985" xr:uid="{87C96BBD-E8EE-4173-AA68-6F31BC61709E}"/>
    <cellStyle name="Normal 4 5 2 4 4 2 3" xfId="7878" xr:uid="{0C7346C4-86BF-4ED8-9E0B-7AC488E3BB81}"/>
    <cellStyle name="Normal 4 5 2 4 4 2 3 2" xfId="16986" xr:uid="{BC833B3E-48F7-4004-94FC-E32E9D5B171D}"/>
    <cellStyle name="Normal 4 5 2 4 4 2 4" xfId="16984" xr:uid="{9F8456D2-B3B9-4F51-A822-D0FB895FF834}"/>
    <cellStyle name="Normal 4 5 2 4 4 3" xfId="7879" xr:uid="{EF8B1256-167D-4324-8416-64408C44D781}"/>
    <cellStyle name="Normal 4 5 2 4 4 3 2" xfId="16987" xr:uid="{4AD98831-8B6F-4B4D-95DB-A671DDC4F4ED}"/>
    <cellStyle name="Normal 4 5 2 4 4 4" xfId="7880" xr:uid="{20812423-B8B9-4B3C-B0FC-0D5D6845BF4A}"/>
    <cellStyle name="Normal 4 5 2 4 4 4 2" xfId="16988" xr:uid="{0CACD072-11CE-429A-890B-24FAC8935F08}"/>
    <cellStyle name="Normal 4 5 2 4 4 5" xfId="7881" xr:uid="{19F40F2A-E4FD-44BD-B496-FFE2323884AB}"/>
    <cellStyle name="Normal 4 5 2 4 4 5 2" xfId="16989" xr:uid="{F74127FA-3F50-433A-BB44-FB8C19B4B0E8}"/>
    <cellStyle name="Normal 4 5 2 4 4 6" xfId="16983" xr:uid="{8B3FBCCC-0EAF-4893-8AE3-13D54398B15E}"/>
    <cellStyle name="Normal 4 5 2 4 5" xfId="7882" xr:uid="{7D7569B8-9B77-4A1C-BC03-DA028EDAC7CB}"/>
    <cellStyle name="Normal 4 5 2 4 5 2" xfId="7883" xr:uid="{ABF15E69-5C3D-4F6C-8C57-969A67189174}"/>
    <cellStyle name="Normal 4 5 2 4 5 2 2" xfId="7884" xr:uid="{BC0654D2-6CB5-4F9E-A611-6790C6EADA54}"/>
    <cellStyle name="Normal 4 5 2 4 5 2 2 2" xfId="16992" xr:uid="{1F691863-6FED-4F5B-9B31-3D34944310CF}"/>
    <cellStyle name="Normal 4 5 2 4 5 2 3" xfId="7885" xr:uid="{2F16E3B7-1CB8-4256-94A2-98D6DFCBEE50}"/>
    <cellStyle name="Normal 4 5 2 4 5 2 3 2" xfId="16993" xr:uid="{AFDA4AD0-CF68-49E9-BB4A-034CD5026227}"/>
    <cellStyle name="Normal 4 5 2 4 5 2 4" xfId="16991" xr:uid="{32A48C51-39DC-400A-A04A-3FD0B0DDD955}"/>
    <cellStyle name="Normal 4 5 2 4 5 3" xfId="7886" xr:uid="{DA6BFCA6-FD45-4944-8F9A-602A96438575}"/>
    <cellStyle name="Normal 4 5 2 4 5 3 2" xfId="16994" xr:uid="{4E1BFF5F-FB54-4EB3-B539-F67B55620416}"/>
    <cellStyle name="Normal 4 5 2 4 5 4" xfId="7887" xr:uid="{45D98285-9FBC-4A48-BA0B-572C574CCAA6}"/>
    <cellStyle name="Normal 4 5 2 4 5 4 2" xfId="16995" xr:uid="{C4F9BC3B-62A8-4687-9CAC-C3AAE4377E41}"/>
    <cellStyle name="Normal 4 5 2 4 5 5" xfId="7888" xr:uid="{6D3A6778-2843-4D44-929E-8D6F8F66FB21}"/>
    <cellStyle name="Normal 4 5 2 4 5 5 2" xfId="16996" xr:uid="{7E026172-DC86-45C8-A3FE-A9272B144A50}"/>
    <cellStyle name="Normal 4 5 2 4 5 6" xfId="16990" xr:uid="{F853875E-4FFE-4560-8D8E-4CEB0E23CECA}"/>
    <cellStyle name="Normal 4 5 2 4 6" xfId="7889" xr:uid="{1A1E3457-897C-433A-8F39-3AC9DA9F93A3}"/>
    <cellStyle name="Normal 4 5 2 4 6 2" xfId="7890" xr:uid="{06FCA6E2-B87C-414C-A8AA-B9C4A1FC2E4F}"/>
    <cellStyle name="Normal 4 5 2 4 6 2 2" xfId="16998" xr:uid="{379F76A9-F9F8-4072-A529-9589448ADA4B}"/>
    <cellStyle name="Normal 4 5 2 4 6 3" xfId="7891" xr:uid="{C87EDC98-3E3D-4A00-BBAC-F6D8FC854E58}"/>
    <cellStyle name="Normal 4 5 2 4 6 3 2" xfId="16999" xr:uid="{EE65685E-3133-4EB8-9FBE-C22257DCFD97}"/>
    <cellStyle name="Normal 4 5 2 4 6 4" xfId="16997" xr:uid="{D361189B-DDE1-438A-8F80-6C0D08D8BED2}"/>
    <cellStyle name="Normal 4 5 2 4 7" xfId="7892" xr:uid="{5F478276-D37B-4B46-A17A-DEFA06E12C9D}"/>
    <cellStyle name="Normal 4 5 2 4 7 2" xfId="17000" xr:uid="{0A69EC85-46AA-4EA4-80FF-B0B2E3988DBC}"/>
    <cellStyle name="Normal 4 5 2 4 8" xfId="7893" xr:uid="{65056324-C88C-4097-9A8F-A31C2E2F8078}"/>
    <cellStyle name="Normal 4 5 2 4 8 2" xfId="17001" xr:uid="{6356E1BF-65C6-4A90-BB15-F20B9B10DDC7}"/>
    <cellStyle name="Normal 4 5 2 4 9" xfId="7894" xr:uid="{CBFAF029-DC32-4288-9F04-03252648F49E}"/>
    <cellStyle name="Normal 4 5 2 4 9 2" xfId="17002" xr:uid="{96AC7559-54A9-47FD-A90C-0CC5C29DDCC1}"/>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2 2" xfId="17007" xr:uid="{66EAA4D0-0637-4C01-9B32-11E426CDD8E9}"/>
    <cellStyle name="Normal 4 5 2 5 2 2 2 3" xfId="7900" xr:uid="{0A1ABB27-B045-416E-AE02-907B9D6B4CDC}"/>
    <cellStyle name="Normal 4 5 2 5 2 2 2 3 2" xfId="17008" xr:uid="{F350E94D-8C21-4A0C-BF56-01D21280A1D6}"/>
    <cellStyle name="Normal 4 5 2 5 2 2 2 4" xfId="17006" xr:uid="{097A06D2-D693-476A-B1F3-89389034100E}"/>
    <cellStyle name="Normal 4 5 2 5 2 2 3" xfId="7901" xr:uid="{E44E404D-3BFC-4010-BDE8-EFA3955D62FD}"/>
    <cellStyle name="Normal 4 5 2 5 2 2 3 2" xfId="17009" xr:uid="{12C0844A-940E-4FC7-822D-AB8B4E5ABC94}"/>
    <cellStyle name="Normal 4 5 2 5 2 2 4" xfId="7902" xr:uid="{FFDDB448-A249-44CE-B4EC-14094310C746}"/>
    <cellStyle name="Normal 4 5 2 5 2 2 4 2" xfId="17010" xr:uid="{160C832D-872E-4C8B-8F79-B0B105D2A7CC}"/>
    <cellStyle name="Normal 4 5 2 5 2 2 5" xfId="7903" xr:uid="{B20639C0-970A-4262-B94E-0542EC08B9FD}"/>
    <cellStyle name="Normal 4 5 2 5 2 2 5 2" xfId="17011" xr:uid="{3603FDDD-38E1-408B-B670-8C223D77A6C8}"/>
    <cellStyle name="Normal 4 5 2 5 2 2 6" xfId="17005" xr:uid="{535A2F9E-578B-460B-AE4E-DA63C3DDE09A}"/>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2 2" xfId="17014" xr:uid="{BBB99E44-69F0-43A3-B18D-31B55C5459A1}"/>
    <cellStyle name="Normal 4 5 2 5 2 3 2 3" xfId="7907" xr:uid="{FC40E8DE-60C3-4DB7-A3F7-AF53B408D9F9}"/>
    <cellStyle name="Normal 4 5 2 5 2 3 2 3 2" xfId="17015" xr:uid="{40552A80-6B9C-4246-AC4D-C054351F4934}"/>
    <cellStyle name="Normal 4 5 2 5 2 3 2 4" xfId="17013" xr:uid="{FCA6CCA6-383A-49DC-908D-363EF5F92F78}"/>
    <cellStyle name="Normal 4 5 2 5 2 3 3" xfId="7908" xr:uid="{705454CF-CD7B-4D83-9036-90E0EEE66031}"/>
    <cellStyle name="Normal 4 5 2 5 2 3 3 2" xfId="17016" xr:uid="{54986AEA-3F10-4DA4-B99A-758C944CDED0}"/>
    <cellStyle name="Normal 4 5 2 5 2 3 4" xfId="7909" xr:uid="{307C3491-D335-4561-8F60-FB18FADD232A}"/>
    <cellStyle name="Normal 4 5 2 5 2 3 4 2" xfId="17017" xr:uid="{0636BD9E-B5CC-4836-8055-E05CE280141C}"/>
    <cellStyle name="Normal 4 5 2 5 2 3 5" xfId="7910" xr:uid="{7F645388-FB46-433F-8EE2-B3834D2E940A}"/>
    <cellStyle name="Normal 4 5 2 5 2 3 5 2" xfId="17018" xr:uid="{60F686D4-33A4-42BF-A635-1FA8095731C6}"/>
    <cellStyle name="Normal 4 5 2 5 2 3 6" xfId="17012" xr:uid="{F7DB85DA-0C3F-42AF-AEA8-EBA6F0551B81}"/>
    <cellStyle name="Normal 4 5 2 5 2 4" xfId="7911" xr:uid="{31687523-4564-4CE0-936E-3590E3A07562}"/>
    <cellStyle name="Normal 4 5 2 5 2 4 2" xfId="7912" xr:uid="{EE2A4848-A587-4029-A3C6-25975923CB4D}"/>
    <cellStyle name="Normal 4 5 2 5 2 4 2 2" xfId="17020" xr:uid="{64D1E1B0-6F4D-4EE5-B254-5E1ACB4BCC0D}"/>
    <cellStyle name="Normal 4 5 2 5 2 4 3" xfId="7913" xr:uid="{79261A2C-88A3-438C-BE62-20B377A2F55F}"/>
    <cellStyle name="Normal 4 5 2 5 2 4 3 2" xfId="17021" xr:uid="{DC6CABCE-251D-41B4-9FC6-3B583FD745E8}"/>
    <cellStyle name="Normal 4 5 2 5 2 4 4" xfId="17019" xr:uid="{F9F3607E-CF64-45CA-94A9-ABB3A11F96C2}"/>
    <cellStyle name="Normal 4 5 2 5 2 5" xfId="7914" xr:uid="{46CEF81D-D95D-45EE-B603-837944A7AACA}"/>
    <cellStyle name="Normal 4 5 2 5 2 5 2" xfId="17022" xr:uid="{A023DD08-244F-435B-8610-DAC6BE3B7ABE}"/>
    <cellStyle name="Normal 4 5 2 5 2 6" xfId="7915" xr:uid="{94126B77-4488-4F5D-9775-B3E3161159C5}"/>
    <cellStyle name="Normal 4 5 2 5 2 6 2" xfId="17023" xr:uid="{64264D13-A0EE-4D50-8957-3B106F67C7A9}"/>
    <cellStyle name="Normal 4 5 2 5 2 7" xfId="7916" xr:uid="{739763E0-BC06-4A05-973D-352AD83816E8}"/>
    <cellStyle name="Normal 4 5 2 5 2 7 2" xfId="17024" xr:uid="{E3DA7634-A579-4BBA-8242-E038283022BC}"/>
    <cellStyle name="Normal 4 5 2 5 2 8" xfId="17004" xr:uid="{EE1D5936-51BB-4F61-8120-13018BE0210B}"/>
    <cellStyle name="Normal 4 5 2 5 3" xfId="7917" xr:uid="{1F9201A4-F23F-4945-8D83-81B8D6E612FB}"/>
    <cellStyle name="Normal 4 5 2 5 3 2" xfId="7918" xr:uid="{C4840144-C76D-4DD4-8F5F-3318CEA4C87C}"/>
    <cellStyle name="Normal 4 5 2 5 3 2 2" xfId="7919" xr:uid="{4A7006FB-D7B5-4844-A051-B59F7C340730}"/>
    <cellStyle name="Normal 4 5 2 5 3 2 2 2" xfId="17027" xr:uid="{422F800D-7189-425A-9092-14C662682DCC}"/>
    <cellStyle name="Normal 4 5 2 5 3 2 3" xfId="7920" xr:uid="{150BDEA2-91EF-4F00-984C-DCEAD605410F}"/>
    <cellStyle name="Normal 4 5 2 5 3 2 3 2" xfId="17028" xr:uid="{A6A367E7-E2E3-4B6C-947A-09A59F523BED}"/>
    <cellStyle name="Normal 4 5 2 5 3 2 4" xfId="17026" xr:uid="{68A3436B-87EA-4511-862F-BB4D319E69BA}"/>
    <cellStyle name="Normal 4 5 2 5 3 3" xfId="7921" xr:uid="{0C3A5D46-B08A-4C8C-BEF2-2745ED8FDBF1}"/>
    <cellStyle name="Normal 4 5 2 5 3 3 2" xfId="17029" xr:uid="{D8F8F3BA-DA8A-488A-AA48-D7B2B4A8AB8A}"/>
    <cellStyle name="Normal 4 5 2 5 3 4" xfId="7922" xr:uid="{40C0CBB4-4979-4ED6-8611-ED779E9A9168}"/>
    <cellStyle name="Normal 4 5 2 5 3 4 2" xfId="17030" xr:uid="{B9F2AADF-6D1A-44DD-9772-922721943100}"/>
    <cellStyle name="Normal 4 5 2 5 3 5" xfId="7923" xr:uid="{77FCA9CD-BDC1-43E0-B415-81244C5D23BC}"/>
    <cellStyle name="Normal 4 5 2 5 3 5 2" xfId="17031" xr:uid="{F7BE2ABC-62D8-4E04-8579-DF8DE333AEAC}"/>
    <cellStyle name="Normal 4 5 2 5 3 6" xfId="17025" xr:uid="{273A3953-EBE4-41CB-857B-A749539B062A}"/>
    <cellStyle name="Normal 4 5 2 5 4" xfId="7924" xr:uid="{AD54F72A-CF71-44A5-8350-7D984990E583}"/>
    <cellStyle name="Normal 4 5 2 5 4 2" xfId="7925" xr:uid="{14575D83-121A-4FC2-A593-CCB783A7837B}"/>
    <cellStyle name="Normal 4 5 2 5 4 2 2" xfId="7926" xr:uid="{D5729176-6267-4A4E-B7F7-129333BCDEA0}"/>
    <cellStyle name="Normal 4 5 2 5 4 2 2 2" xfId="17034" xr:uid="{E8C4AE69-5DF7-42D2-929C-F77F16B88AB0}"/>
    <cellStyle name="Normal 4 5 2 5 4 2 3" xfId="7927" xr:uid="{C46CD286-54C1-4A26-A4D1-4A85CF36CB23}"/>
    <cellStyle name="Normal 4 5 2 5 4 2 3 2" xfId="17035" xr:uid="{C9511DB4-E89E-43E8-9C8A-29755732AF57}"/>
    <cellStyle name="Normal 4 5 2 5 4 2 4" xfId="17033" xr:uid="{A5AAB464-28DF-42D5-AD52-121786A4DDE8}"/>
    <cellStyle name="Normal 4 5 2 5 4 3" xfId="7928" xr:uid="{FD12C7B0-8F75-4520-8FE0-8EDEC2794E67}"/>
    <cellStyle name="Normal 4 5 2 5 4 3 2" xfId="17036" xr:uid="{5D795E7E-A8C1-451C-842C-C80C1713D56F}"/>
    <cellStyle name="Normal 4 5 2 5 4 4" xfId="7929" xr:uid="{50EAE7BF-BBBC-448D-9962-027614E57780}"/>
    <cellStyle name="Normal 4 5 2 5 4 4 2" xfId="17037" xr:uid="{223D89C3-3100-4469-AE1A-AA46418B3A7F}"/>
    <cellStyle name="Normal 4 5 2 5 4 5" xfId="7930" xr:uid="{B3FE3BA4-B685-4E44-A680-3B6754D3856E}"/>
    <cellStyle name="Normal 4 5 2 5 4 5 2" xfId="17038" xr:uid="{30AE40F6-1765-49BC-B59D-CBB467239191}"/>
    <cellStyle name="Normal 4 5 2 5 4 6" xfId="17032" xr:uid="{761B55CE-F3F1-4FD9-AF8C-A761EE0CE467}"/>
    <cellStyle name="Normal 4 5 2 5 5" xfId="7931" xr:uid="{C472F98A-84BF-45B0-8DE7-ACDB0D6BE334}"/>
    <cellStyle name="Normal 4 5 2 5 5 2" xfId="7932" xr:uid="{DCFEBD85-7472-47EA-82A3-4E3A5276E7CB}"/>
    <cellStyle name="Normal 4 5 2 5 5 2 2" xfId="17040" xr:uid="{A08C4AEC-78A5-465A-B66F-B9C402E7EDD3}"/>
    <cellStyle name="Normal 4 5 2 5 5 3" xfId="7933" xr:uid="{08750C81-E607-413B-92A7-7E68A6177C6C}"/>
    <cellStyle name="Normal 4 5 2 5 5 3 2" xfId="17041" xr:uid="{A8E0A44E-34FC-4540-8C46-B2564BB2BC64}"/>
    <cellStyle name="Normal 4 5 2 5 5 4" xfId="17039" xr:uid="{738C66A2-B84D-48C6-A8EF-5A16E36DE063}"/>
    <cellStyle name="Normal 4 5 2 5 6" xfId="7934" xr:uid="{85484570-AF47-459F-99E4-96F758654EC1}"/>
    <cellStyle name="Normal 4 5 2 5 6 2" xfId="17042" xr:uid="{07936260-FCCE-426E-B21C-FF52B1FEB434}"/>
    <cellStyle name="Normal 4 5 2 5 7" xfId="7935" xr:uid="{CB478E41-B320-4DAD-B732-B7F7ACE3B0CF}"/>
    <cellStyle name="Normal 4 5 2 5 7 2" xfId="17043" xr:uid="{21664DA1-5A40-4B2E-868E-A8CB93E83A34}"/>
    <cellStyle name="Normal 4 5 2 5 8" xfId="7936" xr:uid="{F18614D8-24DB-4DB2-BF1E-B3DD182906DC}"/>
    <cellStyle name="Normal 4 5 2 5 8 2" xfId="17044" xr:uid="{4E500E20-6920-42FF-BAF7-96FC8D485BBA}"/>
    <cellStyle name="Normal 4 5 2 5 9" xfId="17003" xr:uid="{4E3D5653-BCFE-4291-AC61-16C698F7331F}"/>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2 2" xfId="17048" xr:uid="{28975AFE-329D-4E23-ADF0-3F990B35CAB6}"/>
    <cellStyle name="Normal 4 5 2 6 2 2 3" xfId="7941" xr:uid="{784DEB9C-9211-4F16-BC01-8185DA4EE831}"/>
    <cellStyle name="Normal 4 5 2 6 2 2 3 2" xfId="17049" xr:uid="{651F46F1-1932-4775-82C0-31BAE5DE3E3E}"/>
    <cellStyle name="Normal 4 5 2 6 2 2 4" xfId="17047" xr:uid="{75E30E01-5084-491D-AE4E-8A5EC40C45F1}"/>
    <cellStyle name="Normal 4 5 2 6 2 3" xfId="7942" xr:uid="{EDCD3584-F1DE-4484-BA1E-65E452309520}"/>
    <cellStyle name="Normal 4 5 2 6 2 3 2" xfId="17050" xr:uid="{D443F6B6-D5FF-48D1-A698-A24F9C31A59A}"/>
    <cellStyle name="Normal 4 5 2 6 2 4" xfId="7943" xr:uid="{41782661-68DF-4958-885C-7D64B4903292}"/>
    <cellStyle name="Normal 4 5 2 6 2 4 2" xfId="17051" xr:uid="{F8889ECF-8EC2-4CB1-9893-3F7F6AB5F042}"/>
    <cellStyle name="Normal 4 5 2 6 2 5" xfId="7944" xr:uid="{C42A102B-3DF9-473F-947A-C7442B66ABAE}"/>
    <cellStyle name="Normal 4 5 2 6 2 5 2" xfId="17052" xr:uid="{83BB07A5-1395-4D37-8EDD-2F206828D92A}"/>
    <cellStyle name="Normal 4 5 2 6 2 6" xfId="17046" xr:uid="{23762DF0-F487-452A-85F6-7662468A93A0}"/>
    <cellStyle name="Normal 4 5 2 6 3" xfId="7945" xr:uid="{E32ABE9E-C8BC-4E4D-8B12-F5D7BA5E3CBB}"/>
    <cellStyle name="Normal 4 5 2 6 3 2" xfId="7946" xr:uid="{DC527647-D453-4700-BB62-B1A36C0AD4BB}"/>
    <cellStyle name="Normal 4 5 2 6 3 2 2" xfId="7947" xr:uid="{E1DAB064-BE2A-46D0-A80D-42CFB9F7EB4E}"/>
    <cellStyle name="Normal 4 5 2 6 3 2 2 2" xfId="17055" xr:uid="{7A0B994A-B10B-4E3E-96D1-465606FCA181}"/>
    <cellStyle name="Normal 4 5 2 6 3 2 3" xfId="7948" xr:uid="{B39B00AD-B8EC-4E4A-AEC1-CBC1768E58CF}"/>
    <cellStyle name="Normal 4 5 2 6 3 2 3 2" xfId="17056" xr:uid="{B5918329-9E1E-4DF4-956C-73DB6E2C8AB6}"/>
    <cellStyle name="Normal 4 5 2 6 3 2 4" xfId="17054" xr:uid="{65DCD572-6607-4C5C-AD1C-41AF30D0A332}"/>
    <cellStyle name="Normal 4 5 2 6 3 3" xfId="7949" xr:uid="{9F2B9C35-D0C2-442A-9FAB-849DF57D3AFD}"/>
    <cellStyle name="Normal 4 5 2 6 3 3 2" xfId="17057" xr:uid="{5F41BE79-D612-4014-B7C1-5E79FBE2EAA9}"/>
    <cellStyle name="Normal 4 5 2 6 3 4" xfId="7950" xr:uid="{9FCEDCBD-33CF-4265-BD27-BEA96AD84ABA}"/>
    <cellStyle name="Normal 4 5 2 6 3 4 2" xfId="17058" xr:uid="{3BE8145C-7249-4086-B595-BB6077856B44}"/>
    <cellStyle name="Normal 4 5 2 6 3 5" xfId="7951" xr:uid="{F02B997A-25C7-4613-8F17-4BBEE8554FAB}"/>
    <cellStyle name="Normal 4 5 2 6 3 5 2" xfId="17059" xr:uid="{6821AE8B-AC33-40A1-BA7B-B8A7B4A39036}"/>
    <cellStyle name="Normal 4 5 2 6 3 6" xfId="17053" xr:uid="{169ADF83-C751-4285-A950-B5F848B1B704}"/>
    <cellStyle name="Normal 4 5 2 6 4" xfId="7952" xr:uid="{C25FDF2C-F272-41EA-BC42-81BF741461BC}"/>
    <cellStyle name="Normal 4 5 2 6 4 2" xfId="7953" xr:uid="{1002FAFF-720A-4F75-AEA6-D756D0D4209F}"/>
    <cellStyle name="Normal 4 5 2 6 4 2 2" xfId="17061" xr:uid="{9F4C6543-FB31-4023-951C-0DA9AA6CDF93}"/>
    <cellStyle name="Normal 4 5 2 6 4 3" xfId="7954" xr:uid="{8D355D7F-4F76-4D4C-9E5A-370D2ECECF55}"/>
    <cellStyle name="Normal 4 5 2 6 4 3 2" xfId="17062" xr:uid="{0C1ED103-73F5-40E1-9150-8F921AE549D1}"/>
    <cellStyle name="Normal 4 5 2 6 4 4" xfId="17060" xr:uid="{8F0CDB45-B239-406E-A59D-D8775CADE592}"/>
    <cellStyle name="Normal 4 5 2 6 5" xfId="7955" xr:uid="{B605ECAA-6F2C-4079-9D61-82C53B45F742}"/>
    <cellStyle name="Normal 4 5 2 6 5 2" xfId="17063" xr:uid="{A1BFFE33-337C-4432-85A0-14BA6D79C6A1}"/>
    <cellStyle name="Normal 4 5 2 6 6" xfId="7956" xr:uid="{AC60BEF0-7615-4E3F-92B4-6F58568DF3D5}"/>
    <cellStyle name="Normal 4 5 2 6 6 2" xfId="17064" xr:uid="{160A9165-B6CC-4AA3-A63D-1B66388E1DBD}"/>
    <cellStyle name="Normal 4 5 2 6 7" xfId="7957" xr:uid="{B54FF7C8-A39C-4C7F-9202-84C446572749}"/>
    <cellStyle name="Normal 4 5 2 6 7 2" xfId="17065" xr:uid="{61A5BC5C-A6BE-4929-A451-387969C39395}"/>
    <cellStyle name="Normal 4 5 2 6 8" xfId="17045" xr:uid="{C66AFBE8-25FD-46D4-9CD3-4B20A48EB0A6}"/>
    <cellStyle name="Normal 4 5 2 7" xfId="7958" xr:uid="{ABC407FB-1282-449F-A77C-1A51BE4D69D2}"/>
    <cellStyle name="Normal 4 5 2 7 2" xfId="7959" xr:uid="{0101DAEA-D5B6-45A2-B37E-D69B99F08661}"/>
    <cellStyle name="Normal 4 5 2 7 2 2" xfId="7960" xr:uid="{2A165F1E-F1C2-47E7-85DA-D723BA41334A}"/>
    <cellStyle name="Normal 4 5 2 7 2 2 2" xfId="17068" xr:uid="{3F04E048-D162-4C46-A89C-4754AAAD67E0}"/>
    <cellStyle name="Normal 4 5 2 7 2 3" xfId="7961" xr:uid="{03F12902-CB9E-4111-B23F-C5AA1C996F19}"/>
    <cellStyle name="Normal 4 5 2 7 2 3 2" xfId="17069" xr:uid="{018DD830-C948-4CE2-BFC3-0014730FB407}"/>
    <cellStyle name="Normal 4 5 2 7 2 4" xfId="17067" xr:uid="{B1AB9B90-C37E-482B-9989-8BD777E29985}"/>
    <cellStyle name="Normal 4 5 2 7 3" xfId="7962" xr:uid="{DD302315-BC8F-4387-8AF5-62E7944AEF29}"/>
    <cellStyle name="Normal 4 5 2 7 3 2" xfId="17070" xr:uid="{465F451E-B762-4EDE-9E2D-ACEF7B241C75}"/>
    <cellStyle name="Normal 4 5 2 7 4" xfId="7963" xr:uid="{B095CB18-351F-47D9-AA5B-0AC2F132D307}"/>
    <cellStyle name="Normal 4 5 2 7 4 2" xfId="17071" xr:uid="{96A0494E-3D5E-4E71-974B-349C2067618B}"/>
    <cellStyle name="Normal 4 5 2 7 5" xfId="7964" xr:uid="{22832994-A9A0-4855-8389-BF9703C80FBE}"/>
    <cellStyle name="Normal 4 5 2 7 5 2" xfId="17072" xr:uid="{1CF2B31F-C9B0-42FB-B6AA-05624C854398}"/>
    <cellStyle name="Normal 4 5 2 7 6" xfId="17066" xr:uid="{9EDD14D7-7F59-40FB-9C3D-8ED1910C7427}"/>
    <cellStyle name="Normal 4 5 2 8" xfId="7965" xr:uid="{C2C51708-7265-46D8-BF1C-4DC91D9F665D}"/>
    <cellStyle name="Normal 4 5 2 8 2" xfId="7966" xr:uid="{DC8F9D15-5C2B-4D04-9F6D-6355D2A37B58}"/>
    <cellStyle name="Normal 4 5 2 8 2 2" xfId="7967" xr:uid="{57036E40-241B-46D6-BBF8-D9F9F4C09001}"/>
    <cellStyle name="Normal 4 5 2 8 2 2 2" xfId="17075" xr:uid="{7B012F3E-9EB4-4C78-81FD-A5A564A74B2E}"/>
    <cellStyle name="Normal 4 5 2 8 2 3" xfId="7968" xr:uid="{3F9FD1DF-F6FC-43A2-86A8-C0278268DB5D}"/>
    <cellStyle name="Normal 4 5 2 8 2 3 2" xfId="17076" xr:uid="{4CE72C7A-8C1C-43B4-ABE6-3A34BC09EBFE}"/>
    <cellStyle name="Normal 4 5 2 8 2 4" xfId="17074" xr:uid="{3F36FC3B-79D2-4F3D-9003-72F2BAF5D85F}"/>
    <cellStyle name="Normal 4 5 2 8 3" xfId="7969" xr:uid="{C3E83640-BFCA-4DAA-9CDD-A983F791B26A}"/>
    <cellStyle name="Normal 4 5 2 8 3 2" xfId="17077" xr:uid="{CEB67169-D1CD-4457-8E55-0F29485D9872}"/>
    <cellStyle name="Normal 4 5 2 8 4" xfId="7970" xr:uid="{51885B82-D471-4194-AD9D-7E5F4F6E24BC}"/>
    <cellStyle name="Normal 4 5 2 8 4 2" xfId="17078" xr:uid="{6F535187-2E23-45BD-88D8-1CE0AFF9D75D}"/>
    <cellStyle name="Normal 4 5 2 8 5" xfId="7971" xr:uid="{388D9D04-DD55-4281-87EB-0C05C7056B45}"/>
    <cellStyle name="Normal 4 5 2 8 5 2" xfId="17079" xr:uid="{AC5C68C2-7E36-444C-96B0-DAEF155BBE33}"/>
    <cellStyle name="Normal 4 5 2 8 6" xfId="17073" xr:uid="{51C296C3-4A6A-4F27-BB81-3E19C236570C}"/>
    <cellStyle name="Normal 4 5 2 9" xfId="7972" xr:uid="{594EE75C-54E4-4D78-B3CC-6FD79A62293F}"/>
    <cellStyle name="Normal 4 5 2 9 2" xfId="7973" xr:uid="{049EB4C0-6506-481A-BCFE-2AB770133ED6}"/>
    <cellStyle name="Normal 4 5 2 9 2 2" xfId="17081" xr:uid="{1B156D2E-4286-4950-BA47-B00553B143BF}"/>
    <cellStyle name="Normal 4 5 2 9 3" xfId="7974" xr:uid="{79B197C4-3F3D-48E5-99B0-0867F227BDA9}"/>
    <cellStyle name="Normal 4 5 2 9 3 2" xfId="17082" xr:uid="{9B3888EA-0805-4769-9B14-E2C8B3962B1F}"/>
    <cellStyle name="Normal 4 5 2 9 4" xfId="17080" xr:uid="{9CFE0721-A37A-4417-AEB2-7D6566048FEE}"/>
    <cellStyle name="Normal 4 5 3" xfId="7975" xr:uid="{BBABCC66-B011-4552-A7E2-00272EF79DEA}"/>
    <cellStyle name="Normal 4 5 3 10" xfId="17083" xr:uid="{11AC0A40-4550-443F-9AAB-44DF011647B6}"/>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2 2" xfId="17088" xr:uid="{CE3714AE-A901-41F5-B212-D33DEC3C269A}"/>
    <cellStyle name="Normal 4 5 3 2 2 2 2 3" xfId="7981" xr:uid="{9A12B6C4-4EED-431A-954C-4C2176DB1770}"/>
    <cellStyle name="Normal 4 5 3 2 2 2 2 3 2" xfId="17089" xr:uid="{E94F55C1-3C4C-4B95-B809-B0E21A6C77EF}"/>
    <cellStyle name="Normal 4 5 3 2 2 2 2 4" xfId="17087" xr:uid="{E411B077-421D-4533-8FD1-9FF641ED0D14}"/>
    <cellStyle name="Normal 4 5 3 2 2 2 3" xfId="7982" xr:uid="{F2ECE7BE-F31F-4DE6-A87F-12DAC4611969}"/>
    <cellStyle name="Normal 4 5 3 2 2 2 3 2" xfId="17090" xr:uid="{6D6087EE-4F39-46FF-9DAA-C0EAABEBA26C}"/>
    <cellStyle name="Normal 4 5 3 2 2 2 4" xfId="7983" xr:uid="{553DC7FE-EFE0-4BB8-88BA-39F1EF76FEB9}"/>
    <cellStyle name="Normal 4 5 3 2 2 2 4 2" xfId="17091" xr:uid="{38CDAB59-213F-448C-9BCF-BBC85AB80C3F}"/>
    <cellStyle name="Normal 4 5 3 2 2 2 5" xfId="7984" xr:uid="{90249AD5-59C9-4D9F-AFB8-80813CCB2886}"/>
    <cellStyle name="Normal 4 5 3 2 2 2 5 2" xfId="17092" xr:uid="{A9D9BB3A-4623-463B-9220-F0EAB5F12F50}"/>
    <cellStyle name="Normal 4 5 3 2 2 2 6" xfId="17086" xr:uid="{17CB731C-3B55-4CDC-BF1F-9C866454E061}"/>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2 2" xfId="17095" xr:uid="{F859B908-3D87-4988-8501-EB708F77F565}"/>
    <cellStyle name="Normal 4 5 3 2 2 3 2 3" xfId="7988" xr:uid="{0247A9C1-9B85-480E-8B84-D87FE49B9A7A}"/>
    <cellStyle name="Normal 4 5 3 2 2 3 2 3 2" xfId="17096" xr:uid="{063960C3-A678-405E-BDAF-D5047AD8E652}"/>
    <cellStyle name="Normal 4 5 3 2 2 3 2 4" xfId="17094" xr:uid="{F717FB4B-4275-4159-AF0D-F5FAC4106658}"/>
    <cellStyle name="Normal 4 5 3 2 2 3 3" xfId="7989" xr:uid="{59978A81-D16D-4534-8EF0-994E22BF1573}"/>
    <cellStyle name="Normal 4 5 3 2 2 3 3 2" xfId="17097" xr:uid="{6EF9C42A-BEE5-489D-915B-6698F1D7116B}"/>
    <cellStyle name="Normal 4 5 3 2 2 3 4" xfId="7990" xr:uid="{FF92331F-76B0-48D6-95E6-FA55C5D9F535}"/>
    <cellStyle name="Normal 4 5 3 2 2 3 4 2" xfId="17098" xr:uid="{6E4BBD85-E863-46BD-A797-17B298ED3419}"/>
    <cellStyle name="Normal 4 5 3 2 2 3 5" xfId="7991" xr:uid="{22D0A840-5194-419D-8873-47BF7E89EC8F}"/>
    <cellStyle name="Normal 4 5 3 2 2 3 5 2" xfId="17099" xr:uid="{37EBCC60-4C9E-4155-A53D-233A570654C9}"/>
    <cellStyle name="Normal 4 5 3 2 2 3 6" xfId="17093" xr:uid="{3CBC9CB6-9508-43F6-B9C3-0A98D587E33B}"/>
    <cellStyle name="Normal 4 5 3 2 2 4" xfId="7992" xr:uid="{86577D7F-BA0E-41F7-B573-D9E71FD0B724}"/>
    <cellStyle name="Normal 4 5 3 2 2 4 2" xfId="7993" xr:uid="{6430FD82-8804-40BD-AB99-995A9B2452AC}"/>
    <cellStyle name="Normal 4 5 3 2 2 4 2 2" xfId="17101" xr:uid="{1EFFCC29-0497-47EA-AE0E-A40579BECDB7}"/>
    <cellStyle name="Normal 4 5 3 2 2 4 3" xfId="7994" xr:uid="{47FE7E55-52A6-4096-A188-EC6EEAC4EBE8}"/>
    <cellStyle name="Normal 4 5 3 2 2 4 3 2" xfId="17102" xr:uid="{E7E248D9-5B3E-4476-B856-CE44FBC49E4C}"/>
    <cellStyle name="Normal 4 5 3 2 2 4 4" xfId="17100" xr:uid="{93033C6F-B8F4-4876-BAF3-4B2E9D590628}"/>
    <cellStyle name="Normal 4 5 3 2 2 5" xfId="7995" xr:uid="{F71021CD-3807-44DE-9E81-F932F39A5632}"/>
    <cellStyle name="Normal 4 5 3 2 2 5 2" xfId="17103" xr:uid="{DD2D4CCD-AB04-4D4B-8F28-DE7D636F9EFF}"/>
    <cellStyle name="Normal 4 5 3 2 2 6" xfId="7996" xr:uid="{42B68536-C995-4441-9ED6-13F662543276}"/>
    <cellStyle name="Normal 4 5 3 2 2 6 2" xfId="17104" xr:uid="{22BC6383-4A2C-4372-B867-3A7FC91FF454}"/>
    <cellStyle name="Normal 4 5 3 2 2 7" xfId="7997" xr:uid="{4304874B-1247-4A9D-8433-353D48709453}"/>
    <cellStyle name="Normal 4 5 3 2 2 7 2" xfId="17105" xr:uid="{5E0E97FA-3856-4B85-BBAF-1CE4B4AC49C0}"/>
    <cellStyle name="Normal 4 5 3 2 2 8" xfId="17085" xr:uid="{A16619CA-D3D0-4DD9-A0A5-3EA0970A7069}"/>
    <cellStyle name="Normal 4 5 3 2 3" xfId="7998" xr:uid="{36857F9D-BE2E-475A-B596-D8B0757C264E}"/>
    <cellStyle name="Normal 4 5 3 2 3 2" xfId="7999" xr:uid="{CD889C89-F9E3-44A6-AC96-C2877860E5F1}"/>
    <cellStyle name="Normal 4 5 3 2 3 2 2" xfId="8000" xr:uid="{99157159-B718-4658-945E-49304B95096B}"/>
    <cellStyle name="Normal 4 5 3 2 3 2 2 2" xfId="17108" xr:uid="{07A52451-95B0-49BA-BC48-4C5DB66CAA31}"/>
    <cellStyle name="Normal 4 5 3 2 3 2 3" xfId="8001" xr:uid="{254AB7AB-E60C-4E38-B488-DA8B0CA307ED}"/>
    <cellStyle name="Normal 4 5 3 2 3 2 3 2" xfId="17109" xr:uid="{A3A27676-66E6-4463-AD7A-286EEA64DDF9}"/>
    <cellStyle name="Normal 4 5 3 2 3 2 4" xfId="17107" xr:uid="{6EA76377-C65E-4E03-BC75-C0284C48A8E3}"/>
    <cellStyle name="Normal 4 5 3 2 3 3" xfId="8002" xr:uid="{8034139F-B300-4D7F-B515-0F4631339A9F}"/>
    <cellStyle name="Normal 4 5 3 2 3 3 2" xfId="17110" xr:uid="{A8B99EDC-1787-40AE-AB0D-FB239A8EFC5A}"/>
    <cellStyle name="Normal 4 5 3 2 3 4" xfId="8003" xr:uid="{961E1B7C-1B84-4B40-BEDC-1FD75561D4C0}"/>
    <cellStyle name="Normal 4 5 3 2 3 4 2" xfId="17111" xr:uid="{641392A0-476B-472B-8562-AB37F96948F2}"/>
    <cellStyle name="Normal 4 5 3 2 3 5" xfId="8004" xr:uid="{D5953E1C-9DDD-4B6B-ABBC-F117FC616B33}"/>
    <cellStyle name="Normal 4 5 3 2 3 5 2" xfId="17112" xr:uid="{C608EB0C-99FF-4A6A-8B4A-CAA13AE92952}"/>
    <cellStyle name="Normal 4 5 3 2 3 6" xfId="17106" xr:uid="{16FCB229-EBD8-404E-BE95-5B22C2873FD7}"/>
    <cellStyle name="Normal 4 5 3 2 4" xfId="8005" xr:uid="{402D5911-3299-4F25-8070-D698943BC1C0}"/>
    <cellStyle name="Normal 4 5 3 2 4 2" xfId="8006" xr:uid="{0695186A-2C16-4C45-BFAD-B4055604AC2B}"/>
    <cellStyle name="Normal 4 5 3 2 4 2 2" xfId="8007" xr:uid="{8C2BDF02-8FE0-4BCC-85FE-E7920F29F63E}"/>
    <cellStyle name="Normal 4 5 3 2 4 2 2 2" xfId="17115" xr:uid="{0D1FD1EC-A221-43F5-9839-275D652C2347}"/>
    <cellStyle name="Normal 4 5 3 2 4 2 3" xfId="8008" xr:uid="{79DC3D9D-0AAF-4698-BCBE-B2BBDA8200F8}"/>
    <cellStyle name="Normal 4 5 3 2 4 2 3 2" xfId="17116" xr:uid="{57993000-98E8-48D8-9205-23776590CF9A}"/>
    <cellStyle name="Normal 4 5 3 2 4 2 4" xfId="17114" xr:uid="{D52710B6-90FE-4162-B676-ADD39842DA0E}"/>
    <cellStyle name="Normal 4 5 3 2 4 3" xfId="8009" xr:uid="{67A7ECD2-05B5-4537-B8E0-81BF366FDA13}"/>
    <cellStyle name="Normal 4 5 3 2 4 3 2" xfId="17117" xr:uid="{3E5516BC-B43A-4D81-A770-7BFAC2143594}"/>
    <cellStyle name="Normal 4 5 3 2 4 4" xfId="8010" xr:uid="{5F7E4FA9-F86D-40DC-BF2D-F9340FE2E1FA}"/>
    <cellStyle name="Normal 4 5 3 2 4 4 2" xfId="17118" xr:uid="{725E3B8F-BABC-4647-AD64-D9CAD03549D3}"/>
    <cellStyle name="Normal 4 5 3 2 4 5" xfId="8011" xr:uid="{7787A8D0-829B-4F2B-8B9E-CE993C475E0C}"/>
    <cellStyle name="Normal 4 5 3 2 4 5 2" xfId="17119" xr:uid="{1BCACE7F-5900-424B-997A-877B54BB642D}"/>
    <cellStyle name="Normal 4 5 3 2 4 6" xfId="17113" xr:uid="{1BCB1482-BFA4-4975-B33C-08A370664783}"/>
    <cellStyle name="Normal 4 5 3 2 5" xfId="8012" xr:uid="{7D90B4F5-97C2-43C2-9CE0-7934E2DAED8D}"/>
    <cellStyle name="Normal 4 5 3 2 5 2" xfId="8013" xr:uid="{FBDDC947-E5E7-409F-AE16-27B61F2D395C}"/>
    <cellStyle name="Normal 4 5 3 2 5 2 2" xfId="17121" xr:uid="{9F88B8F7-9EBA-4B57-A164-64CE9C658399}"/>
    <cellStyle name="Normal 4 5 3 2 5 3" xfId="8014" xr:uid="{C881D76A-8FA6-44D3-85C1-2EF7EB2701F5}"/>
    <cellStyle name="Normal 4 5 3 2 5 3 2" xfId="17122" xr:uid="{E6768F9F-D724-4E51-9D8B-55FAE23AE338}"/>
    <cellStyle name="Normal 4 5 3 2 5 4" xfId="17120" xr:uid="{E3A3AE57-F2EA-4B1A-BFF1-0EB37EB40B69}"/>
    <cellStyle name="Normal 4 5 3 2 6" xfId="8015" xr:uid="{35AFF253-F87A-4D1F-8F35-2C31E362DE95}"/>
    <cellStyle name="Normal 4 5 3 2 6 2" xfId="17123" xr:uid="{BDC075F9-8542-42AC-BF04-370783AD0AC4}"/>
    <cellStyle name="Normal 4 5 3 2 7" xfId="8016" xr:uid="{148FEDB8-FD27-4891-A78F-67CAC0ED284E}"/>
    <cellStyle name="Normal 4 5 3 2 7 2" xfId="17124" xr:uid="{789BD6B5-923B-4425-9A67-E84F0AF3ED1B}"/>
    <cellStyle name="Normal 4 5 3 2 8" xfId="8017" xr:uid="{ED8AE8CE-5F30-48BC-9675-DFA00569B704}"/>
    <cellStyle name="Normal 4 5 3 2 8 2" xfId="17125" xr:uid="{C907BB5E-66DF-4347-936C-1BA49C410E2A}"/>
    <cellStyle name="Normal 4 5 3 2 9" xfId="17084" xr:uid="{EBB73851-71B9-4986-B4C3-FD588D35F106}"/>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2 2" xfId="17129" xr:uid="{BAED9493-4C58-4B0A-887C-9402B7AC48F6}"/>
    <cellStyle name="Normal 4 5 3 3 2 2 3" xfId="8022" xr:uid="{1DE2AF1D-B744-4B3E-BBB7-FE100D98A3BD}"/>
    <cellStyle name="Normal 4 5 3 3 2 2 3 2" xfId="17130" xr:uid="{FCCB44DA-3AAD-4AD4-A5C4-04C1E0A96229}"/>
    <cellStyle name="Normal 4 5 3 3 2 2 4" xfId="17128" xr:uid="{6F12FC0D-8830-4180-9388-2BC5D6AEE8A0}"/>
    <cellStyle name="Normal 4 5 3 3 2 3" xfId="8023" xr:uid="{1F10C1A5-2D4A-46F8-807F-B16B16673E53}"/>
    <cellStyle name="Normal 4 5 3 3 2 3 2" xfId="17131" xr:uid="{CEC1B801-DB3F-48CE-B231-7729FFF9CE73}"/>
    <cellStyle name="Normal 4 5 3 3 2 4" xfId="8024" xr:uid="{AB3FEE0A-B31D-4C0D-B424-80BBB6FB9F2B}"/>
    <cellStyle name="Normal 4 5 3 3 2 4 2" xfId="17132" xr:uid="{AAD04CF4-8D94-45B6-A346-C53E04351040}"/>
    <cellStyle name="Normal 4 5 3 3 2 5" xfId="8025" xr:uid="{781BB435-CB45-4600-AD83-A16D56A788EE}"/>
    <cellStyle name="Normal 4 5 3 3 2 5 2" xfId="17133" xr:uid="{EE52F6B7-D1A2-445B-AB9D-271F1C4D971F}"/>
    <cellStyle name="Normal 4 5 3 3 2 6" xfId="17127" xr:uid="{B3159C01-12F8-4443-8678-09459CE74E04}"/>
    <cellStyle name="Normal 4 5 3 3 3" xfId="8026" xr:uid="{85254C5D-A94E-409D-8CBA-A2D1FE21F0C7}"/>
    <cellStyle name="Normal 4 5 3 3 3 2" xfId="8027" xr:uid="{862008DF-C0BD-42DA-8D41-3327DD628F90}"/>
    <cellStyle name="Normal 4 5 3 3 3 2 2" xfId="8028" xr:uid="{46A5236A-5DFF-46FA-A5A0-D790D49A2F2F}"/>
    <cellStyle name="Normal 4 5 3 3 3 2 2 2" xfId="17136" xr:uid="{15B7A333-EFB9-44B4-93A8-AA3ACC4AFCB0}"/>
    <cellStyle name="Normal 4 5 3 3 3 2 3" xfId="8029" xr:uid="{E2342DE8-4D8C-4927-AA2B-36CEA8818607}"/>
    <cellStyle name="Normal 4 5 3 3 3 2 3 2" xfId="17137" xr:uid="{8DD50637-18DB-42D1-ABFC-9624FDADB76A}"/>
    <cellStyle name="Normal 4 5 3 3 3 2 4" xfId="17135" xr:uid="{7B86C839-A035-4D4C-8A8E-0FD0E0E0795E}"/>
    <cellStyle name="Normal 4 5 3 3 3 3" xfId="8030" xr:uid="{1FBC1107-234F-4990-AB8E-D8A650259593}"/>
    <cellStyle name="Normal 4 5 3 3 3 3 2" xfId="17138" xr:uid="{A2BD27FB-3C06-4EAB-BBD6-097EE623D851}"/>
    <cellStyle name="Normal 4 5 3 3 3 4" xfId="8031" xr:uid="{BDC5F1CC-71CD-40DE-84BD-66E12AD11F91}"/>
    <cellStyle name="Normal 4 5 3 3 3 4 2" xfId="17139" xr:uid="{D5C72368-3657-4BB4-A4B5-3A7DF6E10C22}"/>
    <cellStyle name="Normal 4 5 3 3 3 5" xfId="8032" xr:uid="{F7C9E9C7-670F-42BC-8E25-4DBF625FA5E9}"/>
    <cellStyle name="Normal 4 5 3 3 3 5 2" xfId="17140" xr:uid="{16CC2589-31D3-41A9-BE06-7F41C4231651}"/>
    <cellStyle name="Normal 4 5 3 3 3 6" xfId="17134" xr:uid="{489FEF49-034B-4E83-B524-91C22EE043DE}"/>
    <cellStyle name="Normal 4 5 3 3 4" xfId="8033" xr:uid="{935F2CDC-8AFB-46D5-A197-4B24C66FF8E9}"/>
    <cellStyle name="Normal 4 5 3 3 4 2" xfId="8034" xr:uid="{9F024FCA-31FC-4124-A67D-EFE8CFF62673}"/>
    <cellStyle name="Normal 4 5 3 3 4 2 2" xfId="17142" xr:uid="{05CB46EC-BEAE-486E-B656-724DE3824D78}"/>
    <cellStyle name="Normal 4 5 3 3 4 3" xfId="8035" xr:uid="{D659B467-4C04-4CD8-B4F8-6C77E79FD468}"/>
    <cellStyle name="Normal 4 5 3 3 4 3 2" xfId="17143" xr:uid="{13BE5B22-77DE-40B7-9740-996882AC32B6}"/>
    <cellStyle name="Normal 4 5 3 3 4 4" xfId="17141" xr:uid="{6F04EE6B-D0F9-42BB-A585-7D83B60A954A}"/>
    <cellStyle name="Normal 4 5 3 3 5" xfId="8036" xr:uid="{038F757A-7316-4A35-988B-B0E09DB9B1F9}"/>
    <cellStyle name="Normal 4 5 3 3 5 2" xfId="17144" xr:uid="{82E4E775-7644-46AF-A3C9-27CE143F5E9C}"/>
    <cellStyle name="Normal 4 5 3 3 6" xfId="8037" xr:uid="{7B183F3A-7AC9-4FB4-A040-F20AD366B82D}"/>
    <cellStyle name="Normal 4 5 3 3 6 2" xfId="17145" xr:uid="{6D49086E-5DF0-44AF-A7D5-FCADF97B270B}"/>
    <cellStyle name="Normal 4 5 3 3 7" xfId="8038" xr:uid="{3771FDE5-F745-4DC0-9765-5894952C0272}"/>
    <cellStyle name="Normal 4 5 3 3 7 2" xfId="17146" xr:uid="{44D27F42-7521-4695-B592-E4AD4BBA3443}"/>
    <cellStyle name="Normal 4 5 3 3 8" xfId="17126" xr:uid="{48FF0F20-DDF5-4AD2-9C5F-A6833386F67C}"/>
    <cellStyle name="Normal 4 5 3 4" xfId="8039" xr:uid="{E7A09BF4-D9EE-4F4D-916C-150995B0F64F}"/>
    <cellStyle name="Normal 4 5 3 4 2" xfId="8040" xr:uid="{08470D89-3D55-4C0B-A041-38CF8A8EA4EB}"/>
    <cellStyle name="Normal 4 5 3 4 2 2" xfId="8041" xr:uid="{ADA0DEAF-B5C5-4405-AC57-D79B2CDF88F6}"/>
    <cellStyle name="Normal 4 5 3 4 2 2 2" xfId="17149" xr:uid="{2305DEDB-864F-482A-9AF4-139E9FF95BD0}"/>
    <cellStyle name="Normal 4 5 3 4 2 3" xfId="8042" xr:uid="{0D3AF1EB-B25E-45A3-A651-3703BFEE111C}"/>
    <cellStyle name="Normal 4 5 3 4 2 3 2" xfId="17150" xr:uid="{4F27B650-90A7-46B5-BBF8-D2E743EE077F}"/>
    <cellStyle name="Normal 4 5 3 4 2 4" xfId="17148" xr:uid="{C0A5D811-22EB-4262-AAD5-580038B33354}"/>
    <cellStyle name="Normal 4 5 3 4 3" xfId="8043" xr:uid="{393499A7-13E7-4C9F-9388-786495819366}"/>
    <cellStyle name="Normal 4 5 3 4 3 2" xfId="17151" xr:uid="{9A739308-F792-4929-A721-F7183FDC5BF0}"/>
    <cellStyle name="Normal 4 5 3 4 4" xfId="8044" xr:uid="{2B75E2A6-AF10-40FF-903A-7D8E4D916028}"/>
    <cellStyle name="Normal 4 5 3 4 4 2" xfId="17152" xr:uid="{CBC85F03-134A-4562-A666-5624FF6CE9E6}"/>
    <cellStyle name="Normal 4 5 3 4 5" xfId="8045" xr:uid="{D118C1DD-27C3-40FF-9A33-64090E62B100}"/>
    <cellStyle name="Normal 4 5 3 4 5 2" xfId="17153" xr:uid="{6185CEF8-669E-4FA3-B4E3-17BC03FC2107}"/>
    <cellStyle name="Normal 4 5 3 4 6" xfId="17147" xr:uid="{F86A89F0-37C4-423C-9D2E-9B28D378677F}"/>
    <cellStyle name="Normal 4 5 3 5" xfId="8046" xr:uid="{FC95ADDD-D3CA-488C-82A3-7AFA138CF29A}"/>
    <cellStyle name="Normal 4 5 3 5 2" xfId="8047" xr:uid="{0770AF01-D1D5-4EFC-BBE2-C188250B1DB4}"/>
    <cellStyle name="Normal 4 5 3 5 2 2" xfId="8048" xr:uid="{FF23F923-5ECE-4FCB-8ECD-5DA98F3E75D2}"/>
    <cellStyle name="Normal 4 5 3 5 2 2 2" xfId="17156" xr:uid="{6D81A4B7-5313-4592-B27E-8A9B65DD2AF4}"/>
    <cellStyle name="Normal 4 5 3 5 2 3" xfId="8049" xr:uid="{17F07FE7-CFC8-4B17-BD37-042D62EF31CF}"/>
    <cellStyle name="Normal 4 5 3 5 2 3 2" xfId="17157" xr:uid="{76D97058-900B-443F-916B-A0C6CCDB6434}"/>
    <cellStyle name="Normal 4 5 3 5 2 4" xfId="17155" xr:uid="{DE517522-FCBF-41E2-AF05-618847341E65}"/>
    <cellStyle name="Normal 4 5 3 5 3" xfId="8050" xr:uid="{8806DF33-259A-492E-AA67-41953F4F34EE}"/>
    <cellStyle name="Normal 4 5 3 5 3 2" xfId="17158" xr:uid="{25FEC68A-C3EB-4B48-907A-745A9A303824}"/>
    <cellStyle name="Normal 4 5 3 5 4" xfId="8051" xr:uid="{A20AD945-031F-42AC-A7A0-84D8E53DBF74}"/>
    <cellStyle name="Normal 4 5 3 5 4 2" xfId="17159" xr:uid="{475593E1-F3DA-45FC-A461-2A2A26806C4A}"/>
    <cellStyle name="Normal 4 5 3 5 5" xfId="8052" xr:uid="{8680F66A-D8EE-461C-AD32-36ABDF365DBF}"/>
    <cellStyle name="Normal 4 5 3 5 5 2" xfId="17160" xr:uid="{A49180C3-1304-45A4-BFF6-EFCBDBAAB9AF}"/>
    <cellStyle name="Normal 4 5 3 5 6" xfId="17154" xr:uid="{10B3E118-B6D7-469B-949B-C0F1D497C481}"/>
    <cellStyle name="Normal 4 5 3 6" xfId="8053" xr:uid="{45D49128-F072-400B-B3F0-2A7DA93BC804}"/>
    <cellStyle name="Normal 4 5 3 6 2" xfId="8054" xr:uid="{70D8B2DB-87E9-41BD-AE8C-7B6A1E49D509}"/>
    <cellStyle name="Normal 4 5 3 6 2 2" xfId="17162" xr:uid="{4852DEAD-A55A-4C29-A9FD-E09C4DE6BAD8}"/>
    <cellStyle name="Normal 4 5 3 6 3" xfId="8055" xr:uid="{5E7858EE-F353-44F5-A8DD-6B14C6815DA7}"/>
    <cellStyle name="Normal 4 5 3 6 3 2" xfId="17163" xr:uid="{47B26728-D290-4509-BD40-A2B9514DC99F}"/>
    <cellStyle name="Normal 4 5 3 6 4" xfId="17161" xr:uid="{0BFA67F5-4F52-48DF-8A8E-3850E7C6380E}"/>
    <cellStyle name="Normal 4 5 3 7" xfId="8056" xr:uid="{7FA0A5E6-8F72-4AE3-9ADC-E58272612D09}"/>
    <cellStyle name="Normal 4 5 3 7 2" xfId="17164" xr:uid="{328355F7-5CEF-4A39-A7DA-021D6E6BE496}"/>
    <cellStyle name="Normal 4 5 3 8" xfId="8057" xr:uid="{0E2E94E9-D075-45C9-B611-A6CD8BE729BD}"/>
    <cellStyle name="Normal 4 5 3 8 2" xfId="17165" xr:uid="{25D1EA44-5FA1-4E5B-8DC2-3B5D03E7BDCE}"/>
    <cellStyle name="Normal 4 5 3 9" xfId="8058" xr:uid="{23BCEBB1-F8C2-4525-86A7-083324067CA7}"/>
    <cellStyle name="Normal 4 5 3 9 2" xfId="17166" xr:uid="{9283273C-0D03-43CF-9977-749F3B99BEA1}"/>
    <cellStyle name="Normal 4 5 4" xfId="8059" xr:uid="{69296119-34EC-48F3-842F-83C62D23703F}"/>
    <cellStyle name="Normal 4 5 4 10" xfId="17167" xr:uid="{55D930B4-B56C-4755-90D2-78BD7C53B2DE}"/>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2 2" xfId="17172" xr:uid="{6F68A3EF-E062-4DF3-A095-56D5E783AD68}"/>
    <cellStyle name="Normal 4 5 4 2 2 2 2 3" xfId="8065" xr:uid="{02460150-BFD5-43BA-AF1E-7590517E50FF}"/>
    <cellStyle name="Normal 4 5 4 2 2 2 2 3 2" xfId="17173" xr:uid="{A530C4EA-0551-46BB-992D-502B36F69D84}"/>
    <cellStyle name="Normal 4 5 4 2 2 2 2 4" xfId="17171" xr:uid="{BF6F902E-F6E5-4986-B80A-EE9AE4A81889}"/>
    <cellStyle name="Normal 4 5 4 2 2 2 3" xfId="8066" xr:uid="{C3D56F82-D1E1-40C5-AAA8-BFD71EA68517}"/>
    <cellStyle name="Normal 4 5 4 2 2 2 3 2" xfId="17174" xr:uid="{87A6F1BB-958F-4157-97DC-43323769AF55}"/>
    <cellStyle name="Normal 4 5 4 2 2 2 4" xfId="8067" xr:uid="{F970DFD5-306A-462A-A9A6-26A0EED92A42}"/>
    <cellStyle name="Normal 4 5 4 2 2 2 4 2" xfId="17175" xr:uid="{4983819F-C71E-420F-ACB1-1B2AD9D00FC5}"/>
    <cellStyle name="Normal 4 5 4 2 2 2 5" xfId="8068" xr:uid="{99E9987D-ACF9-4087-A7B7-C2AA52920A2A}"/>
    <cellStyle name="Normal 4 5 4 2 2 2 5 2" xfId="17176" xr:uid="{4F51DAA4-52C3-4185-9380-1BEC652EDB37}"/>
    <cellStyle name="Normal 4 5 4 2 2 2 6" xfId="17170" xr:uid="{5651B12B-45E6-4033-BD58-AE20741E79EB}"/>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2 2" xfId="17179" xr:uid="{2898AE22-81AC-4631-8D2D-34951C2D87AA}"/>
    <cellStyle name="Normal 4 5 4 2 2 3 2 3" xfId="8072" xr:uid="{BDFCCF7C-4232-4A38-9A19-29208F17A6BD}"/>
    <cellStyle name="Normal 4 5 4 2 2 3 2 3 2" xfId="17180" xr:uid="{6F0D2E8F-A51D-45FE-B94C-FED2E66A69EA}"/>
    <cellStyle name="Normal 4 5 4 2 2 3 2 4" xfId="17178" xr:uid="{D7C28CD7-7352-420A-B29E-67673855E9E1}"/>
    <cellStyle name="Normal 4 5 4 2 2 3 3" xfId="8073" xr:uid="{814E4F60-87E0-4DCD-B049-AE6F7265F6A4}"/>
    <cellStyle name="Normal 4 5 4 2 2 3 3 2" xfId="17181" xr:uid="{DD7308E0-0761-4FE7-982B-E60D17FD8E3C}"/>
    <cellStyle name="Normal 4 5 4 2 2 3 4" xfId="8074" xr:uid="{812822EC-75DA-4090-9120-333D0341E96E}"/>
    <cellStyle name="Normal 4 5 4 2 2 3 4 2" xfId="17182" xr:uid="{49B4268A-33A5-4B87-818F-63738E443E2E}"/>
    <cellStyle name="Normal 4 5 4 2 2 3 5" xfId="8075" xr:uid="{204D309E-2C5F-4764-93D3-4BC458708E98}"/>
    <cellStyle name="Normal 4 5 4 2 2 3 5 2" xfId="17183" xr:uid="{11FEB319-BC56-4B42-88AD-A5C27E6A8AD5}"/>
    <cellStyle name="Normal 4 5 4 2 2 3 6" xfId="17177" xr:uid="{4879AB59-BBF6-47F5-AA41-04509DFD71EE}"/>
    <cellStyle name="Normal 4 5 4 2 2 4" xfId="8076" xr:uid="{657842C2-DAD3-40AE-9BE9-C72405485409}"/>
    <cellStyle name="Normal 4 5 4 2 2 4 2" xfId="8077" xr:uid="{12467371-423F-44CA-B175-4C278617AE94}"/>
    <cellStyle name="Normal 4 5 4 2 2 4 2 2" xfId="17185" xr:uid="{24C22C23-7A9C-4817-BAEF-3921CB85277D}"/>
    <cellStyle name="Normal 4 5 4 2 2 4 3" xfId="8078" xr:uid="{766C6897-03AA-4949-8FBB-A4BBE2488E41}"/>
    <cellStyle name="Normal 4 5 4 2 2 4 3 2" xfId="17186" xr:uid="{37A34BEF-20FF-492B-A2FD-2FD1033D2A13}"/>
    <cellStyle name="Normal 4 5 4 2 2 4 4" xfId="17184" xr:uid="{E6A88C0D-7716-487B-A0AC-3D74F4A55F4D}"/>
    <cellStyle name="Normal 4 5 4 2 2 5" xfId="8079" xr:uid="{6B93D163-052E-4072-8864-BD63278F956D}"/>
    <cellStyle name="Normal 4 5 4 2 2 5 2" xfId="17187" xr:uid="{18B0563C-0692-402F-A4A5-3066C7E6FDCB}"/>
    <cellStyle name="Normal 4 5 4 2 2 6" xfId="8080" xr:uid="{200D8E84-F37F-4788-B03E-6EF522495F55}"/>
    <cellStyle name="Normal 4 5 4 2 2 6 2" xfId="17188" xr:uid="{DE196900-27FB-4A1B-9FDB-E316F3AA9D72}"/>
    <cellStyle name="Normal 4 5 4 2 2 7" xfId="8081" xr:uid="{F895F7A7-C569-4457-87AA-A665FABDF2C0}"/>
    <cellStyle name="Normal 4 5 4 2 2 7 2" xfId="17189" xr:uid="{8A9C5467-B58B-4EC1-84EF-C87B0A9EB70D}"/>
    <cellStyle name="Normal 4 5 4 2 2 8" xfId="17169" xr:uid="{7ABA8DFA-374A-45F4-8EB9-957D4872A9B2}"/>
    <cellStyle name="Normal 4 5 4 2 3" xfId="8082" xr:uid="{1AC129AB-A754-4AE9-A4D4-76808A90ACC2}"/>
    <cellStyle name="Normal 4 5 4 2 3 2" xfId="8083" xr:uid="{F1AEA3D0-455C-4105-86F0-DAA104B3D1FB}"/>
    <cellStyle name="Normal 4 5 4 2 3 2 2" xfId="8084" xr:uid="{C9A5B65F-D366-4077-98DB-0D7EB715F015}"/>
    <cellStyle name="Normal 4 5 4 2 3 2 2 2" xfId="17192" xr:uid="{2B3113A3-14A1-4421-AA25-C805A18767EA}"/>
    <cellStyle name="Normal 4 5 4 2 3 2 3" xfId="8085" xr:uid="{5447A1E6-F151-49F7-A90E-2C2259F8BD34}"/>
    <cellStyle name="Normal 4 5 4 2 3 2 3 2" xfId="17193" xr:uid="{79ABB992-891F-4C23-825B-94A8C7725B97}"/>
    <cellStyle name="Normal 4 5 4 2 3 2 4" xfId="17191" xr:uid="{3A4C88E4-62AA-45E4-A814-B993D40AB947}"/>
    <cellStyle name="Normal 4 5 4 2 3 3" xfId="8086" xr:uid="{6A76A220-2B64-47BA-936C-CD484FF904AE}"/>
    <cellStyle name="Normal 4 5 4 2 3 3 2" xfId="17194" xr:uid="{3BFD647F-A06B-4C91-8D9C-3FFDBC470496}"/>
    <cellStyle name="Normal 4 5 4 2 3 4" xfId="8087" xr:uid="{1A283A49-6BD5-495B-9DF7-F1C2D4113FEA}"/>
    <cellStyle name="Normal 4 5 4 2 3 4 2" xfId="17195" xr:uid="{C1032B00-8BA2-4754-8FCC-16837D695FF9}"/>
    <cellStyle name="Normal 4 5 4 2 3 5" xfId="8088" xr:uid="{496125A1-09A6-4868-9DC0-C2B0889E64FD}"/>
    <cellStyle name="Normal 4 5 4 2 3 5 2" xfId="17196" xr:uid="{4E113137-3F50-4C44-AADD-4D1C184B64F7}"/>
    <cellStyle name="Normal 4 5 4 2 3 6" xfId="17190" xr:uid="{DF1639A4-2888-4B9A-93E5-4E10217DB712}"/>
    <cellStyle name="Normal 4 5 4 2 4" xfId="8089" xr:uid="{2A6E2CB9-E06D-483A-AFA8-137D2265DE21}"/>
    <cellStyle name="Normal 4 5 4 2 4 2" xfId="8090" xr:uid="{39549A8C-1B5F-4E8C-BF1B-752B6AA01EB8}"/>
    <cellStyle name="Normal 4 5 4 2 4 2 2" xfId="8091" xr:uid="{B610F3BF-3FFC-40C6-95FB-04C0746365CF}"/>
    <cellStyle name="Normal 4 5 4 2 4 2 2 2" xfId="17199" xr:uid="{F2ED6E4C-509F-4BFD-977E-7234DC7A6B85}"/>
    <cellStyle name="Normal 4 5 4 2 4 2 3" xfId="8092" xr:uid="{7241A9D3-E160-4360-91AA-A5762C8B6910}"/>
    <cellStyle name="Normal 4 5 4 2 4 2 3 2" xfId="17200" xr:uid="{E51A2C86-891A-4BED-B8B5-21F73301EE70}"/>
    <cellStyle name="Normal 4 5 4 2 4 2 4" xfId="17198" xr:uid="{661773CD-F47E-407D-AE5B-EFBA5FDE42D0}"/>
    <cellStyle name="Normal 4 5 4 2 4 3" xfId="8093" xr:uid="{8FCBC5FB-EC70-4C87-BEC0-0B7613477D53}"/>
    <cellStyle name="Normal 4 5 4 2 4 3 2" xfId="17201" xr:uid="{EE920B59-9287-4AFB-8B38-963A8EB4E4CB}"/>
    <cellStyle name="Normal 4 5 4 2 4 4" xfId="8094" xr:uid="{3444F200-D57D-49F9-90D2-1BF2C3604345}"/>
    <cellStyle name="Normal 4 5 4 2 4 4 2" xfId="17202" xr:uid="{19CE223A-09A4-455F-A529-8164D5F66873}"/>
    <cellStyle name="Normal 4 5 4 2 4 5" xfId="8095" xr:uid="{8DA2C1DF-96BC-4A57-89A1-B3AC6B1B9288}"/>
    <cellStyle name="Normal 4 5 4 2 4 5 2" xfId="17203" xr:uid="{EF20424A-9F42-4F8E-AEEE-08616E080F77}"/>
    <cellStyle name="Normal 4 5 4 2 4 6" xfId="17197" xr:uid="{1C932D0B-21C2-4970-95A9-7F568E2C01FC}"/>
    <cellStyle name="Normal 4 5 4 2 5" xfId="8096" xr:uid="{5012D8DC-AAC0-43ED-97BD-C8B203C9626B}"/>
    <cellStyle name="Normal 4 5 4 2 5 2" xfId="8097" xr:uid="{4C0EDFB9-6F2C-4927-A0DB-EE96968E596F}"/>
    <cellStyle name="Normal 4 5 4 2 5 2 2" xfId="17205" xr:uid="{57BE9C6F-1637-4D40-A5D0-C51B5328B6C0}"/>
    <cellStyle name="Normal 4 5 4 2 5 3" xfId="8098" xr:uid="{213B4086-3D4A-4017-B733-12651CD34D7A}"/>
    <cellStyle name="Normal 4 5 4 2 5 3 2" xfId="17206" xr:uid="{6DF3A5EB-DA61-436A-9C28-A73184AE354D}"/>
    <cellStyle name="Normal 4 5 4 2 5 4" xfId="17204" xr:uid="{AC8B395C-C846-4837-986A-5F0A1272C393}"/>
    <cellStyle name="Normal 4 5 4 2 6" xfId="8099" xr:uid="{6A9E6030-A41B-4209-9E30-88C0385A36DA}"/>
    <cellStyle name="Normal 4 5 4 2 6 2" xfId="17207" xr:uid="{61962420-EAC0-4037-AC82-DB4E9450CA81}"/>
    <cellStyle name="Normal 4 5 4 2 7" xfId="8100" xr:uid="{1B9F5213-57FA-40C2-814B-B65EDFF84AD7}"/>
    <cellStyle name="Normal 4 5 4 2 7 2" xfId="17208" xr:uid="{C650E7BF-7041-4D1A-A1C4-5FEFEA47F7FD}"/>
    <cellStyle name="Normal 4 5 4 2 8" xfId="8101" xr:uid="{5F89D1FF-AFDB-4167-ABA1-8A50EAA7D438}"/>
    <cellStyle name="Normal 4 5 4 2 8 2" xfId="17209" xr:uid="{9ABD0F14-1E49-4528-AEDB-153DC7E4AF71}"/>
    <cellStyle name="Normal 4 5 4 2 9" xfId="17168" xr:uid="{E5D402BE-38AE-4D43-B7C0-80368E666A6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2 2" xfId="17213" xr:uid="{6541F65F-4C0E-4EC5-A33C-4C7A7B2D9C74}"/>
    <cellStyle name="Normal 4 5 4 3 2 2 3" xfId="8106" xr:uid="{B7DFD22C-BFCB-4E61-8A59-779AB7D3D01B}"/>
    <cellStyle name="Normal 4 5 4 3 2 2 3 2" xfId="17214" xr:uid="{C0ECD231-A66E-40F2-9B3F-7B105F52E6C7}"/>
    <cellStyle name="Normal 4 5 4 3 2 2 4" xfId="17212" xr:uid="{5488E700-D147-4DF9-8B90-CFFCB4125EE2}"/>
    <cellStyle name="Normal 4 5 4 3 2 3" xfId="8107" xr:uid="{FF984BAE-7E9B-4A9D-9CBC-77584E73FE07}"/>
    <cellStyle name="Normal 4 5 4 3 2 3 2" xfId="17215" xr:uid="{CFF9E3D7-BAFC-4CF8-ACCC-4F8EFD17D983}"/>
    <cellStyle name="Normal 4 5 4 3 2 4" xfId="8108" xr:uid="{F73B49E2-81E7-4084-A996-4E873F46D44D}"/>
    <cellStyle name="Normal 4 5 4 3 2 4 2" xfId="17216" xr:uid="{974AF6F6-8C00-4BE6-B22C-40F038362206}"/>
    <cellStyle name="Normal 4 5 4 3 2 5" xfId="8109" xr:uid="{738B92A9-2723-4F73-B911-C1181AD69612}"/>
    <cellStyle name="Normal 4 5 4 3 2 5 2" xfId="17217" xr:uid="{4B232B11-4B10-4204-99CB-4E10B4A1AEB7}"/>
    <cellStyle name="Normal 4 5 4 3 2 6" xfId="17211" xr:uid="{D149157A-73BE-4CF1-82CA-36FE5ED90174}"/>
    <cellStyle name="Normal 4 5 4 3 3" xfId="8110" xr:uid="{EB88DA57-52C5-411F-A3DE-640C4CE895BD}"/>
    <cellStyle name="Normal 4 5 4 3 3 2" xfId="8111" xr:uid="{87942FF0-2451-40DB-9A64-AEF2609D33F7}"/>
    <cellStyle name="Normal 4 5 4 3 3 2 2" xfId="8112" xr:uid="{4B190226-2F37-4974-B8F0-F735ED0884AA}"/>
    <cellStyle name="Normal 4 5 4 3 3 2 2 2" xfId="17220" xr:uid="{C4534356-2941-4492-90E4-CA321E90B9FB}"/>
    <cellStyle name="Normal 4 5 4 3 3 2 3" xfId="8113" xr:uid="{2241F8FD-5AC3-4741-842C-039A01D70506}"/>
    <cellStyle name="Normal 4 5 4 3 3 2 3 2" xfId="17221" xr:uid="{7A6488C7-A805-4578-B636-019F273BE004}"/>
    <cellStyle name="Normal 4 5 4 3 3 2 4" xfId="17219" xr:uid="{C68609BA-32AD-4DED-AD3E-8CDF624DF396}"/>
    <cellStyle name="Normal 4 5 4 3 3 3" xfId="8114" xr:uid="{B1F1183C-2DD8-4404-A922-44B98B568B76}"/>
    <cellStyle name="Normal 4 5 4 3 3 3 2" xfId="17222" xr:uid="{19876BE2-E384-4F37-98AE-B756A48DDF32}"/>
    <cellStyle name="Normal 4 5 4 3 3 4" xfId="8115" xr:uid="{D18C3D7C-194E-45F7-857F-3043F598D90D}"/>
    <cellStyle name="Normal 4 5 4 3 3 4 2" xfId="17223" xr:uid="{518EB2A1-4F07-4366-B72B-927F0A13BA87}"/>
    <cellStyle name="Normal 4 5 4 3 3 5" xfId="8116" xr:uid="{6CE0ACE2-A15B-4FCD-B192-B202D3E4E0B5}"/>
    <cellStyle name="Normal 4 5 4 3 3 5 2" xfId="17224" xr:uid="{D3287E15-5560-44FC-8A7B-9FA7B3D0DCF9}"/>
    <cellStyle name="Normal 4 5 4 3 3 6" xfId="17218" xr:uid="{8B719965-FDA3-48CB-A934-4A346C3985E3}"/>
    <cellStyle name="Normal 4 5 4 3 4" xfId="8117" xr:uid="{5339DDF8-A1C0-4461-97B6-6F3E43487F93}"/>
    <cellStyle name="Normal 4 5 4 3 4 2" xfId="8118" xr:uid="{19FF8257-9512-499E-A36E-EF2897813FED}"/>
    <cellStyle name="Normal 4 5 4 3 4 2 2" xfId="17226" xr:uid="{0DEB878F-0967-4B28-92DA-FD3A63C2D19B}"/>
    <cellStyle name="Normal 4 5 4 3 4 3" xfId="8119" xr:uid="{094FFC1B-29ED-410C-9326-CE946B964DBE}"/>
    <cellStyle name="Normal 4 5 4 3 4 3 2" xfId="17227" xr:uid="{61AD22EA-5890-4EE5-9219-A582E4074B62}"/>
    <cellStyle name="Normal 4 5 4 3 4 4" xfId="17225" xr:uid="{4A60F393-AEB6-4B7C-8E30-02F0864BF04E}"/>
    <cellStyle name="Normal 4 5 4 3 5" xfId="8120" xr:uid="{29CA640F-C601-43F5-B4D3-BDF023084934}"/>
    <cellStyle name="Normal 4 5 4 3 5 2" xfId="17228" xr:uid="{A77674C0-83E6-4B81-8026-AD5E45BBDD84}"/>
    <cellStyle name="Normal 4 5 4 3 6" xfId="8121" xr:uid="{92F0D466-A802-4130-830D-8CF5BF69597A}"/>
    <cellStyle name="Normal 4 5 4 3 6 2" xfId="17229" xr:uid="{5E70632C-EB47-4476-A700-D98FEDA9D9EF}"/>
    <cellStyle name="Normal 4 5 4 3 7" xfId="8122" xr:uid="{50BBF956-793B-4772-996E-DFC60AFCE70E}"/>
    <cellStyle name="Normal 4 5 4 3 7 2" xfId="17230" xr:uid="{B151167B-1E54-4BC1-99DD-C0A553FDA903}"/>
    <cellStyle name="Normal 4 5 4 3 8" xfId="17210" xr:uid="{5B8BD35F-416D-488B-8B2D-B8989CD4707F}"/>
    <cellStyle name="Normal 4 5 4 4" xfId="8123" xr:uid="{831CFC14-4158-436F-901E-FD650C50435D}"/>
    <cellStyle name="Normal 4 5 4 4 2" xfId="8124" xr:uid="{991E0575-CF0A-42EA-8E2F-16499FC23537}"/>
    <cellStyle name="Normal 4 5 4 4 2 2" xfId="8125" xr:uid="{EA0669F6-49AD-48C6-87BD-8ECE18F83E9F}"/>
    <cellStyle name="Normal 4 5 4 4 2 2 2" xfId="17233" xr:uid="{33752529-B92B-4B99-9E2F-EB39FFD54F2D}"/>
    <cellStyle name="Normal 4 5 4 4 2 3" xfId="8126" xr:uid="{8B831439-592F-455C-BE29-69075C35FF35}"/>
    <cellStyle name="Normal 4 5 4 4 2 3 2" xfId="17234" xr:uid="{47061FCD-2083-4235-B12C-C32096CFBA82}"/>
    <cellStyle name="Normal 4 5 4 4 2 4" xfId="17232" xr:uid="{DFA6D72B-9360-4B01-9DC8-8DA5C2AF452C}"/>
    <cellStyle name="Normal 4 5 4 4 3" xfId="8127" xr:uid="{9DF2C36F-1818-403E-8E88-60BBC6DB2B51}"/>
    <cellStyle name="Normal 4 5 4 4 3 2" xfId="17235" xr:uid="{0F010216-9C97-45D9-9EBC-8991CFC25637}"/>
    <cellStyle name="Normal 4 5 4 4 4" xfId="8128" xr:uid="{91548024-F8B6-47E3-85F0-36D4FC8C7BFB}"/>
    <cellStyle name="Normal 4 5 4 4 4 2" xfId="17236" xr:uid="{452E89FA-9DA7-4F25-B316-6114782B7B51}"/>
    <cellStyle name="Normal 4 5 4 4 5" xfId="8129" xr:uid="{E4A9C6F3-CF9C-4B44-8288-6938E6033A50}"/>
    <cellStyle name="Normal 4 5 4 4 5 2" xfId="17237" xr:uid="{D9A38C9E-2498-465F-8211-A2644A283038}"/>
    <cellStyle name="Normal 4 5 4 4 6" xfId="17231" xr:uid="{9F5A9811-88F7-4D9D-A7B5-4945F5F2F808}"/>
    <cellStyle name="Normal 4 5 4 5" xfId="8130" xr:uid="{FD3126D0-0A05-4610-B8CE-9D7696AF40D8}"/>
    <cellStyle name="Normal 4 5 4 5 2" xfId="8131" xr:uid="{22C86233-4E0C-40E2-B40E-20D1C510838D}"/>
    <cellStyle name="Normal 4 5 4 5 2 2" xfId="8132" xr:uid="{50D3FEA6-CE1A-4BEA-B6DB-1AC4B86FF6F1}"/>
    <cellStyle name="Normal 4 5 4 5 2 2 2" xfId="17240" xr:uid="{AD16C25A-3483-4C0D-938B-8CA3BE57E3D5}"/>
    <cellStyle name="Normal 4 5 4 5 2 3" xfId="8133" xr:uid="{DAE4FA10-63C9-4759-B1E2-AB6516A08A10}"/>
    <cellStyle name="Normal 4 5 4 5 2 3 2" xfId="17241" xr:uid="{9D1B0680-73CA-4EBF-BFB3-09D7968B2356}"/>
    <cellStyle name="Normal 4 5 4 5 2 4" xfId="17239" xr:uid="{50E7559A-0CEA-4C5B-8E94-704B5878667B}"/>
    <cellStyle name="Normal 4 5 4 5 3" xfId="8134" xr:uid="{7A9283FC-1644-4E39-B4D0-98725083D500}"/>
    <cellStyle name="Normal 4 5 4 5 3 2" xfId="17242" xr:uid="{6BBFC3FD-B77B-43A7-BEC2-C3EADD764433}"/>
    <cellStyle name="Normal 4 5 4 5 4" xfId="8135" xr:uid="{4148E5AD-98EC-487D-B752-FF33BE6E5BE4}"/>
    <cellStyle name="Normal 4 5 4 5 4 2" xfId="17243" xr:uid="{F1B8ABCC-C541-449B-89C6-D62E03BC0D8C}"/>
    <cellStyle name="Normal 4 5 4 5 5" xfId="8136" xr:uid="{81887B93-4899-4F1D-A2F2-470C83D31DF4}"/>
    <cellStyle name="Normal 4 5 4 5 5 2" xfId="17244" xr:uid="{3AAC2892-DAA1-4774-86B1-6AD1A340D8A3}"/>
    <cellStyle name="Normal 4 5 4 5 6" xfId="17238" xr:uid="{5A1B2797-E90C-4501-A1C8-6680E3F66B60}"/>
    <cellStyle name="Normal 4 5 4 6" xfId="8137" xr:uid="{6DC390EA-80FB-49F5-B10A-AA1B38B80E66}"/>
    <cellStyle name="Normal 4 5 4 6 2" xfId="8138" xr:uid="{11E1F86F-7AF2-4C1C-A2BE-FF65D6FA2E57}"/>
    <cellStyle name="Normal 4 5 4 6 2 2" xfId="17246" xr:uid="{A4D35771-9ADA-45BB-AF95-D1E4B814773A}"/>
    <cellStyle name="Normal 4 5 4 6 3" xfId="8139" xr:uid="{4BEDD91E-07AB-47E3-AF2E-59FE137F2FB1}"/>
    <cellStyle name="Normal 4 5 4 6 3 2" xfId="17247" xr:uid="{47CC6EFE-71B4-4588-8910-ACC92D3B0AAC}"/>
    <cellStyle name="Normal 4 5 4 6 4" xfId="17245" xr:uid="{FE1151C1-8DD9-4971-B2BB-000E7DCF71A6}"/>
    <cellStyle name="Normal 4 5 4 7" xfId="8140" xr:uid="{6AE29558-CBDC-414F-A506-171BE86D6ACC}"/>
    <cellStyle name="Normal 4 5 4 7 2" xfId="17248" xr:uid="{E880A72B-4A1B-40E8-AF23-837EFBCA52C4}"/>
    <cellStyle name="Normal 4 5 4 8" xfId="8141" xr:uid="{C533D979-B6FF-433D-B16E-B48BFDAAA20B}"/>
    <cellStyle name="Normal 4 5 4 8 2" xfId="17249" xr:uid="{196995E9-74D1-4A54-8760-BCDFE0685702}"/>
    <cellStyle name="Normal 4 5 4 9" xfId="8142" xr:uid="{4FB917D9-E479-4BDC-BC35-9853AA4DDB67}"/>
    <cellStyle name="Normal 4 5 4 9 2" xfId="17250" xr:uid="{92B68368-8EC4-4C5C-A333-50DF136674CF}"/>
    <cellStyle name="Normal 4 5 5" xfId="8143" xr:uid="{CAA36BD9-F991-4FA2-9E9B-99900F4531D1}"/>
    <cellStyle name="Normal 4 5 5 10" xfId="17251" xr:uid="{68F25A01-7634-4DF6-9853-49507FA947F7}"/>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2 2" xfId="17256" xr:uid="{632436B9-2116-487A-8A33-F5DF7E32000B}"/>
    <cellStyle name="Normal 4 5 5 2 2 2 2 3" xfId="8149" xr:uid="{38C03A96-702D-4E9D-87E9-3CAFFBB444BD}"/>
    <cellStyle name="Normal 4 5 5 2 2 2 2 3 2" xfId="17257" xr:uid="{B18F9177-B673-4D06-87C0-32C02704CC55}"/>
    <cellStyle name="Normal 4 5 5 2 2 2 2 4" xfId="17255" xr:uid="{5E44FAB2-A6AB-4683-BF92-315D486A6884}"/>
    <cellStyle name="Normal 4 5 5 2 2 2 3" xfId="8150" xr:uid="{1986081F-6023-413B-8F9C-A025539B191C}"/>
    <cellStyle name="Normal 4 5 5 2 2 2 3 2" xfId="17258" xr:uid="{4C853D8C-E928-4A69-87BF-07BD1B8AC5A2}"/>
    <cellStyle name="Normal 4 5 5 2 2 2 4" xfId="8151" xr:uid="{FB4C49E5-FB47-45B1-AB20-8A06E4D8E703}"/>
    <cellStyle name="Normal 4 5 5 2 2 2 4 2" xfId="17259" xr:uid="{F882331D-3596-4390-AD3F-32F14E1DCDB9}"/>
    <cellStyle name="Normal 4 5 5 2 2 2 5" xfId="8152" xr:uid="{768F575F-D12A-41ED-B305-A034C2CCE0B8}"/>
    <cellStyle name="Normal 4 5 5 2 2 2 5 2" xfId="17260" xr:uid="{D54EC449-020F-4957-82E5-222FC9804781}"/>
    <cellStyle name="Normal 4 5 5 2 2 2 6" xfId="17254" xr:uid="{C02FC773-186E-49F7-B0AC-7A86AC44E3EC}"/>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2 2" xfId="17263" xr:uid="{D8AE6D5F-EEA4-4D60-AF6E-80C6CAE79609}"/>
    <cellStyle name="Normal 4 5 5 2 2 3 2 3" xfId="8156" xr:uid="{CAE0CDCA-7D23-4A1D-9E28-2DBD1D2F51E8}"/>
    <cellStyle name="Normal 4 5 5 2 2 3 2 3 2" xfId="17264" xr:uid="{AA570913-7581-4C75-A21F-09C1C7F30CA8}"/>
    <cellStyle name="Normal 4 5 5 2 2 3 2 4" xfId="17262" xr:uid="{0648B396-D38D-4F2F-9323-89039960D1F2}"/>
    <cellStyle name="Normal 4 5 5 2 2 3 3" xfId="8157" xr:uid="{0ABB4653-5222-4B50-85FD-4147E33B24A9}"/>
    <cellStyle name="Normal 4 5 5 2 2 3 3 2" xfId="17265" xr:uid="{142511D9-E10F-441D-9096-DAFAACEEA7FA}"/>
    <cellStyle name="Normal 4 5 5 2 2 3 4" xfId="8158" xr:uid="{6FC53B60-6D66-4A28-A428-C35F9EE0B4BB}"/>
    <cellStyle name="Normal 4 5 5 2 2 3 4 2" xfId="17266" xr:uid="{6D18924D-4246-4A8D-965C-B54E0E3AC688}"/>
    <cellStyle name="Normal 4 5 5 2 2 3 5" xfId="8159" xr:uid="{C705DFEF-C3A3-4D57-B6F5-4156CB47E399}"/>
    <cellStyle name="Normal 4 5 5 2 2 3 5 2" xfId="17267" xr:uid="{9AEB076B-945E-46D0-BE17-31CAD795F696}"/>
    <cellStyle name="Normal 4 5 5 2 2 3 6" xfId="17261" xr:uid="{014E0CE2-AD1B-46F7-976A-6CE78CE7DA74}"/>
    <cellStyle name="Normal 4 5 5 2 2 4" xfId="8160" xr:uid="{6705FF53-5EBB-4643-BE53-3F3C06666970}"/>
    <cellStyle name="Normal 4 5 5 2 2 4 2" xfId="8161" xr:uid="{3A938835-0D65-4A54-B27D-322370672DC9}"/>
    <cellStyle name="Normal 4 5 5 2 2 4 2 2" xfId="17269" xr:uid="{32717632-B6D6-475A-B204-8BC1E6112E40}"/>
    <cellStyle name="Normal 4 5 5 2 2 4 3" xfId="8162" xr:uid="{1982B26E-58D1-4851-8C0F-A6ACC007687A}"/>
    <cellStyle name="Normal 4 5 5 2 2 4 3 2" xfId="17270" xr:uid="{8EBD0A85-C2BE-49B1-A475-5BED04EA68AE}"/>
    <cellStyle name="Normal 4 5 5 2 2 4 4" xfId="17268" xr:uid="{72C41A1F-3F4A-4C6B-8398-F4771A42910E}"/>
    <cellStyle name="Normal 4 5 5 2 2 5" xfId="8163" xr:uid="{5DC4F107-7D25-4573-83F6-879FC6DC9165}"/>
    <cellStyle name="Normal 4 5 5 2 2 5 2" xfId="17271" xr:uid="{726237B0-5826-4C51-8382-D66352AFCAEE}"/>
    <cellStyle name="Normal 4 5 5 2 2 6" xfId="8164" xr:uid="{90ECCE6C-80E9-4386-9CF9-7B5845B462BA}"/>
    <cellStyle name="Normal 4 5 5 2 2 6 2" xfId="17272" xr:uid="{A4B62597-67C3-42AC-958F-46AD230C7BE5}"/>
    <cellStyle name="Normal 4 5 5 2 2 7" xfId="8165" xr:uid="{68328712-D579-4D90-8BA4-C3FDBD2C7D0B}"/>
    <cellStyle name="Normal 4 5 5 2 2 7 2" xfId="17273" xr:uid="{377096AB-0985-4A79-92E9-9FF2FA270F36}"/>
    <cellStyle name="Normal 4 5 5 2 2 8" xfId="17253" xr:uid="{DB9E022E-CDC0-4754-8788-BEE19B99E5F6}"/>
    <cellStyle name="Normal 4 5 5 2 3" xfId="8166" xr:uid="{57009ECA-7FA2-45DB-8A8F-0D138FD3E445}"/>
    <cellStyle name="Normal 4 5 5 2 3 2" xfId="8167" xr:uid="{06B0CC0E-94FE-410C-9813-CF7CD31D0305}"/>
    <cellStyle name="Normal 4 5 5 2 3 2 2" xfId="8168" xr:uid="{C92FA5E9-F9C9-4C4C-B3C3-54479CFB5BCD}"/>
    <cellStyle name="Normal 4 5 5 2 3 2 2 2" xfId="17276" xr:uid="{DB44CC9E-59AF-4CAF-B1AF-C15740056F39}"/>
    <cellStyle name="Normal 4 5 5 2 3 2 3" xfId="8169" xr:uid="{D5C7D4BD-0901-49C2-8608-BC026374AF7C}"/>
    <cellStyle name="Normal 4 5 5 2 3 2 3 2" xfId="17277" xr:uid="{3914C706-7816-424E-9489-06F1313645C5}"/>
    <cellStyle name="Normal 4 5 5 2 3 2 4" xfId="17275" xr:uid="{9583C771-8BC4-4E79-9727-10C061935E4E}"/>
    <cellStyle name="Normal 4 5 5 2 3 3" xfId="8170" xr:uid="{4233D83F-F283-4D5C-AA0B-D89A8C36CFB1}"/>
    <cellStyle name="Normal 4 5 5 2 3 3 2" xfId="17278" xr:uid="{9628E266-75A4-4705-A78B-16A415174AAA}"/>
    <cellStyle name="Normal 4 5 5 2 3 4" xfId="8171" xr:uid="{FA20E5F4-961F-4B65-9846-A61BE28A419A}"/>
    <cellStyle name="Normal 4 5 5 2 3 4 2" xfId="17279" xr:uid="{C2F3C4B2-6E74-4833-A190-61FC8B49C0CF}"/>
    <cellStyle name="Normal 4 5 5 2 3 5" xfId="8172" xr:uid="{40337219-B51E-45A0-959A-52743A0A8C2E}"/>
    <cellStyle name="Normal 4 5 5 2 3 5 2" xfId="17280" xr:uid="{962B96E4-87CB-4EE1-B937-806EA683C56B}"/>
    <cellStyle name="Normal 4 5 5 2 3 6" xfId="17274" xr:uid="{9B377BED-C8FF-49CF-8D85-95618EE168AB}"/>
    <cellStyle name="Normal 4 5 5 2 4" xfId="8173" xr:uid="{4DB50166-D5C5-4355-B772-02905CCAA89C}"/>
    <cellStyle name="Normal 4 5 5 2 4 2" xfId="8174" xr:uid="{B6C5C582-EE71-4A54-9D74-26FAE88C7AC8}"/>
    <cellStyle name="Normal 4 5 5 2 4 2 2" xfId="8175" xr:uid="{BAF678B9-4DA3-454B-9EBB-AB95350A2445}"/>
    <cellStyle name="Normal 4 5 5 2 4 2 2 2" xfId="17283" xr:uid="{D8F43BC3-3295-484F-A369-CC2A0C61537A}"/>
    <cellStyle name="Normal 4 5 5 2 4 2 3" xfId="8176" xr:uid="{D7294198-4C12-49C5-9C0E-6B8A7DD0657B}"/>
    <cellStyle name="Normal 4 5 5 2 4 2 3 2" xfId="17284" xr:uid="{7638C359-D0E6-4BEE-9269-7A83579664B0}"/>
    <cellStyle name="Normal 4 5 5 2 4 2 4" xfId="17282" xr:uid="{09FD9CAF-1B63-4C8D-A68C-DA3ECB77ED6E}"/>
    <cellStyle name="Normal 4 5 5 2 4 3" xfId="8177" xr:uid="{7C4FDD9C-B75B-4ED9-956D-8DAF2661DFCC}"/>
    <cellStyle name="Normal 4 5 5 2 4 3 2" xfId="17285" xr:uid="{6A474CB4-FF13-4908-B351-205D2E3F03A1}"/>
    <cellStyle name="Normal 4 5 5 2 4 4" xfId="8178" xr:uid="{DA86FD41-705E-4B81-9043-2B354D721DA1}"/>
    <cellStyle name="Normal 4 5 5 2 4 4 2" xfId="17286" xr:uid="{5A1B3439-FC28-473A-8B60-582D90902A47}"/>
    <cellStyle name="Normal 4 5 5 2 4 5" xfId="8179" xr:uid="{B7D3068F-D97C-488E-B65D-1FD09A29C530}"/>
    <cellStyle name="Normal 4 5 5 2 4 5 2" xfId="17287" xr:uid="{2ED70D38-F601-44AA-BC89-18A4F6E2F484}"/>
    <cellStyle name="Normal 4 5 5 2 4 6" xfId="17281" xr:uid="{04B61E97-5568-4846-A563-3C52A5E47CD6}"/>
    <cellStyle name="Normal 4 5 5 2 5" xfId="8180" xr:uid="{51BFFC67-CF1D-47FB-8365-0A0CF6EF80D4}"/>
    <cellStyle name="Normal 4 5 5 2 5 2" xfId="8181" xr:uid="{013CCCD4-F23F-4A4C-8D59-3ADDEEDBFB07}"/>
    <cellStyle name="Normal 4 5 5 2 5 2 2" xfId="17289" xr:uid="{587E2647-C2F2-4872-8A3C-2642B9586C4B}"/>
    <cellStyle name="Normal 4 5 5 2 5 3" xfId="8182" xr:uid="{A984092D-B783-4D67-AA46-A958A77B864C}"/>
    <cellStyle name="Normal 4 5 5 2 5 3 2" xfId="17290" xr:uid="{77EFF71D-D243-401D-91B9-9808B4755A83}"/>
    <cellStyle name="Normal 4 5 5 2 5 4" xfId="17288" xr:uid="{E264B4DE-10FB-4461-B934-884DE0CECFD3}"/>
    <cellStyle name="Normal 4 5 5 2 6" xfId="8183" xr:uid="{D5A8ED89-F942-47DE-B5DF-C211A9BCC659}"/>
    <cellStyle name="Normal 4 5 5 2 6 2" xfId="17291" xr:uid="{0C7DD67E-DD39-4AB4-BCD8-1526B2498EC5}"/>
    <cellStyle name="Normal 4 5 5 2 7" xfId="8184" xr:uid="{B03CDF17-4E23-46C4-B1D3-E799D9C931F0}"/>
    <cellStyle name="Normal 4 5 5 2 7 2" xfId="17292" xr:uid="{7417ED92-6219-46F0-82B9-D05EE47056AF}"/>
    <cellStyle name="Normal 4 5 5 2 8" xfId="8185" xr:uid="{3746F32F-2A36-4F12-8242-28FF834775A0}"/>
    <cellStyle name="Normal 4 5 5 2 8 2" xfId="17293" xr:uid="{14E3D4EE-0E56-4016-84D7-824B56293A4C}"/>
    <cellStyle name="Normal 4 5 5 2 9" xfId="17252" xr:uid="{A7BA4A17-3291-4422-9A81-FEC285B6AF2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2 2" xfId="17297" xr:uid="{3BD780E7-615E-48E8-AB3A-6E3A8CD33D56}"/>
    <cellStyle name="Normal 4 5 5 3 2 2 3" xfId="8190" xr:uid="{0AEED86B-3A79-49DC-837F-3040FEAA61D9}"/>
    <cellStyle name="Normal 4 5 5 3 2 2 3 2" xfId="17298" xr:uid="{3AE3CBB5-1D49-4DD8-9C90-01A8C304385C}"/>
    <cellStyle name="Normal 4 5 5 3 2 2 4" xfId="17296" xr:uid="{0888E9E8-D63F-40A3-AF71-D5530E1814F8}"/>
    <cellStyle name="Normal 4 5 5 3 2 3" xfId="8191" xr:uid="{51F50F65-5A4F-4A1A-A22D-DC868863B60A}"/>
    <cellStyle name="Normal 4 5 5 3 2 3 2" xfId="17299" xr:uid="{5F195319-0295-4067-9551-B6E680288BA5}"/>
    <cellStyle name="Normal 4 5 5 3 2 4" xfId="8192" xr:uid="{F5689898-1C35-4B1E-82F6-6784F7877161}"/>
    <cellStyle name="Normal 4 5 5 3 2 4 2" xfId="17300" xr:uid="{AFB4D61F-0D11-4F8D-835C-FC9FA8DFFF6F}"/>
    <cellStyle name="Normal 4 5 5 3 2 5" xfId="8193" xr:uid="{833882EB-A550-49F6-B842-CD1E464CC229}"/>
    <cellStyle name="Normal 4 5 5 3 2 5 2" xfId="17301" xr:uid="{A8D1B18B-5EF2-4439-91B0-E58799BB942B}"/>
    <cellStyle name="Normal 4 5 5 3 2 6" xfId="17295" xr:uid="{12151502-DF8B-4CC9-8DA8-A086F538BEB7}"/>
    <cellStyle name="Normal 4 5 5 3 3" xfId="8194" xr:uid="{46774B86-43E9-4F8F-BB09-D0156E52000A}"/>
    <cellStyle name="Normal 4 5 5 3 3 2" xfId="8195" xr:uid="{7AFC4D58-BCB7-4B3B-A6D3-ECBA81CEE794}"/>
    <cellStyle name="Normal 4 5 5 3 3 2 2" xfId="8196" xr:uid="{D5F2FE2A-8F50-4969-BACC-4A27E2A19C0C}"/>
    <cellStyle name="Normal 4 5 5 3 3 2 2 2" xfId="17304" xr:uid="{D1AF83DA-4424-4F8A-97E1-01FBB31DA7E7}"/>
    <cellStyle name="Normal 4 5 5 3 3 2 3" xfId="8197" xr:uid="{E6489D49-E43A-4C1E-9FEF-6DDD7FA1A17F}"/>
    <cellStyle name="Normal 4 5 5 3 3 2 3 2" xfId="17305" xr:uid="{6877DCB5-9BFF-4B17-8ED1-52CD5601447A}"/>
    <cellStyle name="Normal 4 5 5 3 3 2 4" xfId="17303" xr:uid="{3096853D-DD47-474A-9287-3090D9A9AF5A}"/>
    <cellStyle name="Normal 4 5 5 3 3 3" xfId="8198" xr:uid="{8CC1551D-B450-423C-8345-56FB52A46EED}"/>
    <cellStyle name="Normal 4 5 5 3 3 3 2" xfId="17306" xr:uid="{12230807-C9E8-4F6C-B936-90F286C8DB59}"/>
    <cellStyle name="Normal 4 5 5 3 3 4" xfId="8199" xr:uid="{259B2A92-457E-440F-A1CD-E58E0ABA1122}"/>
    <cellStyle name="Normal 4 5 5 3 3 4 2" xfId="17307" xr:uid="{D46D8241-CC78-43F9-97BC-81AAEFD7CF54}"/>
    <cellStyle name="Normal 4 5 5 3 3 5" xfId="8200" xr:uid="{246F4860-9E9C-4764-937D-675DB10605E6}"/>
    <cellStyle name="Normal 4 5 5 3 3 5 2" xfId="17308" xr:uid="{E0A4C922-67DC-40AB-9278-2987CCD013A1}"/>
    <cellStyle name="Normal 4 5 5 3 3 6" xfId="17302" xr:uid="{3585BC2D-F412-4D7A-BA0C-6CF2AD60531A}"/>
    <cellStyle name="Normal 4 5 5 3 4" xfId="8201" xr:uid="{35B8E573-F4D1-4B11-9220-8EC51FEAF73B}"/>
    <cellStyle name="Normal 4 5 5 3 4 2" xfId="8202" xr:uid="{F73B3B49-793D-4BD6-89A7-119AE0C2C000}"/>
    <cellStyle name="Normal 4 5 5 3 4 2 2" xfId="17310" xr:uid="{03727991-F1CF-4398-90BB-E40FBD4D9C0F}"/>
    <cellStyle name="Normal 4 5 5 3 4 3" xfId="8203" xr:uid="{8185A9AF-DE7B-4BBB-BDAB-C31C5F098520}"/>
    <cellStyle name="Normal 4 5 5 3 4 3 2" xfId="17311" xr:uid="{AE913865-6712-4397-B93B-4AC80E07B0EC}"/>
    <cellStyle name="Normal 4 5 5 3 4 4" xfId="17309" xr:uid="{50BFCBD4-8432-466B-840C-930A82686C6B}"/>
    <cellStyle name="Normal 4 5 5 3 5" xfId="8204" xr:uid="{B49ABB0B-40D6-4A2E-B16C-3E4CDEDDEB4D}"/>
    <cellStyle name="Normal 4 5 5 3 5 2" xfId="17312" xr:uid="{623D9462-0032-424E-872F-9063167E39D8}"/>
    <cellStyle name="Normal 4 5 5 3 6" xfId="8205" xr:uid="{3345FF9A-9B85-42A7-82DB-52F930AA8DCE}"/>
    <cellStyle name="Normal 4 5 5 3 6 2" xfId="17313" xr:uid="{07D0BF28-28A2-43B1-B139-535FDAEA8B81}"/>
    <cellStyle name="Normal 4 5 5 3 7" xfId="8206" xr:uid="{5E7F54D8-F602-4877-BD9F-F18F986083B6}"/>
    <cellStyle name="Normal 4 5 5 3 7 2" xfId="17314" xr:uid="{5D15DAF5-FC31-4225-9091-897C3B8EDB17}"/>
    <cellStyle name="Normal 4 5 5 3 8" xfId="17294" xr:uid="{57B51F66-BF0C-4FF3-960F-D34A4C1F9229}"/>
    <cellStyle name="Normal 4 5 5 4" xfId="8207" xr:uid="{02AB4E3D-1F40-422A-B5D7-B67F31352C1B}"/>
    <cellStyle name="Normal 4 5 5 4 2" xfId="8208" xr:uid="{FBED755E-E52D-49BA-B069-21F91FBF9A6F}"/>
    <cellStyle name="Normal 4 5 5 4 2 2" xfId="8209" xr:uid="{6594AF04-278E-4919-BEE9-4A677F878F43}"/>
    <cellStyle name="Normal 4 5 5 4 2 2 2" xfId="17317" xr:uid="{02F61814-7E49-42D7-ADC5-4290A3E5A3AE}"/>
    <cellStyle name="Normal 4 5 5 4 2 3" xfId="8210" xr:uid="{C52FD4AF-368A-461D-BF96-610DBF1E26F7}"/>
    <cellStyle name="Normal 4 5 5 4 2 3 2" xfId="17318" xr:uid="{1D187B56-5338-4734-A039-0BBC27C70097}"/>
    <cellStyle name="Normal 4 5 5 4 2 4" xfId="17316" xr:uid="{D80FD612-B7A3-4305-850D-7AD3468F206B}"/>
    <cellStyle name="Normal 4 5 5 4 3" xfId="8211" xr:uid="{DF8204B2-4C35-4703-9336-D0375A0B343F}"/>
    <cellStyle name="Normal 4 5 5 4 3 2" xfId="17319" xr:uid="{9853EDEC-B451-4102-B93E-F0170C11AC0A}"/>
    <cellStyle name="Normal 4 5 5 4 4" xfId="8212" xr:uid="{C9596BAA-7912-4856-B7D6-8831A809F297}"/>
    <cellStyle name="Normal 4 5 5 4 4 2" xfId="17320" xr:uid="{52E363F3-5BE2-43E0-B97C-6808F8E8A27A}"/>
    <cellStyle name="Normal 4 5 5 4 5" xfId="8213" xr:uid="{D12FD39C-3855-4412-8F00-66B7081E4024}"/>
    <cellStyle name="Normal 4 5 5 4 5 2" xfId="17321" xr:uid="{EC50C5EB-4FD4-4561-9584-08BB39A8FCC9}"/>
    <cellStyle name="Normal 4 5 5 4 6" xfId="17315" xr:uid="{5F45FFD5-F3DD-4D63-8A77-4593F3300F2E}"/>
    <cellStyle name="Normal 4 5 5 5" xfId="8214" xr:uid="{5C5C3277-CE5B-4EE7-BA86-DA49BDCDB97D}"/>
    <cellStyle name="Normal 4 5 5 5 2" xfId="8215" xr:uid="{9AFF4A33-6CC9-4774-9F7D-5261BFE9BD03}"/>
    <cellStyle name="Normal 4 5 5 5 2 2" xfId="8216" xr:uid="{91FBEBEE-FB68-4FF2-B88F-5D74A85BF7D5}"/>
    <cellStyle name="Normal 4 5 5 5 2 2 2" xfId="17324" xr:uid="{658AF8E4-491F-4E85-85DF-FF2FED8DDA17}"/>
    <cellStyle name="Normal 4 5 5 5 2 3" xfId="8217" xr:uid="{35A29EF7-FDBC-45D6-945E-163A3B6A8475}"/>
    <cellStyle name="Normal 4 5 5 5 2 3 2" xfId="17325" xr:uid="{C089FB38-BFFC-48A9-970D-BEEE72ECB822}"/>
    <cellStyle name="Normal 4 5 5 5 2 4" xfId="17323" xr:uid="{70849440-8830-4E52-87F2-CE0086BC9095}"/>
    <cellStyle name="Normal 4 5 5 5 3" xfId="8218" xr:uid="{31AFD935-7A6C-4EB5-8094-691F3D965B1D}"/>
    <cellStyle name="Normal 4 5 5 5 3 2" xfId="17326" xr:uid="{EC5BD1E2-E715-472A-936E-1CE39FD7819E}"/>
    <cellStyle name="Normal 4 5 5 5 4" xfId="8219" xr:uid="{EBBD2051-3FE9-48AB-B77E-B7348B9582B1}"/>
    <cellStyle name="Normal 4 5 5 5 4 2" xfId="17327" xr:uid="{42CC6726-C90A-498E-990F-59D6648B090C}"/>
    <cellStyle name="Normal 4 5 5 5 5" xfId="8220" xr:uid="{18CF1C9E-2A9D-4A91-90A8-73A6ED32BA6B}"/>
    <cellStyle name="Normal 4 5 5 5 5 2" xfId="17328" xr:uid="{3AE81578-37BF-4792-9D16-578371A51E4A}"/>
    <cellStyle name="Normal 4 5 5 5 6" xfId="17322" xr:uid="{976E9B48-1FDB-42FB-9973-DAAB607FE722}"/>
    <cellStyle name="Normal 4 5 5 6" xfId="8221" xr:uid="{18F626D3-86F6-409F-9945-18BF9E763163}"/>
    <cellStyle name="Normal 4 5 5 6 2" xfId="8222" xr:uid="{E1D6FF41-1C71-4D56-A196-4420FF165BE6}"/>
    <cellStyle name="Normal 4 5 5 6 2 2" xfId="17330" xr:uid="{8102B146-556E-45F6-9285-67CEF1266858}"/>
    <cellStyle name="Normal 4 5 5 6 3" xfId="8223" xr:uid="{78703A63-0149-4C9F-8D11-2D06EE4B59E8}"/>
    <cellStyle name="Normal 4 5 5 6 3 2" xfId="17331" xr:uid="{A756B9A5-CBF1-4BE3-97B7-2C069152A13F}"/>
    <cellStyle name="Normal 4 5 5 6 4" xfId="17329" xr:uid="{B837CEE4-A928-43B2-92AA-F43C780AD49B}"/>
    <cellStyle name="Normal 4 5 5 7" xfId="8224" xr:uid="{F0352205-A48A-4BAE-B126-82C7292FC15F}"/>
    <cellStyle name="Normal 4 5 5 7 2" xfId="17332" xr:uid="{7E08D309-D083-49AA-88B4-3D31913AA66F}"/>
    <cellStyle name="Normal 4 5 5 8" xfId="8225" xr:uid="{09D14416-EEB6-4CE0-BD52-8D2ED8E2DBCD}"/>
    <cellStyle name="Normal 4 5 5 8 2" xfId="17333" xr:uid="{D88DCFB5-1A5F-4769-A6F3-689F35473075}"/>
    <cellStyle name="Normal 4 5 5 9" xfId="8226" xr:uid="{79421A0E-A0C1-4B11-B82F-61BB92893DE3}"/>
    <cellStyle name="Normal 4 5 5 9 2" xfId="17334" xr:uid="{76D9A27F-5F7F-4087-9C7D-928FEA871DBE}"/>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2 2" xfId="17339" xr:uid="{9B837663-466E-48A2-AA40-1C9988549EE8}"/>
    <cellStyle name="Normal 4 5 6 2 2 2 3" xfId="8232" xr:uid="{EB6FAB16-BAE6-4075-A265-EA23AE13DA8D}"/>
    <cellStyle name="Normal 4 5 6 2 2 2 3 2" xfId="17340" xr:uid="{37EA3AB7-F493-41C8-9503-7DCA92BB4F4B}"/>
    <cellStyle name="Normal 4 5 6 2 2 2 4" xfId="17338" xr:uid="{553D50BC-A76C-4076-AA83-9631F7AE644C}"/>
    <cellStyle name="Normal 4 5 6 2 2 3" xfId="8233" xr:uid="{C8B90E7A-8503-445B-B803-CB17442B774B}"/>
    <cellStyle name="Normal 4 5 6 2 2 3 2" xfId="17341" xr:uid="{EA600E3F-3C21-467B-8CBB-AD1ED57E1689}"/>
    <cellStyle name="Normal 4 5 6 2 2 4" xfId="8234" xr:uid="{69AFB0A3-AD93-4004-ACE4-CEA0C8D73797}"/>
    <cellStyle name="Normal 4 5 6 2 2 4 2" xfId="17342" xr:uid="{E003D6CB-9881-4DFC-B853-53C52A58099E}"/>
    <cellStyle name="Normal 4 5 6 2 2 5" xfId="8235" xr:uid="{4F6E391F-8287-4681-B0F4-AF7F4537A529}"/>
    <cellStyle name="Normal 4 5 6 2 2 5 2" xfId="17343" xr:uid="{0466D146-6989-4F41-A7D3-C964046649DC}"/>
    <cellStyle name="Normal 4 5 6 2 2 6" xfId="17337" xr:uid="{149EB4E2-042F-43D1-96D3-D0FE6F1F38DD}"/>
    <cellStyle name="Normal 4 5 6 2 3" xfId="8236" xr:uid="{BDAB4B43-ABDC-4370-B47E-9CF4BC927026}"/>
    <cellStyle name="Normal 4 5 6 2 3 2" xfId="8237" xr:uid="{D4829923-3EFF-41DF-A027-973486D90E1D}"/>
    <cellStyle name="Normal 4 5 6 2 3 2 2" xfId="8238" xr:uid="{A6AD081F-6672-4A2F-8FE7-864C99A4D938}"/>
    <cellStyle name="Normal 4 5 6 2 3 2 2 2" xfId="17346" xr:uid="{FA01D695-384B-4A5D-9DAE-18D0490FDFD7}"/>
    <cellStyle name="Normal 4 5 6 2 3 2 3" xfId="8239" xr:uid="{A6B1AD41-082A-46F9-A4F5-E0883B5BF2A0}"/>
    <cellStyle name="Normal 4 5 6 2 3 2 3 2" xfId="17347" xr:uid="{81AF0D67-EE7A-4EC7-928B-657C33580BA9}"/>
    <cellStyle name="Normal 4 5 6 2 3 2 4" xfId="17345" xr:uid="{19D2A593-D5EC-4C86-B7DD-76E669C1A563}"/>
    <cellStyle name="Normal 4 5 6 2 3 3" xfId="8240" xr:uid="{B53A6135-2F39-4951-AEAA-B738FE8CC247}"/>
    <cellStyle name="Normal 4 5 6 2 3 3 2" xfId="17348" xr:uid="{7DFD4660-5493-47EE-BA47-AE22AF28BD2F}"/>
    <cellStyle name="Normal 4 5 6 2 3 4" xfId="8241" xr:uid="{774146CE-9BAF-4E91-84A8-0C64BED73924}"/>
    <cellStyle name="Normal 4 5 6 2 3 4 2" xfId="17349" xr:uid="{0BD81DC1-3590-4549-9B08-4BD85288C8E2}"/>
    <cellStyle name="Normal 4 5 6 2 3 5" xfId="8242" xr:uid="{D5FA554B-4FC3-4A02-AEBB-A6AE189B3CFA}"/>
    <cellStyle name="Normal 4 5 6 2 3 5 2" xfId="17350" xr:uid="{27B2176A-C984-403F-AD98-31E1C6580528}"/>
    <cellStyle name="Normal 4 5 6 2 3 6" xfId="17344" xr:uid="{CB799A61-B9B7-40F2-909D-E400CF22098C}"/>
    <cellStyle name="Normal 4 5 6 2 4" xfId="8243" xr:uid="{1C41AE90-9DE1-4D1E-8F2E-2B25F0202A4F}"/>
    <cellStyle name="Normal 4 5 6 2 4 2" xfId="8244" xr:uid="{17BEABC9-5B50-4D71-BD11-8A6DF007FB70}"/>
    <cellStyle name="Normal 4 5 6 2 4 2 2" xfId="17352" xr:uid="{6DF355A2-571B-4348-941E-A004D1B1B492}"/>
    <cellStyle name="Normal 4 5 6 2 4 3" xfId="8245" xr:uid="{26EC0AB4-4ECC-4A79-980F-7986889416A6}"/>
    <cellStyle name="Normal 4 5 6 2 4 3 2" xfId="17353" xr:uid="{358FC929-9D1C-42C4-876C-28C9B39FE62C}"/>
    <cellStyle name="Normal 4 5 6 2 4 4" xfId="17351" xr:uid="{8387D8C4-05E3-47EF-8620-0A6FA5566CA4}"/>
    <cellStyle name="Normal 4 5 6 2 5" xfId="8246" xr:uid="{18B20A0B-EDD6-4EF5-91BF-15371409365B}"/>
    <cellStyle name="Normal 4 5 6 2 5 2" xfId="17354" xr:uid="{5C42414E-96CC-4439-BEAF-D5D7B8DD0B90}"/>
    <cellStyle name="Normal 4 5 6 2 6" xfId="8247" xr:uid="{296D3948-2047-4895-9B0A-ACCD10DB1983}"/>
    <cellStyle name="Normal 4 5 6 2 6 2" xfId="17355" xr:uid="{3863E5C7-FC75-49F9-B8BA-80734701584D}"/>
    <cellStyle name="Normal 4 5 6 2 7" xfId="8248" xr:uid="{4C99A723-FE90-4954-88B4-98CDE412DE0D}"/>
    <cellStyle name="Normal 4 5 6 2 7 2" xfId="17356" xr:uid="{5551BA81-E154-48F7-8820-DDF8BBB42AA4}"/>
    <cellStyle name="Normal 4 5 6 2 8" xfId="17336" xr:uid="{85C82608-DC3C-427A-95D7-D4FA212A1716}"/>
    <cellStyle name="Normal 4 5 6 3" xfId="8249" xr:uid="{B132D66D-C4DB-467C-B702-7FD97F545924}"/>
    <cellStyle name="Normal 4 5 6 3 2" xfId="8250" xr:uid="{9FF3002A-323B-4361-89FC-C9ABA27DD88A}"/>
    <cellStyle name="Normal 4 5 6 3 2 2" xfId="8251" xr:uid="{E6BDE5FB-5B61-4ED5-97C0-F9A86FB86F64}"/>
    <cellStyle name="Normal 4 5 6 3 2 2 2" xfId="17359" xr:uid="{99825CEA-184B-487B-BB49-F75D99300D4F}"/>
    <cellStyle name="Normal 4 5 6 3 2 3" xfId="8252" xr:uid="{7C960928-3B13-4958-B3F5-BE57603D9E39}"/>
    <cellStyle name="Normal 4 5 6 3 2 3 2" xfId="17360" xr:uid="{6956323C-96CA-4C9E-AEDE-BD70737451C5}"/>
    <cellStyle name="Normal 4 5 6 3 2 4" xfId="17358" xr:uid="{13FF9ADD-68E6-4E80-AFE3-56CCB2912CCD}"/>
    <cellStyle name="Normal 4 5 6 3 3" xfId="8253" xr:uid="{50231502-1B10-44B9-BC12-6914C7EB3027}"/>
    <cellStyle name="Normal 4 5 6 3 3 2" xfId="17361" xr:uid="{27096489-2AC6-42B1-B3F9-4E4C0908118D}"/>
    <cellStyle name="Normal 4 5 6 3 4" xfId="8254" xr:uid="{34077FA5-CB87-4357-A39C-07B7A8E14C60}"/>
    <cellStyle name="Normal 4 5 6 3 4 2" xfId="17362" xr:uid="{ACD108EC-6F43-464D-A733-50AE364426ED}"/>
    <cellStyle name="Normal 4 5 6 3 5" xfId="8255" xr:uid="{ED764EF2-2E35-41CC-8512-E1AFCB482147}"/>
    <cellStyle name="Normal 4 5 6 3 5 2" xfId="17363" xr:uid="{3879D1D8-7A26-456E-9861-47076137E1A7}"/>
    <cellStyle name="Normal 4 5 6 3 6" xfId="17357" xr:uid="{3B502F89-BC1C-4B9B-AFE2-B61E5BBF6458}"/>
    <cellStyle name="Normal 4 5 6 4" xfId="8256" xr:uid="{51FCA681-9F3C-4FB1-AB71-FEB624CF267D}"/>
    <cellStyle name="Normal 4 5 6 4 2" xfId="8257" xr:uid="{921153A5-05A4-4279-A77F-2BEAF4DBD3A0}"/>
    <cellStyle name="Normal 4 5 6 4 2 2" xfId="8258" xr:uid="{9B225D83-24F9-4A16-9B54-1D93D5E2FD64}"/>
    <cellStyle name="Normal 4 5 6 4 2 2 2" xfId="17366" xr:uid="{2A1D456D-88D5-497C-8DB6-6A5D5946ABC1}"/>
    <cellStyle name="Normal 4 5 6 4 2 3" xfId="8259" xr:uid="{80C51D35-7609-47BB-AB42-FC988A842ED8}"/>
    <cellStyle name="Normal 4 5 6 4 2 3 2" xfId="17367" xr:uid="{907884CF-A484-40BD-A673-F1A88586522E}"/>
    <cellStyle name="Normal 4 5 6 4 2 4" xfId="17365" xr:uid="{10934806-3A6D-4FAA-B5E3-CA03C95EC3B9}"/>
    <cellStyle name="Normal 4 5 6 4 3" xfId="8260" xr:uid="{2C91F9BE-B9B1-42C8-8939-4A5C07DDE5E0}"/>
    <cellStyle name="Normal 4 5 6 4 3 2" xfId="17368" xr:uid="{479EBED8-4938-45E0-9BC5-6E768F6138A0}"/>
    <cellStyle name="Normal 4 5 6 4 4" xfId="8261" xr:uid="{43E163B8-A375-4B88-A2F5-EB191A8A0993}"/>
    <cellStyle name="Normal 4 5 6 4 4 2" xfId="17369" xr:uid="{38EDEA0F-7DB1-4436-A08F-612D6EAD3BAC}"/>
    <cellStyle name="Normal 4 5 6 4 5" xfId="8262" xr:uid="{3C3A7FA9-0355-427D-87AC-08FB6BE29CA7}"/>
    <cellStyle name="Normal 4 5 6 4 5 2" xfId="17370" xr:uid="{EC91244F-BA0C-4A40-82BC-0F7A720B524D}"/>
    <cellStyle name="Normal 4 5 6 4 6" xfId="17364" xr:uid="{079FF9D2-1F12-41A7-A77E-3FF5F3615105}"/>
    <cellStyle name="Normal 4 5 6 5" xfId="8263" xr:uid="{A56071A1-D875-4381-8566-2EF16672359F}"/>
    <cellStyle name="Normal 4 5 6 5 2" xfId="8264" xr:uid="{0F2767E7-EAE7-49A4-9232-90A86F442E15}"/>
    <cellStyle name="Normal 4 5 6 5 2 2" xfId="17372" xr:uid="{95E45C16-6D96-4408-A1EB-24694F860104}"/>
    <cellStyle name="Normal 4 5 6 5 3" xfId="8265" xr:uid="{373AD862-9BF1-47FB-8261-596DEBB2F3D6}"/>
    <cellStyle name="Normal 4 5 6 5 3 2" xfId="17373" xr:uid="{817F29FA-3DEF-4BF9-ABEF-8C3C1F9D3ACF}"/>
    <cellStyle name="Normal 4 5 6 5 4" xfId="17371" xr:uid="{BA592FD3-185E-48D8-B312-B5E34F5386ED}"/>
    <cellStyle name="Normal 4 5 6 6" xfId="8266" xr:uid="{46B24BAD-B280-4FA7-9483-D96C29457E39}"/>
    <cellStyle name="Normal 4 5 6 6 2" xfId="17374" xr:uid="{620590E4-8CAD-4DE0-8D41-3741321DE569}"/>
    <cellStyle name="Normal 4 5 6 7" xfId="8267" xr:uid="{4E31CCE4-5660-46D3-945C-B09B68975F0C}"/>
    <cellStyle name="Normal 4 5 6 7 2" xfId="17375" xr:uid="{859DDD51-4C43-437C-BC37-69538CEC0409}"/>
    <cellStyle name="Normal 4 5 6 8" xfId="8268" xr:uid="{1DD5FA98-CD7B-4704-A842-02A8D834A0F2}"/>
    <cellStyle name="Normal 4 5 6 8 2" xfId="17376" xr:uid="{31D414B4-7CD4-4620-AA3B-04E2DC9F9327}"/>
    <cellStyle name="Normal 4 5 6 9" xfId="17335" xr:uid="{4B9C2706-63C3-40E9-97EF-E90CD3C8B09E}"/>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2 2" xfId="17380" xr:uid="{08DA7DD8-A05B-4DA7-A9AD-81B0C46260D0}"/>
    <cellStyle name="Normal 4 5 7 2 2 3" xfId="8273" xr:uid="{3D5EE7CC-2D96-42C4-AD8B-FC8D146D6A73}"/>
    <cellStyle name="Normal 4 5 7 2 2 3 2" xfId="17381" xr:uid="{93FAEEA2-F47C-4F20-B267-5EA5B636650A}"/>
    <cellStyle name="Normal 4 5 7 2 2 4" xfId="17379" xr:uid="{5B1F21BD-56C6-4E8C-86CB-6DB4085009C4}"/>
    <cellStyle name="Normal 4 5 7 2 3" xfId="8274" xr:uid="{93B4DE99-47FF-41D1-88A0-48C3B05C449F}"/>
    <cellStyle name="Normal 4 5 7 2 3 2" xfId="17382" xr:uid="{DE030515-C054-4666-8D05-01A682E1E86F}"/>
    <cellStyle name="Normal 4 5 7 2 4" xfId="8275" xr:uid="{8BC85D49-FA70-4B9E-9810-C350FEEA1358}"/>
    <cellStyle name="Normal 4 5 7 2 4 2" xfId="17383" xr:uid="{4BAFEB95-3E0D-4271-B564-FE6AF6744BFF}"/>
    <cellStyle name="Normal 4 5 7 2 5" xfId="8276" xr:uid="{2BD6997A-210C-4D28-9997-B1A2CB7F40D3}"/>
    <cellStyle name="Normal 4 5 7 2 5 2" xfId="17384" xr:uid="{A6436A90-7246-4083-AEBB-FF35DAE94D70}"/>
    <cellStyle name="Normal 4 5 7 2 6" xfId="17378" xr:uid="{67F2D2C9-BFCE-47CA-AB47-C081028615B6}"/>
    <cellStyle name="Normal 4 5 7 3" xfId="8277" xr:uid="{60D2288C-27A7-4C84-9BC8-6A04EAE85E1A}"/>
    <cellStyle name="Normal 4 5 7 3 2" xfId="8278" xr:uid="{E544A3A0-8A9D-4C36-87A7-6BA24C98941B}"/>
    <cellStyle name="Normal 4 5 7 3 2 2" xfId="8279" xr:uid="{ACED87BF-FA94-4D01-8DA0-2BA913ED22FA}"/>
    <cellStyle name="Normal 4 5 7 3 2 2 2" xfId="17387" xr:uid="{F6D4C583-B2BD-4BEF-A77D-2249DBB216D0}"/>
    <cellStyle name="Normal 4 5 7 3 2 3" xfId="8280" xr:uid="{D6D8B0AD-A4AE-4CDB-BB58-D69D0A55A26F}"/>
    <cellStyle name="Normal 4 5 7 3 2 3 2" xfId="17388" xr:uid="{7FD54284-6D8F-40A3-809C-1CA014D1F013}"/>
    <cellStyle name="Normal 4 5 7 3 2 4" xfId="17386" xr:uid="{D6027AA7-E50B-42B3-BB0B-46A0F1E93B8A}"/>
    <cellStyle name="Normal 4 5 7 3 3" xfId="8281" xr:uid="{E9952FE5-4672-4254-A281-88F421DA0725}"/>
    <cellStyle name="Normal 4 5 7 3 3 2" xfId="17389" xr:uid="{39B70D9F-2119-4316-AA1C-598C2A2E081B}"/>
    <cellStyle name="Normal 4 5 7 3 4" xfId="8282" xr:uid="{CCA4B0E0-DEE9-480F-8B8D-EF9890F87241}"/>
    <cellStyle name="Normal 4 5 7 3 4 2" xfId="17390" xr:uid="{5EC0DA86-13F4-4614-B7AC-4823FEF59480}"/>
    <cellStyle name="Normal 4 5 7 3 5" xfId="8283" xr:uid="{AE61F85D-4830-49AF-9B72-884C936D5AC3}"/>
    <cellStyle name="Normal 4 5 7 3 5 2" xfId="17391" xr:uid="{19DF6018-40BE-4343-83AE-82AB263BD472}"/>
    <cellStyle name="Normal 4 5 7 3 6" xfId="17385" xr:uid="{0B6D77AD-9632-4166-852E-90951FE89132}"/>
    <cellStyle name="Normal 4 5 7 4" xfId="8284" xr:uid="{A4EE7F05-7378-4C47-88B5-3DFA326D0C32}"/>
    <cellStyle name="Normal 4 5 7 4 2" xfId="8285" xr:uid="{94B636A1-3D53-48F3-901E-5D11D81C1836}"/>
    <cellStyle name="Normal 4 5 7 4 2 2" xfId="17393" xr:uid="{BDD4CA12-4702-473F-9E93-659044CC0EA7}"/>
    <cellStyle name="Normal 4 5 7 4 3" xfId="8286" xr:uid="{F283407A-8CB7-4CA1-8C16-308729B28DC2}"/>
    <cellStyle name="Normal 4 5 7 4 3 2" xfId="17394" xr:uid="{090A0664-0CB9-4E2D-BEEB-1647CD03BE1B}"/>
    <cellStyle name="Normal 4 5 7 4 4" xfId="17392" xr:uid="{3E67B95C-1567-483A-ABFE-FE181F099917}"/>
    <cellStyle name="Normal 4 5 7 5" xfId="8287" xr:uid="{926A041F-F2CF-4A50-9802-1039D2B2C4D6}"/>
    <cellStyle name="Normal 4 5 7 5 2" xfId="17395" xr:uid="{456D309F-9700-43E8-9FC3-E33ED87438E1}"/>
    <cellStyle name="Normal 4 5 7 6" xfId="8288" xr:uid="{29AF3523-F915-4E00-9FC8-572C966DDC33}"/>
    <cellStyle name="Normal 4 5 7 6 2" xfId="17396" xr:uid="{204D8041-9E1E-48D5-B848-F8EB6E136F76}"/>
    <cellStyle name="Normal 4 5 7 7" xfId="8289" xr:uid="{750DAD4A-422B-45E8-8E8E-72738ECDF219}"/>
    <cellStyle name="Normal 4 5 7 7 2" xfId="17397" xr:uid="{289A0F69-E0F3-45DD-8845-E592ACD8C1E6}"/>
    <cellStyle name="Normal 4 5 7 8" xfId="17377" xr:uid="{31602FC7-B187-4BF9-B271-352CCAE3B5B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2 2" xfId="17401" xr:uid="{9418834A-AEE0-4D57-B802-1DA90FA8A210}"/>
    <cellStyle name="Normal 4 5 8 2 2 3" xfId="8294" xr:uid="{51875A59-E2D4-44AC-97FC-2EFB95D78BC8}"/>
    <cellStyle name="Normal 4 5 8 2 2 3 2" xfId="17402" xr:uid="{B2EF5C05-033B-4487-ABEF-7ADD29C2C594}"/>
    <cellStyle name="Normal 4 5 8 2 2 4" xfId="17400" xr:uid="{2E6441E2-7557-46D2-B11C-240A05B6977E}"/>
    <cellStyle name="Normal 4 5 8 2 3" xfId="8295" xr:uid="{EACC89BD-477B-443A-90EC-D2A882F13141}"/>
    <cellStyle name="Normal 4 5 8 2 3 2" xfId="17403" xr:uid="{6B10FE20-CDCF-474B-BF46-FC370F69D2B2}"/>
    <cellStyle name="Normal 4 5 8 2 4" xfId="8296" xr:uid="{D6E44EAD-8D76-4E99-B2C2-3F916149A6E0}"/>
    <cellStyle name="Normal 4 5 8 2 4 2" xfId="17404" xr:uid="{F9A67A54-A18A-4611-9CD9-3DA6A70AA69C}"/>
    <cellStyle name="Normal 4 5 8 2 5" xfId="8297" xr:uid="{802EEFA6-D88B-46FF-8090-A18A20D15312}"/>
    <cellStyle name="Normal 4 5 8 2 5 2" xfId="17405" xr:uid="{2DAF2791-5C9F-41CF-807E-8FB8A792E438}"/>
    <cellStyle name="Normal 4 5 8 2 6" xfId="17399" xr:uid="{E8E00227-C6CE-4B0E-8B7F-F80C8B4CDDD9}"/>
    <cellStyle name="Normal 4 5 8 3" xfId="8298" xr:uid="{013E5696-D5B0-433D-A753-C7716BFED040}"/>
    <cellStyle name="Normal 4 5 8 3 2" xfId="8299" xr:uid="{125BAE3D-8CC8-414B-9627-0025A4779EFA}"/>
    <cellStyle name="Normal 4 5 8 3 2 2" xfId="8300" xr:uid="{1238B890-D368-4476-8B17-2664F775CA9E}"/>
    <cellStyle name="Normal 4 5 8 3 2 2 2" xfId="17408" xr:uid="{2FE1C4D3-3DF5-4317-948A-29A64FA20B29}"/>
    <cellStyle name="Normal 4 5 8 3 2 3" xfId="8301" xr:uid="{82C3E7F9-88E3-434F-A015-BF24F45EF274}"/>
    <cellStyle name="Normal 4 5 8 3 2 3 2" xfId="17409" xr:uid="{31DFCA07-6201-4552-9319-18CB7C8035EB}"/>
    <cellStyle name="Normal 4 5 8 3 2 4" xfId="17407" xr:uid="{862DA65C-4934-4B7B-A97D-F9F83263C1E8}"/>
    <cellStyle name="Normal 4 5 8 3 3" xfId="8302" xr:uid="{BE8A1246-1926-4D9F-BBCD-94E22BEA7C7E}"/>
    <cellStyle name="Normal 4 5 8 3 3 2" xfId="17410" xr:uid="{4757ACD7-8670-46CD-875F-F0ABFA056888}"/>
    <cellStyle name="Normal 4 5 8 3 4" xfId="8303" xr:uid="{3662C59F-F9EE-4907-B18B-049A0F8E2335}"/>
    <cellStyle name="Normal 4 5 8 3 4 2" xfId="17411" xr:uid="{3B0D4381-616F-4BCE-BE69-C33607C2E797}"/>
    <cellStyle name="Normal 4 5 8 3 5" xfId="8304" xr:uid="{058CC125-A244-4B83-8489-BE049AA8371F}"/>
    <cellStyle name="Normal 4 5 8 3 5 2" xfId="17412" xr:uid="{3B2211D4-A8A0-4844-BAAC-9775E9940A05}"/>
    <cellStyle name="Normal 4 5 8 3 6" xfId="17406" xr:uid="{0F2A8AEF-FDBC-4A1C-B04B-CA0C65B1E17B}"/>
    <cellStyle name="Normal 4 5 8 4" xfId="8305" xr:uid="{46671DF0-A820-45ED-A255-AEF34764269F}"/>
    <cellStyle name="Normal 4 5 8 4 2" xfId="8306" xr:uid="{C3690F04-AD23-4599-99A1-ABB5BF3891DC}"/>
    <cellStyle name="Normal 4 5 8 4 2 2" xfId="17414" xr:uid="{1392274E-2E38-4FF7-88C3-2BB6E9BE68D5}"/>
    <cellStyle name="Normal 4 5 8 4 3" xfId="8307" xr:uid="{CF4DE24A-741D-43D0-8738-13953A42B336}"/>
    <cellStyle name="Normal 4 5 8 4 3 2" xfId="17415" xr:uid="{EAF64645-251C-453D-99FA-715086B89662}"/>
    <cellStyle name="Normal 4 5 8 4 4" xfId="17413" xr:uid="{AA69EC39-1001-4ED7-A2C7-4C286D05C62D}"/>
    <cellStyle name="Normal 4 5 8 5" xfId="8308" xr:uid="{A2996B4C-4423-4796-8A90-6489ECD37497}"/>
    <cellStyle name="Normal 4 5 8 5 2" xfId="17416" xr:uid="{351542EE-DFFF-4E04-BC40-371FEBA39265}"/>
    <cellStyle name="Normal 4 5 8 6" xfId="8309" xr:uid="{459BA323-BFBA-40C6-82B3-2E4872A98FA6}"/>
    <cellStyle name="Normal 4 5 8 6 2" xfId="17417" xr:uid="{818CD32D-5A84-40E2-96FA-551327861C44}"/>
    <cellStyle name="Normal 4 5 8 7" xfId="8310" xr:uid="{00E1D958-587D-4E54-AF56-4E0A778B44A1}"/>
    <cellStyle name="Normal 4 5 8 7 2" xfId="17418" xr:uid="{3430C8F4-AD0A-46A6-949A-552D788C34E1}"/>
    <cellStyle name="Normal 4 5 8 8" xfId="17398" xr:uid="{53ACA26B-0E4F-461E-AAF0-5DBF985683A1}"/>
    <cellStyle name="Normal 4 5 9" xfId="8311" xr:uid="{88BBAE84-4B95-4205-8812-82C78FC82820}"/>
    <cellStyle name="Normal 4 5 9 2" xfId="8312" xr:uid="{DD6E14CD-1294-45BE-B636-195DDB84FD56}"/>
    <cellStyle name="Normal 4 5 9 2 2" xfId="8313" xr:uid="{16C08FEB-A4D2-46AE-B396-2C17C0C887CD}"/>
    <cellStyle name="Normal 4 5 9 2 2 2" xfId="17421" xr:uid="{44B586BF-627A-48A0-8F5B-B6185552F0E9}"/>
    <cellStyle name="Normal 4 5 9 2 3" xfId="8314" xr:uid="{54973238-9EA9-448D-83E4-C50B317C068A}"/>
    <cellStyle name="Normal 4 5 9 2 3 2" xfId="17422" xr:uid="{B6166685-F0C6-4F44-95CF-5FCD154BE115}"/>
    <cellStyle name="Normal 4 5 9 2 4" xfId="17420" xr:uid="{B1A5CE16-AE07-42B5-9E6F-3CCF21047E68}"/>
    <cellStyle name="Normal 4 5 9 3" xfId="8315" xr:uid="{86F0BAD8-E154-49F1-A606-171B224157FC}"/>
    <cellStyle name="Normal 4 5 9 3 2" xfId="17423" xr:uid="{AFD17CA9-281C-477A-8F2D-C9A108A433E8}"/>
    <cellStyle name="Normal 4 5 9 4" xfId="8316" xr:uid="{29CC1899-770B-4D41-853F-F7584928C8D2}"/>
    <cellStyle name="Normal 4 5 9 4 2" xfId="17424" xr:uid="{87954A39-A8A0-4598-A034-0A3A45979C23}"/>
    <cellStyle name="Normal 4 5 9 5" xfId="8317" xr:uid="{123A1E75-73AD-4FB6-B2E0-8D89051CD833}"/>
    <cellStyle name="Normal 4 5 9 5 2" xfId="17425" xr:uid="{255DA4F9-68F0-4DF7-B959-1944B58C29D9}"/>
    <cellStyle name="Normal 4 5 9 6" xfId="17419" xr:uid="{4A9B6B91-8426-4F6D-A334-2A8220FD70FB}"/>
    <cellStyle name="Normal 4 6" xfId="8318" xr:uid="{D391DB61-512D-440B-8F54-F7716C4A2D1D}"/>
    <cellStyle name="Normal 4 6 10" xfId="8319" xr:uid="{8727B1CB-BEE6-44A3-96B3-8F9034D7FF5C}"/>
    <cellStyle name="Normal 4 6 10 2" xfId="17427" xr:uid="{3502EB8D-F528-44F8-B8C6-88216342342A}"/>
    <cellStyle name="Normal 4 6 11" xfId="8320" xr:uid="{5AA279ED-CAB0-42A3-BE61-CBABF5496880}"/>
    <cellStyle name="Normal 4 6 11 2" xfId="17428" xr:uid="{DE140063-D6D4-43B8-A09E-8F5703D00B94}"/>
    <cellStyle name="Normal 4 6 12" xfId="8321" xr:uid="{C9701FA7-17D4-45A5-82A9-38907B464667}"/>
    <cellStyle name="Normal 4 6 12 2" xfId="17429" xr:uid="{5A84F31C-BB59-4479-9B2D-B7F87203BC5D}"/>
    <cellStyle name="Normal 4 6 13" xfId="17426" xr:uid="{7112C374-91F0-4585-B96C-AEC62F22B91B}"/>
    <cellStyle name="Normal 4 6 2" xfId="8322" xr:uid="{FA8D8BA3-9698-4D30-ADB6-030F3712CE5F}"/>
    <cellStyle name="Normal 4 6 2 10" xfId="17430" xr:uid="{6B8919E9-6CA6-47C6-BBB2-4330D3F7C626}"/>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2 2" xfId="17435" xr:uid="{DA785125-D215-444A-81E0-75C0B2C03BB7}"/>
    <cellStyle name="Normal 4 6 2 2 2 2 2 3" xfId="8328" xr:uid="{37A1D03C-55FC-4FF4-AA69-9CA100C8E16E}"/>
    <cellStyle name="Normal 4 6 2 2 2 2 2 3 2" xfId="17436" xr:uid="{AACAA7DC-0D3A-4B71-BC91-A87827EF8747}"/>
    <cellStyle name="Normal 4 6 2 2 2 2 2 4" xfId="17434" xr:uid="{91D7CCAF-7AD0-4DDE-B4DF-A8A7219059A5}"/>
    <cellStyle name="Normal 4 6 2 2 2 2 3" xfId="8329" xr:uid="{5787879A-F3F9-4400-895A-5CEDA7F54ED9}"/>
    <cellStyle name="Normal 4 6 2 2 2 2 3 2" xfId="17437" xr:uid="{DB5337B6-E9C5-4D41-A86E-BF03397730C4}"/>
    <cellStyle name="Normal 4 6 2 2 2 2 4" xfId="8330" xr:uid="{88B5F9B0-332E-4B57-B29C-700E3A5965A4}"/>
    <cellStyle name="Normal 4 6 2 2 2 2 4 2" xfId="17438" xr:uid="{77484738-A593-45FA-ADA6-42C7F1E84E38}"/>
    <cellStyle name="Normal 4 6 2 2 2 2 5" xfId="8331" xr:uid="{0D8ECCD5-8842-4091-9B4A-7D8447620F08}"/>
    <cellStyle name="Normal 4 6 2 2 2 2 5 2" xfId="17439" xr:uid="{B5E7D2BC-A36F-43F1-B0B7-04843E6E47A9}"/>
    <cellStyle name="Normal 4 6 2 2 2 2 6" xfId="17433" xr:uid="{EE1758CB-8B3D-4DAC-AAD5-D28DDE7D4E87}"/>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2 2" xfId="17442" xr:uid="{EE0ADEC1-DB97-4D22-AF74-8FE24E4C978A}"/>
    <cellStyle name="Normal 4 6 2 2 2 3 2 3" xfId="8335" xr:uid="{283B49EE-7372-4CBD-92D9-598DEFD8F7FA}"/>
    <cellStyle name="Normal 4 6 2 2 2 3 2 3 2" xfId="17443" xr:uid="{6A0B7F5B-4638-4B34-B350-5DFB337B804E}"/>
    <cellStyle name="Normal 4 6 2 2 2 3 2 4" xfId="17441" xr:uid="{B99DE921-E264-4415-AB79-FE022EBADE1E}"/>
    <cellStyle name="Normal 4 6 2 2 2 3 3" xfId="8336" xr:uid="{8859E676-3ABE-4131-8B63-47ACAE253106}"/>
    <cellStyle name="Normal 4 6 2 2 2 3 3 2" xfId="17444" xr:uid="{9D464516-B8EA-423F-AD8C-F3FBD2BA6268}"/>
    <cellStyle name="Normal 4 6 2 2 2 3 4" xfId="8337" xr:uid="{EFE5F5CB-9B43-440F-BA8F-565073449B9E}"/>
    <cellStyle name="Normal 4 6 2 2 2 3 4 2" xfId="17445" xr:uid="{FB6897D6-95EA-4E04-9FCF-491A298B28C6}"/>
    <cellStyle name="Normal 4 6 2 2 2 3 5" xfId="8338" xr:uid="{B219D14F-3F86-4833-812C-3DFE4165A3C0}"/>
    <cellStyle name="Normal 4 6 2 2 2 3 5 2" xfId="17446" xr:uid="{DA7CB402-0625-40E9-A1E5-07556FDE241B}"/>
    <cellStyle name="Normal 4 6 2 2 2 3 6" xfId="17440" xr:uid="{1CB73E91-2CAA-4F90-B616-6CAEBB053A7C}"/>
    <cellStyle name="Normal 4 6 2 2 2 4" xfId="8339" xr:uid="{73AC486C-6BC2-40A5-B58A-3F4C47DE3996}"/>
    <cellStyle name="Normal 4 6 2 2 2 4 2" xfId="8340" xr:uid="{AC4FDE58-B5E5-4AC5-BC7E-95427FD36935}"/>
    <cellStyle name="Normal 4 6 2 2 2 4 2 2" xfId="17448" xr:uid="{993CEFD2-0051-4C13-BD7D-02C900784866}"/>
    <cellStyle name="Normal 4 6 2 2 2 4 3" xfId="8341" xr:uid="{469C9E3E-1FAB-4337-B72B-1041AEAE987B}"/>
    <cellStyle name="Normal 4 6 2 2 2 4 3 2" xfId="17449" xr:uid="{199D3D57-662C-48D1-96F1-025732DC0CFA}"/>
    <cellStyle name="Normal 4 6 2 2 2 4 4" xfId="17447" xr:uid="{CCC39CEA-8C03-493C-9004-75DC9262A141}"/>
    <cellStyle name="Normal 4 6 2 2 2 5" xfId="8342" xr:uid="{D7F438D0-5048-4DCE-8682-777B376C12A1}"/>
    <cellStyle name="Normal 4 6 2 2 2 5 2" xfId="17450" xr:uid="{87B02996-A4E0-4E98-8180-760D4E392D39}"/>
    <cellStyle name="Normal 4 6 2 2 2 6" xfId="8343" xr:uid="{F328EA41-AEA4-42B0-AFB5-C01F7B610937}"/>
    <cellStyle name="Normal 4 6 2 2 2 6 2" xfId="17451" xr:uid="{9FCA7B0C-E158-4241-8C46-DACDA00331B3}"/>
    <cellStyle name="Normal 4 6 2 2 2 7" xfId="8344" xr:uid="{32D2B256-9581-42DE-B1E4-F72D26EC222A}"/>
    <cellStyle name="Normal 4 6 2 2 2 7 2" xfId="17452" xr:uid="{FE0107C8-D3CE-43BE-831B-FC8FB493109E}"/>
    <cellStyle name="Normal 4 6 2 2 2 8" xfId="17432" xr:uid="{1991F4AA-AF92-45F4-AE9B-92DD98508C58}"/>
    <cellStyle name="Normal 4 6 2 2 3" xfId="8345" xr:uid="{A400C1AC-04E0-4541-9139-707C054A3063}"/>
    <cellStyle name="Normal 4 6 2 2 3 2" xfId="8346" xr:uid="{6A1FC002-ADD9-408B-AE12-75D59F82FDB0}"/>
    <cellStyle name="Normal 4 6 2 2 3 2 2" xfId="8347" xr:uid="{CDDA072F-8C2D-455E-AA2A-ACEDFDFB8E22}"/>
    <cellStyle name="Normal 4 6 2 2 3 2 2 2" xfId="17455" xr:uid="{FC8EF996-6851-4AB8-B7E9-F105B1D6E389}"/>
    <cellStyle name="Normal 4 6 2 2 3 2 3" xfId="8348" xr:uid="{0B764FA7-2396-4016-957A-AABB8A8394E3}"/>
    <cellStyle name="Normal 4 6 2 2 3 2 3 2" xfId="17456" xr:uid="{4FB9096E-FFDC-4117-BE72-68F4257216DE}"/>
    <cellStyle name="Normal 4 6 2 2 3 2 4" xfId="17454" xr:uid="{32466BD5-B732-4FAC-B931-B25380F36E8D}"/>
    <cellStyle name="Normal 4 6 2 2 3 3" xfId="8349" xr:uid="{F5C43C7C-0860-4F5D-9743-D7F41A9E476C}"/>
    <cellStyle name="Normal 4 6 2 2 3 3 2" xfId="17457" xr:uid="{BCEFD18A-2FB7-4AE5-A6EF-148F7C0B6D51}"/>
    <cellStyle name="Normal 4 6 2 2 3 4" xfId="8350" xr:uid="{44EA142E-4636-4DEB-A9C8-B0B0D8DCE93C}"/>
    <cellStyle name="Normal 4 6 2 2 3 4 2" xfId="17458" xr:uid="{47997960-1ED0-471A-B689-F446E1310C24}"/>
    <cellStyle name="Normal 4 6 2 2 3 5" xfId="8351" xr:uid="{949D418E-49AD-42EF-A9F8-138D6DB36AAD}"/>
    <cellStyle name="Normal 4 6 2 2 3 5 2" xfId="17459" xr:uid="{C2E55726-5BB8-460E-B0AE-2C4FD3D398F7}"/>
    <cellStyle name="Normal 4 6 2 2 3 6" xfId="17453" xr:uid="{6A9BE59C-C918-4193-A7F4-DD42B1106544}"/>
    <cellStyle name="Normal 4 6 2 2 4" xfId="8352" xr:uid="{6979F21E-CF3A-4D44-ABAD-DA90484DDCB6}"/>
    <cellStyle name="Normal 4 6 2 2 4 2" xfId="8353" xr:uid="{4550FB12-4C39-47D9-948D-1B0189CB59EA}"/>
    <cellStyle name="Normal 4 6 2 2 4 2 2" xfId="8354" xr:uid="{E10E385B-B2C7-4CDB-B99B-DFD996A14AB6}"/>
    <cellStyle name="Normal 4 6 2 2 4 2 2 2" xfId="17462" xr:uid="{FC812DA0-245B-471B-93DC-CA2CAB25DC1B}"/>
    <cellStyle name="Normal 4 6 2 2 4 2 3" xfId="8355" xr:uid="{4FC8C8B7-59E1-4097-A979-D8541EA17CDF}"/>
    <cellStyle name="Normal 4 6 2 2 4 2 3 2" xfId="17463" xr:uid="{60F6471E-CB47-48FE-A870-6168430C4E69}"/>
    <cellStyle name="Normal 4 6 2 2 4 2 4" xfId="17461" xr:uid="{ABD7B896-8550-4894-B377-765D4D7AB120}"/>
    <cellStyle name="Normal 4 6 2 2 4 3" xfId="8356" xr:uid="{1009D57E-E3AE-4419-B507-02D9C6D94B51}"/>
    <cellStyle name="Normal 4 6 2 2 4 3 2" xfId="17464" xr:uid="{BB6D21D9-9E47-4B6D-A58F-75750FF32EA5}"/>
    <cellStyle name="Normal 4 6 2 2 4 4" xfId="8357" xr:uid="{9FD617E0-78BE-4B66-AC01-3AAE8E0D4AE8}"/>
    <cellStyle name="Normal 4 6 2 2 4 4 2" xfId="17465" xr:uid="{1690246E-C158-47F2-A84E-B8F99ABE79F5}"/>
    <cellStyle name="Normal 4 6 2 2 4 5" xfId="8358" xr:uid="{37BAA3D2-0C4B-4749-ACC2-E460EC28270D}"/>
    <cellStyle name="Normal 4 6 2 2 4 5 2" xfId="17466" xr:uid="{372C528D-E9E3-465E-A273-9404F42E0CCE}"/>
    <cellStyle name="Normal 4 6 2 2 4 6" xfId="17460" xr:uid="{5DA30416-286A-499E-BC3F-1BF57B7A8D60}"/>
    <cellStyle name="Normal 4 6 2 2 5" xfId="8359" xr:uid="{9DFD17ED-DFD1-43A6-A747-5019046537EF}"/>
    <cellStyle name="Normal 4 6 2 2 5 2" xfId="8360" xr:uid="{CAA11E8D-3529-4029-A465-F9D8853C48F8}"/>
    <cellStyle name="Normal 4 6 2 2 5 2 2" xfId="17468" xr:uid="{B495724D-AB79-4765-AA3F-FB8C775DA956}"/>
    <cellStyle name="Normal 4 6 2 2 5 3" xfId="8361" xr:uid="{A75EDBEE-9521-4A4C-9716-383CF0B0D9D7}"/>
    <cellStyle name="Normal 4 6 2 2 5 3 2" xfId="17469" xr:uid="{FDDD428B-ABD1-47AE-8F28-FCF9CB4B5EBE}"/>
    <cellStyle name="Normal 4 6 2 2 5 4" xfId="17467" xr:uid="{BC6F897A-8717-4956-99A9-6A8F33F3D2E1}"/>
    <cellStyle name="Normal 4 6 2 2 6" xfId="8362" xr:uid="{B704937E-A261-4DE1-BDE6-E38B8E3DA9CE}"/>
    <cellStyle name="Normal 4 6 2 2 6 2" xfId="17470" xr:uid="{B3E7EBC0-4411-4C4D-B9AA-C0C546747444}"/>
    <cellStyle name="Normal 4 6 2 2 7" xfId="8363" xr:uid="{5C1EA81D-8D82-42DF-895A-0B9663AE72EE}"/>
    <cellStyle name="Normal 4 6 2 2 7 2" xfId="17471" xr:uid="{7DEA6D46-F1A4-40D9-A2CE-A3DA0DFAA255}"/>
    <cellStyle name="Normal 4 6 2 2 8" xfId="8364" xr:uid="{893C72F9-1E39-43DE-93EA-1955EF01AB52}"/>
    <cellStyle name="Normal 4 6 2 2 8 2" xfId="17472" xr:uid="{85FA5D34-000A-406F-BF22-60CA05CA7098}"/>
    <cellStyle name="Normal 4 6 2 2 9" xfId="17431" xr:uid="{425673DA-328F-4CB3-B713-3B70A6E14B3F}"/>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2 2" xfId="17476" xr:uid="{956A8490-D810-479F-B327-68B1FD0AA364}"/>
    <cellStyle name="Normal 4 6 2 3 2 2 3" xfId="8369" xr:uid="{E521A3A4-DA41-49E5-A77C-95101CA7F641}"/>
    <cellStyle name="Normal 4 6 2 3 2 2 3 2" xfId="17477" xr:uid="{2823314B-C0BD-44CF-9D8E-DE15CEB79147}"/>
    <cellStyle name="Normal 4 6 2 3 2 2 4" xfId="17475" xr:uid="{5E5E5A14-ECCD-46B5-A10D-945C8EE263C7}"/>
    <cellStyle name="Normal 4 6 2 3 2 3" xfId="8370" xr:uid="{7B9F241E-C168-4930-A653-CC57EA255D12}"/>
    <cellStyle name="Normal 4 6 2 3 2 3 2" xfId="17478" xr:uid="{EB31395B-9C90-4EA3-B7A6-46E4798CB73E}"/>
    <cellStyle name="Normal 4 6 2 3 2 4" xfId="8371" xr:uid="{643B141F-533C-4784-B183-C289DC8F89CA}"/>
    <cellStyle name="Normal 4 6 2 3 2 4 2" xfId="17479" xr:uid="{97C45E4A-E640-4010-AF9F-D3C8646A2122}"/>
    <cellStyle name="Normal 4 6 2 3 2 5" xfId="8372" xr:uid="{D4B6E29D-3D7A-408B-A766-D0052BE38DDC}"/>
    <cellStyle name="Normal 4 6 2 3 2 5 2" xfId="17480" xr:uid="{9E90330F-6551-4BF8-97B0-0F813C6545BC}"/>
    <cellStyle name="Normal 4 6 2 3 2 6" xfId="17474" xr:uid="{3C7C0071-1140-4892-ABCE-5600C3F90320}"/>
    <cellStyle name="Normal 4 6 2 3 3" xfId="8373" xr:uid="{2E469DBA-813F-488A-8DD8-5FE62EB570CF}"/>
    <cellStyle name="Normal 4 6 2 3 3 2" xfId="8374" xr:uid="{8388DC96-429F-4885-8594-628F0120191B}"/>
    <cellStyle name="Normal 4 6 2 3 3 2 2" xfId="8375" xr:uid="{4F20D9D9-8517-4DF3-BF0A-047C2E3BBB08}"/>
    <cellStyle name="Normal 4 6 2 3 3 2 2 2" xfId="17483" xr:uid="{E4E2427E-697D-4FD7-8DD7-E5FB2775EA51}"/>
    <cellStyle name="Normal 4 6 2 3 3 2 3" xfId="8376" xr:uid="{B6D1A33F-5E61-44D5-8DD0-6FC51A8596FE}"/>
    <cellStyle name="Normal 4 6 2 3 3 2 3 2" xfId="17484" xr:uid="{5A6905E2-43F2-4187-8EA9-24D6BFB8C5E3}"/>
    <cellStyle name="Normal 4 6 2 3 3 2 4" xfId="17482" xr:uid="{803814EE-327D-49A0-94DC-5EB0710AF714}"/>
    <cellStyle name="Normal 4 6 2 3 3 3" xfId="8377" xr:uid="{C156B65D-B6C2-4CBD-84EF-EE96AB64DFEE}"/>
    <cellStyle name="Normal 4 6 2 3 3 3 2" xfId="17485" xr:uid="{CC82A118-C101-4882-8074-4E39C04FA2FB}"/>
    <cellStyle name="Normal 4 6 2 3 3 4" xfId="8378" xr:uid="{08CCC66F-38A3-40AA-95C5-BE91E0CC3833}"/>
    <cellStyle name="Normal 4 6 2 3 3 4 2" xfId="17486" xr:uid="{458A0B05-4229-4FEE-8F28-C7AD31E76BB2}"/>
    <cellStyle name="Normal 4 6 2 3 3 5" xfId="8379" xr:uid="{9E10C3E2-FCDB-49F9-A2F8-D9EA991E15BB}"/>
    <cellStyle name="Normal 4 6 2 3 3 5 2" xfId="17487" xr:uid="{0C9510D4-3DCC-4EB9-9510-B02039CE69B0}"/>
    <cellStyle name="Normal 4 6 2 3 3 6" xfId="17481" xr:uid="{9D4F2BF4-5C56-4BD4-BF03-B09892BC7B4A}"/>
    <cellStyle name="Normal 4 6 2 3 4" xfId="8380" xr:uid="{85DD3791-707D-4C44-979E-4964EEC2B98F}"/>
    <cellStyle name="Normal 4 6 2 3 4 2" xfId="8381" xr:uid="{4FC834DC-14B0-4076-9BEB-61E0D71D4995}"/>
    <cellStyle name="Normal 4 6 2 3 4 2 2" xfId="17489" xr:uid="{3B646CDF-D9B9-4543-8D83-94531F6ADC56}"/>
    <cellStyle name="Normal 4 6 2 3 4 3" xfId="8382" xr:uid="{0360947B-9E7D-4A84-9634-7D982E23B18C}"/>
    <cellStyle name="Normal 4 6 2 3 4 3 2" xfId="17490" xr:uid="{466888FE-3CF2-4FF9-8412-05EC373099F4}"/>
    <cellStyle name="Normal 4 6 2 3 4 4" xfId="17488" xr:uid="{7F9717F7-F36C-41C7-A8B5-B58B1F254541}"/>
    <cellStyle name="Normal 4 6 2 3 5" xfId="8383" xr:uid="{5CCA8950-600B-482D-98DF-6309A4667265}"/>
    <cellStyle name="Normal 4 6 2 3 5 2" xfId="17491" xr:uid="{833790B5-6813-4AEB-8759-978C2B834494}"/>
    <cellStyle name="Normal 4 6 2 3 6" xfId="8384" xr:uid="{3D049DF2-3E0E-4273-A2A8-F77FE25BF494}"/>
    <cellStyle name="Normal 4 6 2 3 6 2" xfId="17492" xr:uid="{280AB434-C4E9-4F98-AB9D-C40CD8EEE58D}"/>
    <cellStyle name="Normal 4 6 2 3 7" xfId="8385" xr:uid="{4988B4B3-8ECD-4327-B856-60DBA17289BB}"/>
    <cellStyle name="Normal 4 6 2 3 7 2" xfId="17493" xr:uid="{20825D75-6EDB-4E28-AB06-750A74A0FF6A}"/>
    <cellStyle name="Normal 4 6 2 3 8" xfId="17473" xr:uid="{A0E31396-37E4-4F36-82C6-BC0B4EB67751}"/>
    <cellStyle name="Normal 4 6 2 4" xfId="8386" xr:uid="{E9260D64-E066-497A-A4B1-FB0731129180}"/>
    <cellStyle name="Normal 4 6 2 4 2" xfId="8387" xr:uid="{82456594-41A1-4CAC-A550-4F4A6E60914F}"/>
    <cellStyle name="Normal 4 6 2 4 2 2" xfId="8388" xr:uid="{EE7551E0-02EB-4215-82C3-4EB6FB8D71D8}"/>
    <cellStyle name="Normal 4 6 2 4 2 2 2" xfId="17496" xr:uid="{EEA8BB9D-CBDB-4FA9-91BD-9E3939D942B1}"/>
    <cellStyle name="Normal 4 6 2 4 2 3" xfId="8389" xr:uid="{A6881987-A027-4A47-8B31-EFF277189920}"/>
    <cellStyle name="Normal 4 6 2 4 2 3 2" xfId="17497" xr:uid="{46D439E1-DF15-4B2C-A72A-F7623B846789}"/>
    <cellStyle name="Normal 4 6 2 4 2 4" xfId="17495" xr:uid="{D472590B-8323-4171-9AA7-F7B4C049A443}"/>
    <cellStyle name="Normal 4 6 2 4 3" xfId="8390" xr:uid="{D334B1B9-2917-4766-9C7C-9B2F95B523A2}"/>
    <cellStyle name="Normal 4 6 2 4 3 2" xfId="17498" xr:uid="{8A06237A-DCD0-4576-A618-66DECC139B3B}"/>
    <cellStyle name="Normal 4 6 2 4 4" xfId="8391" xr:uid="{854A236C-C725-4BB1-86D3-244736DD1A6D}"/>
    <cellStyle name="Normal 4 6 2 4 4 2" xfId="17499" xr:uid="{8DF1D6B8-8E2D-49D3-8BCD-7FC586D57FF1}"/>
    <cellStyle name="Normal 4 6 2 4 5" xfId="8392" xr:uid="{B7E39BE1-A65A-424C-A6D8-5C709EF95488}"/>
    <cellStyle name="Normal 4 6 2 4 5 2" xfId="17500" xr:uid="{F8F430EA-D85B-4108-9D3E-1BDABDAB047D}"/>
    <cellStyle name="Normal 4 6 2 4 6" xfId="17494" xr:uid="{A2D20CB5-554F-4FC2-9877-DFB6778551A7}"/>
    <cellStyle name="Normal 4 6 2 5" xfId="8393" xr:uid="{09EABF02-5506-4652-B170-E610CDE6931E}"/>
    <cellStyle name="Normal 4 6 2 5 2" xfId="8394" xr:uid="{7B146D87-CB03-4E46-B559-0B69E05E49D3}"/>
    <cellStyle name="Normal 4 6 2 5 2 2" xfId="8395" xr:uid="{07B146EB-C369-4499-BDA4-D111ED921710}"/>
    <cellStyle name="Normal 4 6 2 5 2 2 2" xfId="17503" xr:uid="{4B503552-F799-463E-AA91-72BF096AA5D9}"/>
    <cellStyle name="Normal 4 6 2 5 2 3" xfId="8396" xr:uid="{ECA0BA5D-BD10-454C-9BD9-6431E37A1511}"/>
    <cellStyle name="Normal 4 6 2 5 2 3 2" xfId="17504" xr:uid="{2FDC7E96-2E66-4929-949B-07D5626AFF3B}"/>
    <cellStyle name="Normal 4 6 2 5 2 4" xfId="17502" xr:uid="{7141CB33-1C3F-48CE-A890-A578721572CA}"/>
    <cellStyle name="Normal 4 6 2 5 3" xfId="8397" xr:uid="{09683AEA-3546-469E-8E33-375DF3772ECF}"/>
    <cellStyle name="Normal 4 6 2 5 3 2" xfId="17505" xr:uid="{3276C168-8AF5-4397-8E8E-90D6252CF226}"/>
    <cellStyle name="Normal 4 6 2 5 4" xfId="8398" xr:uid="{0E4C08C7-B6D4-4640-AC77-BD69DEF8503A}"/>
    <cellStyle name="Normal 4 6 2 5 4 2" xfId="17506" xr:uid="{671B0EBD-FC35-4967-BFFD-93588B1E9702}"/>
    <cellStyle name="Normal 4 6 2 5 5" xfId="8399" xr:uid="{2B489816-F9D4-4DDB-8CEE-98338D6E659D}"/>
    <cellStyle name="Normal 4 6 2 5 5 2" xfId="17507" xr:uid="{9C564BFA-403D-4EF0-971A-DC4A16A6FB0E}"/>
    <cellStyle name="Normal 4 6 2 5 6" xfId="17501" xr:uid="{02644B62-E581-4DC7-B40F-F800A784B13C}"/>
    <cellStyle name="Normal 4 6 2 6" xfId="8400" xr:uid="{4CD453BE-6909-4D6E-8CCA-69A253499DFB}"/>
    <cellStyle name="Normal 4 6 2 6 2" xfId="8401" xr:uid="{65FF0353-B00C-4CDE-A53D-38FB99F3DC4B}"/>
    <cellStyle name="Normal 4 6 2 6 2 2" xfId="17509" xr:uid="{8AEB8A3A-13DE-4C56-8CF1-28811C0699BF}"/>
    <cellStyle name="Normal 4 6 2 6 3" xfId="8402" xr:uid="{DA8C1DB6-2385-457F-8685-3C8C69300833}"/>
    <cellStyle name="Normal 4 6 2 6 3 2" xfId="17510" xr:uid="{DCA18A5C-6B8A-4ABF-AD2D-FE2F4DA7A004}"/>
    <cellStyle name="Normal 4 6 2 6 4" xfId="17508" xr:uid="{DCBEEA96-716B-46B8-8AA6-BD0BE6CAB9C9}"/>
    <cellStyle name="Normal 4 6 2 7" xfId="8403" xr:uid="{B499FF7B-56A1-4E40-8932-67228BBA11C5}"/>
    <cellStyle name="Normal 4 6 2 7 2" xfId="17511" xr:uid="{28F961F3-CD4D-4669-B36D-7C876CA86670}"/>
    <cellStyle name="Normal 4 6 2 8" xfId="8404" xr:uid="{EAD9D2A7-5D2C-4C83-97FF-8DC8DC550EF4}"/>
    <cellStyle name="Normal 4 6 2 8 2" xfId="17512" xr:uid="{DB04D665-C692-4BF2-A2E7-203813A5184F}"/>
    <cellStyle name="Normal 4 6 2 9" xfId="8405" xr:uid="{8A2CF12F-56D2-4FB1-9AFB-A9A100A58AE8}"/>
    <cellStyle name="Normal 4 6 2 9 2" xfId="17513" xr:uid="{50C9FB8D-4739-4331-9AE3-214B3B6D0C30}"/>
    <cellStyle name="Normal 4 6 3" xfId="8406" xr:uid="{FBD4689D-4089-43A0-B06B-163C19EDF624}"/>
    <cellStyle name="Normal 4 6 3 10" xfId="17514" xr:uid="{0687A67C-5754-47D0-9F39-343B9647C22D}"/>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2 2" xfId="17519" xr:uid="{3A5A9F4C-731C-4E0D-91AC-7F288E5152E6}"/>
    <cellStyle name="Normal 4 6 3 2 2 2 2 3" xfId="8412" xr:uid="{8B49C317-D9B6-4A7F-A52F-022066CA643B}"/>
    <cellStyle name="Normal 4 6 3 2 2 2 2 3 2" xfId="17520" xr:uid="{4D2E6860-D919-4556-BF7D-41484F227055}"/>
    <cellStyle name="Normal 4 6 3 2 2 2 2 4" xfId="17518" xr:uid="{09C33353-9718-4D4B-9D78-C24CA431FFAD}"/>
    <cellStyle name="Normal 4 6 3 2 2 2 3" xfId="8413" xr:uid="{59553E32-F14C-4E6B-8789-CA94AA256512}"/>
    <cellStyle name="Normal 4 6 3 2 2 2 3 2" xfId="17521" xr:uid="{AD5A19A1-59E5-44A0-8A1C-BE95F41DBC1C}"/>
    <cellStyle name="Normal 4 6 3 2 2 2 4" xfId="8414" xr:uid="{6D88581F-C554-421C-B75B-F7B6484ED8B9}"/>
    <cellStyle name="Normal 4 6 3 2 2 2 4 2" xfId="17522" xr:uid="{63A9B29E-99D2-4D11-BF82-C46EA658641F}"/>
    <cellStyle name="Normal 4 6 3 2 2 2 5" xfId="8415" xr:uid="{FA5BB846-5AB9-424D-873B-0742751E8C48}"/>
    <cellStyle name="Normal 4 6 3 2 2 2 5 2" xfId="17523" xr:uid="{DFD4260E-3055-4D3F-8EF7-18841EA65419}"/>
    <cellStyle name="Normal 4 6 3 2 2 2 6" xfId="17517" xr:uid="{40C312D5-23FF-4799-A71B-E58C61BEF5A9}"/>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2 2" xfId="17526" xr:uid="{C40D1D4B-1CBC-469D-AC26-BE45044F526F}"/>
    <cellStyle name="Normal 4 6 3 2 2 3 2 3" xfId="8419" xr:uid="{D7E84FA1-E7DE-4C2B-8C6D-C56850264A35}"/>
    <cellStyle name="Normal 4 6 3 2 2 3 2 3 2" xfId="17527" xr:uid="{931FE3B4-B57F-41ED-922A-4F31276B1F74}"/>
    <cellStyle name="Normal 4 6 3 2 2 3 2 4" xfId="17525" xr:uid="{F63B0A39-0F1A-4BE5-8408-C17EA998D15C}"/>
    <cellStyle name="Normal 4 6 3 2 2 3 3" xfId="8420" xr:uid="{220CC322-A4D1-485F-88DA-08CD1074848B}"/>
    <cellStyle name="Normal 4 6 3 2 2 3 3 2" xfId="17528" xr:uid="{CEDEA6D8-38AC-4C16-954A-2DD3243A0D83}"/>
    <cellStyle name="Normal 4 6 3 2 2 3 4" xfId="8421" xr:uid="{FE773C78-284B-4647-89E4-E667A69BAC98}"/>
    <cellStyle name="Normal 4 6 3 2 2 3 4 2" xfId="17529" xr:uid="{960F6B5F-21AB-446F-B4D9-C9D8805F25C1}"/>
    <cellStyle name="Normal 4 6 3 2 2 3 5" xfId="8422" xr:uid="{EEF2D95F-41A2-4356-9CBE-87B97E7E288B}"/>
    <cellStyle name="Normal 4 6 3 2 2 3 5 2" xfId="17530" xr:uid="{D5CD3E89-E900-43A6-99B2-D00CCA1EB93A}"/>
    <cellStyle name="Normal 4 6 3 2 2 3 6" xfId="17524" xr:uid="{71EC0276-E4CD-4DF5-A24F-AACC963C6860}"/>
    <cellStyle name="Normal 4 6 3 2 2 4" xfId="8423" xr:uid="{FF07C224-18D9-4F07-A638-A3F534732BDD}"/>
    <cellStyle name="Normal 4 6 3 2 2 4 2" xfId="8424" xr:uid="{2386414C-329B-47AF-8C4E-BE150A1760AB}"/>
    <cellStyle name="Normal 4 6 3 2 2 4 2 2" xfId="17532" xr:uid="{C3BE2437-2E12-4E91-94D7-1827657EEBDB}"/>
    <cellStyle name="Normal 4 6 3 2 2 4 3" xfId="8425" xr:uid="{59B0DEA7-4D8D-4CCD-A8DB-3C82F5F26DFA}"/>
    <cellStyle name="Normal 4 6 3 2 2 4 3 2" xfId="17533" xr:uid="{46116A23-4A46-43F6-9863-41FA4E901573}"/>
    <cellStyle name="Normal 4 6 3 2 2 4 4" xfId="17531" xr:uid="{E3D33E70-DC46-49B8-AC6B-EAE77B6B8B4A}"/>
    <cellStyle name="Normal 4 6 3 2 2 5" xfId="8426" xr:uid="{9A0AC8DE-7EF9-49D6-A4CD-E3282CA7A216}"/>
    <cellStyle name="Normal 4 6 3 2 2 5 2" xfId="17534" xr:uid="{456D7C64-6B86-479C-9A63-FC0FACDA8BA6}"/>
    <cellStyle name="Normal 4 6 3 2 2 6" xfId="8427" xr:uid="{C269823D-839C-4C96-AE78-785BA5D05B86}"/>
    <cellStyle name="Normal 4 6 3 2 2 6 2" xfId="17535" xr:uid="{80A840EC-23DE-497E-8E73-258EC9616215}"/>
    <cellStyle name="Normal 4 6 3 2 2 7" xfId="8428" xr:uid="{A648BF2E-2AC3-4EC3-ACB9-8EECBD8A7679}"/>
    <cellStyle name="Normal 4 6 3 2 2 7 2" xfId="17536" xr:uid="{C8C4D466-B850-4283-9F79-86AADACB4555}"/>
    <cellStyle name="Normal 4 6 3 2 2 8" xfId="17516" xr:uid="{8CFDF188-1839-4F07-BFF0-BE62BDD4864D}"/>
    <cellStyle name="Normal 4 6 3 2 3" xfId="8429" xr:uid="{1742ADD9-3E47-47F3-8930-D56CA432B46C}"/>
    <cellStyle name="Normal 4 6 3 2 3 2" xfId="8430" xr:uid="{57EF7E4B-652B-46ED-A772-9B259D4AC1B1}"/>
    <cellStyle name="Normal 4 6 3 2 3 2 2" xfId="8431" xr:uid="{F005EF1A-B683-4A86-A11C-65A3DD5D5E63}"/>
    <cellStyle name="Normal 4 6 3 2 3 2 2 2" xfId="17539" xr:uid="{991B52DF-D4BA-4F3E-B8DC-1171A4A7E63B}"/>
    <cellStyle name="Normal 4 6 3 2 3 2 3" xfId="8432" xr:uid="{27F9DAD5-7D20-42E1-80DD-2811935489D2}"/>
    <cellStyle name="Normal 4 6 3 2 3 2 3 2" xfId="17540" xr:uid="{19605CCD-4A78-4404-AEF1-8248F3F2BF9A}"/>
    <cellStyle name="Normal 4 6 3 2 3 2 4" xfId="17538" xr:uid="{B80286B5-EF31-4E10-82EA-02FE2A6EAD7F}"/>
    <cellStyle name="Normal 4 6 3 2 3 3" xfId="8433" xr:uid="{9DCACB2F-0294-4F0B-B649-FA7230E1541D}"/>
    <cellStyle name="Normal 4 6 3 2 3 3 2" xfId="17541" xr:uid="{33AC0CC2-F873-460F-A3F9-79855B142BC9}"/>
    <cellStyle name="Normal 4 6 3 2 3 4" xfId="8434" xr:uid="{022A2FB3-7680-45D9-9FD6-46A7199A9031}"/>
    <cellStyle name="Normal 4 6 3 2 3 4 2" xfId="17542" xr:uid="{B2FC3DC3-B577-4793-9D03-36B049FAC190}"/>
    <cellStyle name="Normal 4 6 3 2 3 5" xfId="8435" xr:uid="{18F8D63C-67CB-4D1A-B83A-13F81F87A1BF}"/>
    <cellStyle name="Normal 4 6 3 2 3 5 2" xfId="17543" xr:uid="{95906770-B861-4C4A-B521-BEC17F914CBF}"/>
    <cellStyle name="Normal 4 6 3 2 3 6" xfId="17537" xr:uid="{48AA1FEE-B30B-4FB6-89F6-4488780A039F}"/>
    <cellStyle name="Normal 4 6 3 2 4" xfId="8436" xr:uid="{3524C9E8-1259-4232-9DE6-D79CD719D94E}"/>
    <cellStyle name="Normal 4 6 3 2 4 2" xfId="8437" xr:uid="{4FF92E9F-DE93-4E17-97D1-739C0AE4E4B8}"/>
    <cellStyle name="Normal 4 6 3 2 4 2 2" xfId="8438" xr:uid="{3D61890C-222B-4AF4-BE32-72B8E61302A4}"/>
    <cellStyle name="Normal 4 6 3 2 4 2 2 2" xfId="17546" xr:uid="{387437D3-5ED1-4656-9F4C-A4139C183D2C}"/>
    <cellStyle name="Normal 4 6 3 2 4 2 3" xfId="8439" xr:uid="{6C924581-5113-47A9-B855-C3B5CE748A5E}"/>
    <cellStyle name="Normal 4 6 3 2 4 2 3 2" xfId="17547" xr:uid="{73A09EF8-FDE0-4AF4-AD53-E30AA126E048}"/>
    <cellStyle name="Normal 4 6 3 2 4 2 4" xfId="17545" xr:uid="{F40A1C96-5B1E-43EF-B26D-6AE7FEBBF0F6}"/>
    <cellStyle name="Normal 4 6 3 2 4 3" xfId="8440" xr:uid="{0D692380-6ADE-41BD-BE6B-E3DC0CEC1F6E}"/>
    <cellStyle name="Normal 4 6 3 2 4 3 2" xfId="17548" xr:uid="{7E792CFE-FB63-40A6-81C0-E99441BD1D86}"/>
    <cellStyle name="Normal 4 6 3 2 4 4" xfId="8441" xr:uid="{186A263B-6C9D-4271-A233-00EA6A37CAF2}"/>
    <cellStyle name="Normal 4 6 3 2 4 4 2" xfId="17549" xr:uid="{D3FF17CA-ADBE-4D29-B607-C665C9DF4066}"/>
    <cellStyle name="Normal 4 6 3 2 4 5" xfId="8442" xr:uid="{B60E3F40-0750-4871-A718-B03BD59B1420}"/>
    <cellStyle name="Normal 4 6 3 2 4 5 2" xfId="17550" xr:uid="{9C3332FC-9761-4978-8474-6B88A699AD14}"/>
    <cellStyle name="Normal 4 6 3 2 4 6" xfId="17544" xr:uid="{F1F4DCDF-8C9C-41A5-BF90-6BAA9488182B}"/>
    <cellStyle name="Normal 4 6 3 2 5" xfId="8443" xr:uid="{045682BE-2583-49A8-918D-3F47C6B49780}"/>
    <cellStyle name="Normal 4 6 3 2 5 2" xfId="8444" xr:uid="{7993202F-C63B-480F-B5EB-80D5C97C897F}"/>
    <cellStyle name="Normal 4 6 3 2 5 2 2" xfId="17552" xr:uid="{7B5CB997-425E-4439-B069-E1728CAE3F0D}"/>
    <cellStyle name="Normal 4 6 3 2 5 3" xfId="8445" xr:uid="{C81FA3B7-6F10-4EF8-9DF6-2693E1409966}"/>
    <cellStyle name="Normal 4 6 3 2 5 3 2" xfId="17553" xr:uid="{4092F3E0-6005-4891-BD8A-664C88FFE04E}"/>
    <cellStyle name="Normal 4 6 3 2 5 4" xfId="17551" xr:uid="{D160061A-C7B7-4916-ACBF-2B012DE512BA}"/>
    <cellStyle name="Normal 4 6 3 2 6" xfId="8446" xr:uid="{CD71621A-C798-4F89-A84C-4EE7DC0032B4}"/>
    <cellStyle name="Normal 4 6 3 2 6 2" xfId="17554" xr:uid="{38D86193-8527-47C9-8541-CB9ADB4CBAAF}"/>
    <cellStyle name="Normal 4 6 3 2 7" xfId="8447" xr:uid="{4BFCF716-4832-461A-8115-D2A0F343F5AD}"/>
    <cellStyle name="Normal 4 6 3 2 7 2" xfId="17555" xr:uid="{522A7CD4-4594-4E26-B7C7-2FC29A70BBDB}"/>
    <cellStyle name="Normal 4 6 3 2 8" xfId="8448" xr:uid="{E4A6D999-60AA-413F-BE83-53EEAE76DAA0}"/>
    <cellStyle name="Normal 4 6 3 2 8 2" xfId="17556" xr:uid="{D5FD2534-11CC-4F70-A0FF-CF04A909873F}"/>
    <cellStyle name="Normal 4 6 3 2 9" xfId="17515" xr:uid="{0A780216-68EF-4E93-A655-9CCBCD567049}"/>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2 2" xfId="17560" xr:uid="{F8F61515-3AB5-4CDE-AE5D-84B7E1323FBF}"/>
    <cellStyle name="Normal 4 6 3 3 2 2 3" xfId="8453" xr:uid="{F46A91F9-82FC-4A49-83DF-DF3C95A3479C}"/>
    <cellStyle name="Normal 4 6 3 3 2 2 3 2" xfId="17561" xr:uid="{8792C157-D04B-4283-B922-5BD8D11A17A2}"/>
    <cellStyle name="Normal 4 6 3 3 2 2 4" xfId="17559" xr:uid="{804A6417-6C0D-443F-AF09-C4356C8C85DF}"/>
    <cellStyle name="Normal 4 6 3 3 2 3" xfId="8454" xr:uid="{62C28708-DBF8-4292-8AF1-CD6F82424826}"/>
    <cellStyle name="Normal 4 6 3 3 2 3 2" xfId="17562" xr:uid="{F5C48DAE-1475-4D5C-8EF6-8874FB80E33A}"/>
    <cellStyle name="Normal 4 6 3 3 2 4" xfId="8455" xr:uid="{17503EA6-808F-467E-9728-5F40CE37A95C}"/>
    <cellStyle name="Normal 4 6 3 3 2 4 2" xfId="17563" xr:uid="{9D644086-730D-49B9-9993-AC2DC003DE0E}"/>
    <cellStyle name="Normal 4 6 3 3 2 5" xfId="8456" xr:uid="{5FF0B56B-5D5F-410B-A3AB-0BDECB618D84}"/>
    <cellStyle name="Normal 4 6 3 3 2 5 2" xfId="17564" xr:uid="{1927E10A-AA6B-4CD0-81EF-418650A3CF87}"/>
    <cellStyle name="Normal 4 6 3 3 2 6" xfId="17558" xr:uid="{D848D17D-4543-4C0F-A164-ABFD7D651ED5}"/>
    <cellStyle name="Normal 4 6 3 3 3" xfId="8457" xr:uid="{0F2F2A0B-2A70-4EB0-9CE3-F7E33B3D5C55}"/>
    <cellStyle name="Normal 4 6 3 3 3 2" xfId="8458" xr:uid="{17E61A37-2EC0-4C71-BB83-7A37E832D42B}"/>
    <cellStyle name="Normal 4 6 3 3 3 2 2" xfId="8459" xr:uid="{5357ABDD-EE53-4B13-AF62-4CBDBE9AC20C}"/>
    <cellStyle name="Normal 4 6 3 3 3 2 2 2" xfId="17567" xr:uid="{02ECBAB6-AB34-4481-98F7-5DA3F0BE5273}"/>
    <cellStyle name="Normal 4 6 3 3 3 2 3" xfId="8460" xr:uid="{DA196C3D-DE6B-4B3A-947D-01E851C99A3D}"/>
    <cellStyle name="Normal 4 6 3 3 3 2 3 2" xfId="17568" xr:uid="{7E3F56E7-1B78-4B82-9F4B-4613203AE586}"/>
    <cellStyle name="Normal 4 6 3 3 3 2 4" xfId="17566" xr:uid="{5D7510E0-3084-4C50-A63A-F07DD05EB145}"/>
    <cellStyle name="Normal 4 6 3 3 3 3" xfId="8461" xr:uid="{E28D78EB-5E9B-47F2-91BA-47B3147B9562}"/>
    <cellStyle name="Normal 4 6 3 3 3 3 2" xfId="17569" xr:uid="{5CF71018-C033-4434-AD8E-6B22D85DCF63}"/>
    <cellStyle name="Normal 4 6 3 3 3 4" xfId="8462" xr:uid="{8BB089DC-9794-450D-8652-0C78C0B6D7B7}"/>
    <cellStyle name="Normal 4 6 3 3 3 4 2" xfId="17570" xr:uid="{4C086EB0-EB27-42B4-A7C2-EA2557ECDC54}"/>
    <cellStyle name="Normal 4 6 3 3 3 5" xfId="8463" xr:uid="{CFE5F512-175A-462F-8A90-72F50860F93E}"/>
    <cellStyle name="Normal 4 6 3 3 3 5 2" xfId="17571" xr:uid="{34A3D8A0-48F9-48B4-B7AE-49FBC57D5A16}"/>
    <cellStyle name="Normal 4 6 3 3 3 6" xfId="17565" xr:uid="{7BCE28B3-9F6D-4F45-A625-69D96C6B0926}"/>
    <cellStyle name="Normal 4 6 3 3 4" xfId="8464" xr:uid="{19206778-33C3-401A-A4DE-32C18BB60281}"/>
    <cellStyle name="Normal 4 6 3 3 4 2" xfId="8465" xr:uid="{5C5D3043-48AE-44E2-B7A9-0969CD2865A4}"/>
    <cellStyle name="Normal 4 6 3 3 4 2 2" xfId="17573" xr:uid="{BAF9AD1F-C37E-485C-9DD2-167FB277F10E}"/>
    <cellStyle name="Normal 4 6 3 3 4 3" xfId="8466" xr:uid="{6A8F15D1-73F3-448A-A2A7-CDE8632ED4AC}"/>
    <cellStyle name="Normal 4 6 3 3 4 3 2" xfId="17574" xr:uid="{87C46D92-D3AB-48DE-98AB-8EADE9E8E7FF}"/>
    <cellStyle name="Normal 4 6 3 3 4 4" xfId="17572" xr:uid="{AAD32151-6D58-4909-8BC0-17B482957EA9}"/>
    <cellStyle name="Normal 4 6 3 3 5" xfId="8467" xr:uid="{AA88C10A-7EF8-4724-9398-E1C6FA8CCA62}"/>
    <cellStyle name="Normal 4 6 3 3 5 2" xfId="17575" xr:uid="{2D4546F3-1E26-482D-9482-B0563470F826}"/>
    <cellStyle name="Normal 4 6 3 3 6" xfId="8468" xr:uid="{ABDA9113-FA35-4671-A3E5-3CA8CD7CA606}"/>
    <cellStyle name="Normal 4 6 3 3 6 2" xfId="17576" xr:uid="{3FF2B603-8143-4E9E-93BE-7CE57CE6B74A}"/>
    <cellStyle name="Normal 4 6 3 3 7" xfId="8469" xr:uid="{865F122D-1822-41D4-8182-D501EC1D1988}"/>
    <cellStyle name="Normal 4 6 3 3 7 2" xfId="17577" xr:uid="{6E5C5970-DD6A-4E56-9E92-D7C3C8605A3C}"/>
    <cellStyle name="Normal 4 6 3 3 8" xfId="17557" xr:uid="{67C4FED1-8D93-407C-9F71-1ACDFD33E866}"/>
    <cellStyle name="Normal 4 6 3 4" xfId="8470" xr:uid="{7B38200A-10EC-421B-8AA6-352ECB12EBF8}"/>
    <cellStyle name="Normal 4 6 3 4 2" xfId="8471" xr:uid="{4B804C78-F872-4F93-BE36-E0306EBEB7D5}"/>
    <cellStyle name="Normal 4 6 3 4 2 2" xfId="8472" xr:uid="{3E03A4E8-9546-4387-A51C-11AD5FAF2D0B}"/>
    <cellStyle name="Normal 4 6 3 4 2 2 2" xfId="17580" xr:uid="{68661C95-80CB-472C-9C90-44CB8958BDE7}"/>
    <cellStyle name="Normal 4 6 3 4 2 3" xfId="8473" xr:uid="{99B8F315-CF09-4B54-8CFD-62FF87F558E0}"/>
    <cellStyle name="Normal 4 6 3 4 2 3 2" xfId="17581" xr:uid="{EA8A774F-5E7D-4098-A2F0-92DA0152FC1D}"/>
    <cellStyle name="Normal 4 6 3 4 2 4" xfId="17579" xr:uid="{2A3BD215-7FA5-4FB7-BA4E-1E204755BD70}"/>
    <cellStyle name="Normal 4 6 3 4 3" xfId="8474" xr:uid="{E5CFD955-C615-4DCA-B36A-C0C19CF1AB15}"/>
    <cellStyle name="Normal 4 6 3 4 3 2" xfId="17582" xr:uid="{F5F2035D-978A-41B7-96BA-DFD08295708F}"/>
    <cellStyle name="Normal 4 6 3 4 4" xfId="8475" xr:uid="{EDC83BAC-1062-478F-9830-069AE9B8DFFA}"/>
    <cellStyle name="Normal 4 6 3 4 4 2" xfId="17583" xr:uid="{27AB8C7D-BF65-4A2A-86E3-76A0614D541A}"/>
    <cellStyle name="Normal 4 6 3 4 5" xfId="8476" xr:uid="{2E54B5F4-1477-4060-A44D-97AB65C30CB1}"/>
    <cellStyle name="Normal 4 6 3 4 5 2" xfId="17584" xr:uid="{9E61DD15-0139-4806-8135-5CEDA66171AE}"/>
    <cellStyle name="Normal 4 6 3 4 6" xfId="17578" xr:uid="{342D1133-DFFC-4372-A05F-51910191706A}"/>
    <cellStyle name="Normal 4 6 3 5" xfId="8477" xr:uid="{F4176169-FFD9-4020-838F-09F758BBCE81}"/>
    <cellStyle name="Normal 4 6 3 5 2" xfId="8478" xr:uid="{9374B142-5E09-4AC5-87DE-2ED2C66D4502}"/>
    <cellStyle name="Normal 4 6 3 5 2 2" xfId="8479" xr:uid="{603AB334-E184-48B2-8181-58E74C4ED8C6}"/>
    <cellStyle name="Normal 4 6 3 5 2 2 2" xfId="17587" xr:uid="{425622C0-BFEC-4F0C-8139-23CF94404046}"/>
    <cellStyle name="Normal 4 6 3 5 2 3" xfId="8480" xr:uid="{32060CE7-67BE-4BB3-B3B6-A1A84F35FD43}"/>
    <cellStyle name="Normal 4 6 3 5 2 3 2" xfId="17588" xr:uid="{FB11BF43-09B1-4AAB-B0B6-2F34C3D5ACEA}"/>
    <cellStyle name="Normal 4 6 3 5 2 4" xfId="17586" xr:uid="{E69DB6BA-F906-4B49-B692-19B3C4528BDD}"/>
    <cellStyle name="Normal 4 6 3 5 3" xfId="8481" xr:uid="{E762EF04-9A1D-4DF0-BD72-D8F1626F0EA1}"/>
    <cellStyle name="Normal 4 6 3 5 3 2" xfId="17589" xr:uid="{4AF445DC-9E81-4AF0-B60B-24E4AED1F93A}"/>
    <cellStyle name="Normal 4 6 3 5 4" xfId="8482" xr:uid="{903732A5-B47E-44D9-976D-F3079CB05CFF}"/>
    <cellStyle name="Normal 4 6 3 5 4 2" xfId="17590" xr:uid="{9D65FDFB-2525-4CC2-8F3D-866C128AFA3F}"/>
    <cellStyle name="Normal 4 6 3 5 5" xfId="8483" xr:uid="{D7FC0649-51C5-435A-B560-D3FE70A618C7}"/>
    <cellStyle name="Normal 4 6 3 5 5 2" xfId="17591" xr:uid="{9B2E8D73-BB2F-4283-A3F3-D8073882D7FA}"/>
    <cellStyle name="Normal 4 6 3 5 6" xfId="17585" xr:uid="{855A79A1-89B8-47E4-98F9-6A80EB710407}"/>
    <cellStyle name="Normal 4 6 3 6" xfId="8484" xr:uid="{BE1DCA96-BE26-4747-A23F-054BBB8FF13C}"/>
    <cellStyle name="Normal 4 6 3 6 2" xfId="8485" xr:uid="{01F6D5C4-9FE7-4D85-90BE-DEAE358E6472}"/>
    <cellStyle name="Normal 4 6 3 6 2 2" xfId="17593" xr:uid="{5CE4261A-091C-48DA-A3E5-5C48287332DD}"/>
    <cellStyle name="Normal 4 6 3 6 3" xfId="8486" xr:uid="{3868D81B-D20F-45E2-9386-66180D5ED9A5}"/>
    <cellStyle name="Normal 4 6 3 6 3 2" xfId="17594" xr:uid="{6619FAC3-D1A9-4964-A901-0DFC333FDFC6}"/>
    <cellStyle name="Normal 4 6 3 6 4" xfId="17592" xr:uid="{C231CC8D-D819-4C60-B48A-C6A60F00D7FD}"/>
    <cellStyle name="Normal 4 6 3 7" xfId="8487" xr:uid="{C2A90992-D66D-4B4C-B068-DC147D369DE1}"/>
    <cellStyle name="Normal 4 6 3 7 2" xfId="17595" xr:uid="{99094C29-2889-4B02-ADAB-A53CD0D73E8E}"/>
    <cellStyle name="Normal 4 6 3 8" xfId="8488" xr:uid="{D2CFD0D0-DCEC-4C8E-9900-EA8405773FFC}"/>
    <cellStyle name="Normal 4 6 3 8 2" xfId="17596" xr:uid="{A3FEFB73-FB79-40B8-B4F6-7B973E50EEE5}"/>
    <cellStyle name="Normal 4 6 3 9" xfId="8489" xr:uid="{BCB63E6C-EFD5-47F5-9771-78274F96248E}"/>
    <cellStyle name="Normal 4 6 3 9 2" xfId="17597" xr:uid="{050322B5-084B-4441-A9B8-FDEA74B1A8AD}"/>
    <cellStyle name="Normal 4 6 4" xfId="8490" xr:uid="{B8C8C8B2-35A1-4A24-BA83-4DD5ECE78A64}"/>
    <cellStyle name="Normal 4 6 4 10" xfId="17598" xr:uid="{C1D8390F-A527-4A08-AB51-4F611636FA5A}"/>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2 2" xfId="17603" xr:uid="{F873DA2C-12D6-4E40-AF03-AF465C0D8623}"/>
    <cellStyle name="Normal 4 6 4 2 2 2 2 3" xfId="8496" xr:uid="{882940CA-43D2-4F78-9B9D-B6CDD295965C}"/>
    <cellStyle name="Normal 4 6 4 2 2 2 2 3 2" xfId="17604" xr:uid="{CA3E2BB4-D13B-4D8C-8848-AD5EAEEA690A}"/>
    <cellStyle name="Normal 4 6 4 2 2 2 2 4" xfId="17602" xr:uid="{8DC82DF6-05E2-49FE-9872-159AE6305541}"/>
    <cellStyle name="Normal 4 6 4 2 2 2 3" xfId="8497" xr:uid="{9133C67C-D14A-4487-91C7-BCAD97F168C3}"/>
    <cellStyle name="Normal 4 6 4 2 2 2 3 2" xfId="17605" xr:uid="{3516F822-AF5D-4F76-8763-A8A19040AADD}"/>
    <cellStyle name="Normal 4 6 4 2 2 2 4" xfId="8498" xr:uid="{BAB3C305-5398-45E6-8E72-7458CDF27385}"/>
    <cellStyle name="Normal 4 6 4 2 2 2 4 2" xfId="17606" xr:uid="{763FDA61-9D79-44AD-AAC6-1CBAA6618B58}"/>
    <cellStyle name="Normal 4 6 4 2 2 2 5" xfId="8499" xr:uid="{48E2134F-8264-4FDF-B852-2C33E0D52C81}"/>
    <cellStyle name="Normal 4 6 4 2 2 2 5 2" xfId="17607" xr:uid="{359A7417-A534-48D4-BDD6-E76C3E756991}"/>
    <cellStyle name="Normal 4 6 4 2 2 2 6" xfId="17601" xr:uid="{ADEE1EA5-B696-4158-BB99-14AA30896974}"/>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2 2" xfId="17610" xr:uid="{E56BE4A9-59E7-41D3-AC98-ACD2A9002231}"/>
    <cellStyle name="Normal 4 6 4 2 2 3 2 3" xfId="8503" xr:uid="{CE1D75D8-CEEC-4549-8372-74968E518A6D}"/>
    <cellStyle name="Normal 4 6 4 2 2 3 2 3 2" xfId="17611" xr:uid="{1CC3D958-524E-4061-AE8A-7D7D8B2912F5}"/>
    <cellStyle name="Normal 4 6 4 2 2 3 2 4" xfId="17609" xr:uid="{533A2E24-43C5-41FB-8496-E0960C22A878}"/>
    <cellStyle name="Normal 4 6 4 2 2 3 3" xfId="8504" xr:uid="{169C65C8-0B68-4306-AF8A-581095F447FC}"/>
    <cellStyle name="Normal 4 6 4 2 2 3 3 2" xfId="17612" xr:uid="{23D8B86D-7782-47C7-BF15-167D3CF1C523}"/>
    <cellStyle name="Normal 4 6 4 2 2 3 4" xfId="8505" xr:uid="{3149FDC2-8B9D-4BA5-8CD4-B40F04D1341B}"/>
    <cellStyle name="Normal 4 6 4 2 2 3 4 2" xfId="17613" xr:uid="{F4DCF620-ABC8-49FE-B01C-5AF3F37BC470}"/>
    <cellStyle name="Normal 4 6 4 2 2 3 5" xfId="8506" xr:uid="{4BB950A2-6005-4D9C-9C3C-01D61807068C}"/>
    <cellStyle name="Normal 4 6 4 2 2 3 5 2" xfId="17614" xr:uid="{4C9FDF00-37A4-4FC2-9C88-62425E4F8541}"/>
    <cellStyle name="Normal 4 6 4 2 2 3 6" xfId="17608" xr:uid="{4F87F8C8-4B40-459D-901A-464573C096E8}"/>
    <cellStyle name="Normal 4 6 4 2 2 4" xfId="8507" xr:uid="{FE9FC749-DB56-4396-AFF7-91CD1A0E66C9}"/>
    <cellStyle name="Normal 4 6 4 2 2 4 2" xfId="8508" xr:uid="{EEF39AB8-CDF1-4663-A366-AD3CB208319C}"/>
    <cellStyle name="Normal 4 6 4 2 2 4 2 2" xfId="17616" xr:uid="{CE431AA6-48D9-40D8-9ABD-6E786182FBDB}"/>
    <cellStyle name="Normal 4 6 4 2 2 4 3" xfId="8509" xr:uid="{1B1468BE-1DAD-47F3-9185-C7B08F126585}"/>
    <cellStyle name="Normal 4 6 4 2 2 4 3 2" xfId="17617" xr:uid="{96D57B53-9628-4281-A64D-E8424F6F68F8}"/>
    <cellStyle name="Normal 4 6 4 2 2 4 4" xfId="17615" xr:uid="{952F55C6-9089-4246-A64C-74AB47D14FD5}"/>
    <cellStyle name="Normal 4 6 4 2 2 5" xfId="8510" xr:uid="{6FFEC720-C0B8-42F2-BF49-FA8FD7B8083B}"/>
    <cellStyle name="Normal 4 6 4 2 2 5 2" xfId="17618" xr:uid="{37A91F26-AC12-4E55-8510-545D4246ACEF}"/>
    <cellStyle name="Normal 4 6 4 2 2 6" xfId="8511" xr:uid="{6DD3C218-DF91-4C97-8BD9-EF3365F98012}"/>
    <cellStyle name="Normal 4 6 4 2 2 6 2" xfId="17619" xr:uid="{3E300F05-722B-4635-AB66-8DA33855974B}"/>
    <cellStyle name="Normal 4 6 4 2 2 7" xfId="8512" xr:uid="{7BC0302C-B240-40F1-879C-AA722367819E}"/>
    <cellStyle name="Normal 4 6 4 2 2 7 2" xfId="17620" xr:uid="{32803B9C-5E0F-4809-A2D2-C4635F8A106D}"/>
    <cellStyle name="Normal 4 6 4 2 2 8" xfId="17600" xr:uid="{FA781618-882C-4764-B1BF-9081A1DF5489}"/>
    <cellStyle name="Normal 4 6 4 2 3" xfId="8513" xr:uid="{0D371288-6934-469B-9C31-8B2133F5BE4A}"/>
    <cellStyle name="Normal 4 6 4 2 3 2" xfId="8514" xr:uid="{A8C5D15A-9957-4B8D-814F-C2A6599CAB77}"/>
    <cellStyle name="Normal 4 6 4 2 3 2 2" xfId="8515" xr:uid="{6145A794-B109-4BA3-817E-D1C6ACFBCD0C}"/>
    <cellStyle name="Normal 4 6 4 2 3 2 2 2" xfId="17623" xr:uid="{251BE590-51F0-430B-AA0A-BBD4EA021E17}"/>
    <cellStyle name="Normal 4 6 4 2 3 2 3" xfId="8516" xr:uid="{55902A14-BB22-43B0-8870-68A2CD066AE3}"/>
    <cellStyle name="Normal 4 6 4 2 3 2 3 2" xfId="17624" xr:uid="{19AEE852-EAF7-4140-9C4E-0BB4ED46F7F2}"/>
    <cellStyle name="Normal 4 6 4 2 3 2 4" xfId="17622" xr:uid="{1A1EF7E1-6C45-4D24-8A2F-D9B726940854}"/>
    <cellStyle name="Normal 4 6 4 2 3 3" xfId="8517" xr:uid="{710DFC6F-F296-4306-94D4-D229DFD2B14F}"/>
    <cellStyle name="Normal 4 6 4 2 3 3 2" xfId="17625" xr:uid="{629EF420-358F-4E2A-99FB-481EA84D9321}"/>
    <cellStyle name="Normal 4 6 4 2 3 4" xfId="8518" xr:uid="{E00B6D12-023C-413A-B15F-19A30D8669D9}"/>
    <cellStyle name="Normal 4 6 4 2 3 4 2" xfId="17626" xr:uid="{66578580-9C31-43DB-9354-D6626AA694C9}"/>
    <cellStyle name="Normal 4 6 4 2 3 5" xfId="8519" xr:uid="{9683453F-3702-475F-8EB6-F49E24D6712B}"/>
    <cellStyle name="Normal 4 6 4 2 3 5 2" xfId="17627" xr:uid="{DA486CEB-E649-4A25-9FA3-A936D7807E62}"/>
    <cellStyle name="Normal 4 6 4 2 3 6" xfId="17621" xr:uid="{DEAF961D-0E4E-4366-BB5D-A25DCE976999}"/>
    <cellStyle name="Normal 4 6 4 2 4" xfId="8520" xr:uid="{E84A5912-9224-421C-9446-713157E9FC41}"/>
    <cellStyle name="Normal 4 6 4 2 4 2" xfId="8521" xr:uid="{31101C7E-6587-43DD-B683-E5D21AFD240F}"/>
    <cellStyle name="Normal 4 6 4 2 4 2 2" xfId="8522" xr:uid="{712BBE41-627C-42A2-9FA6-A206A827FD3E}"/>
    <cellStyle name="Normal 4 6 4 2 4 2 2 2" xfId="17630" xr:uid="{5C912220-282E-4A75-B6A1-0420F078A929}"/>
    <cellStyle name="Normal 4 6 4 2 4 2 3" xfId="8523" xr:uid="{02BA5CEE-50FD-4851-8684-9017F6869A6E}"/>
    <cellStyle name="Normal 4 6 4 2 4 2 3 2" xfId="17631" xr:uid="{21BAAF71-8297-4E48-8032-142FB6016203}"/>
    <cellStyle name="Normal 4 6 4 2 4 2 4" xfId="17629" xr:uid="{27FCB67A-C907-4592-A5EF-6FCC207F0BD6}"/>
    <cellStyle name="Normal 4 6 4 2 4 3" xfId="8524" xr:uid="{BCF93E22-C178-4B58-9504-D8989CC6C95B}"/>
    <cellStyle name="Normal 4 6 4 2 4 3 2" xfId="17632" xr:uid="{01E19711-CC00-43C7-8FA0-9D3F3FAB056B}"/>
    <cellStyle name="Normal 4 6 4 2 4 4" xfId="8525" xr:uid="{CA917B42-2B00-483E-8F79-C3D647850354}"/>
    <cellStyle name="Normal 4 6 4 2 4 4 2" xfId="17633" xr:uid="{F7C0CA52-B39D-4A19-9C6D-2A83C8FCA0AB}"/>
    <cellStyle name="Normal 4 6 4 2 4 5" xfId="8526" xr:uid="{35978905-006D-4A6C-8F65-0B4510745F70}"/>
    <cellStyle name="Normal 4 6 4 2 4 5 2" xfId="17634" xr:uid="{9C4C03A5-5940-4499-A72B-65B7644219AA}"/>
    <cellStyle name="Normal 4 6 4 2 4 6" xfId="17628" xr:uid="{9CC39BF9-224B-461A-B2B0-64ED19241CD7}"/>
    <cellStyle name="Normal 4 6 4 2 5" xfId="8527" xr:uid="{CAE4A5AC-110C-4FEE-8031-EB5E2C09D78B}"/>
    <cellStyle name="Normal 4 6 4 2 5 2" xfId="8528" xr:uid="{2154D231-2E3A-49F6-BE3B-74C7502739A6}"/>
    <cellStyle name="Normal 4 6 4 2 5 2 2" xfId="17636" xr:uid="{41C19DF2-FBAE-4B26-BFD2-8D5D2AE0B9D6}"/>
    <cellStyle name="Normal 4 6 4 2 5 3" xfId="8529" xr:uid="{A53DD610-21F5-425B-ACBF-D4F3F938D0A4}"/>
    <cellStyle name="Normal 4 6 4 2 5 3 2" xfId="17637" xr:uid="{1497CD90-2F3C-4145-BFEE-D5ADC28D540F}"/>
    <cellStyle name="Normal 4 6 4 2 5 4" xfId="17635" xr:uid="{881C9C94-90F0-4BA8-9AAE-2B9C1E3AF49D}"/>
    <cellStyle name="Normal 4 6 4 2 6" xfId="8530" xr:uid="{B6C0FC2E-9D99-48D4-B8F4-C3523A4AE482}"/>
    <cellStyle name="Normal 4 6 4 2 6 2" xfId="17638" xr:uid="{AA5DB4D3-824C-4D0F-866B-DA71E7A924A3}"/>
    <cellStyle name="Normal 4 6 4 2 7" xfId="8531" xr:uid="{0B74153A-0DBF-4964-A44E-D90E8FD23E27}"/>
    <cellStyle name="Normal 4 6 4 2 7 2" xfId="17639" xr:uid="{FC7DAB35-1BF3-4DDE-9D67-71239522AE10}"/>
    <cellStyle name="Normal 4 6 4 2 8" xfId="8532" xr:uid="{AD7ADD83-4A0D-4F62-A618-4931B635B180}"/>
    <cellStyle name="Normal 4 6 4 2 8 2" xfId="17640" xr:uid="{2D52BF98-6AD9-4DD6-95D3-19C037263FB2}"/>
    <cellStyle name="Normal 4 6 4 2 9" xfId="17599" xr:uid="{BD5DFF13-43F7-4404-97B7-5C6670C23BA7}"/>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2 2" xfId="17644" xr:uid="{A8C12F25-B73E-4DED-966A-32EF49FE1B0A}"/>
    <cellStyle name="Normal 4 6 4 3 2 2 3" xfId="8537" xr:uid="{62A97456-6114-4A7F-AD5F-2B571FF25757}"/>
    <cellStyle name="Normal 4 6 4 3 2 2 3 2" xfId="17645" xr:uid="{04BA63C2-EB15-4C48-B3D0-2E1BC7A9B2B1}"/>
    <cellStyle name="Normal 4 6 4 3 2 2 4" xfId="17643" xr:uid="{762B8F8A-8964-471F-A9D8-E027F0D77D05}"/>
    <cellStyle name="Normal 4 6 4 3 2 3" xfId="8538" xr:uid="{93252F36-A5E2-4977-9F02-CC7D5D023029}"/>
    <cellStyle name="Normal 4 6 4 3 2 3 2" xfId="17646" xr:uid="{3DFFAC15-5653-4149-BF54-5B3A64F30F95}"/>
    <cellStyle name="Normal 4 6 4 3 2 4" xfId="8539" xr:uid="{76FD4002-15D5-4C47-ACBA-24929A238FE0}"/>
    <cellStyle name="Normal 4 6 4 3 2 4 2" xfId="17647" xr:uid="{713C68BC-AAAB-44BB-8E3C-C19A4A848E28}"/>
    <cellStyle name="Normal 4 6 4 3 2 5" xfId="8540" xr:uid="{E4F61004-B756-407A-B36F-3028451FF51A}"/>
    <cellStyle name="Normal 4 6 4 3 2 5 2" xfId="17648" xr:uid="{215D8DA4-8D4B-47A8-808B-DA0ADB9A38B6}"/>
    <cellStyle name="Normal 4 6 4 3 2 6" xfId="17642" xr:uid="{59DF3B6D-4312-4F95-A5EC-681CCD4A14BD}"/>
    <cellStyle name="Normal 4 6 4 3 3" xfId="8541" xr:uid="{C299C4A5-1B04-4787-940A-327E8DFFBC33}"/>
    <cellStyle name="Normal 4 6 4 3 3 2" xfId="8542" xr:uid="{5869C81D-4B49-4698-9489-84B7D2CBD4A8}"/>
    <cellStyle name="Normal 4 6 4 3 3 2 2" xfId="8543" xr:uid="{5690BB5A-823B-4DC1-8A73-ED5E0D6CDB0D}"/>
    <cellStyle name="Normal 4 6 4 3 3 2 2 2" xfId="17651" xr:uid="{33CEB6A0-1503-4210-9A0F-2051381BBA20}"/>
    <cellStyle name="Normal 4 6 4 3 3 2 3" xfId="8544" xr:uid="{542BAD85-5DCC-4C81-92C8-AE8331536536}"/>
    <cellStyle name="Normal 4 6 4 3 3 2 3 2" xfId="17652" xr:uid="{37BC6E2E-4518-42C6-AEAA-29B1A5AD937D}"/>
    <cellStyle name="Normal 4 6 4 3 3 2 4" xfId="17650" xr:uid="{84237155-96BC-4B1A-B3D3-E54227BB889A}"/>
    <cellStyle name="Normal 4 6 4 3 3 3" xfId="8545" xr:uid="{23E360A0-3404-4DB2-B053-B1EF4889A04E}"/>
    <cellStyle name="Normal 4 6 4 3 3 3 2" xfId="17653" xr:uid="{C406FB86-80B4-4CE2-817C-634090C721B6}"/>
    <cellStyle name="Normal 4 6 4 3 3 4" xfId="8546" xr:uid="{10435BED-1242-4302-8C04-3597D91F293D}"/>
    <cellStyle name="Normal 4 6 4 3 3 4 2" xfId="17654" xr:uid="{DCD82A7E-6CE5-4628-A4AE-05B17675C9B0}"/>
    <cellStyle name="Normal 4 6 4 3 3 5" xfId="8547" xr:uid="{7450D4A5-CBC2-423F-8151-DEBC61A218DB}"/>
    <cellStyle name="Normal 4 6 4 3 3 5 2" xfId="17655" xr:uid="{F8E2EBB4-9701-467B-A452-086BCB5B9331}"/>
    <cellStyle name="Normal 4 6 4 3 3 6" xfId="17649" xr:uid="{632D0480-78E8-43AE-BE63-0A62D0837DFE}"/>
    <cellStyle name="Normal 4 6 4 3 4" xfId="8548" xr:uid="{FE75FBF0-30DD-4D7F-BABD-5DF2DB5FE7E7}"/>
    <cellStyle name="Normal 4 6 4 3 4 2" xfId="8549" xr:uid="{7B20F412-BE92-4B17-ADB9-6414358FE7AF}"/>
    <cellStyle name="Normal 4 6 4 3 4 2 2" xfId="17657" xr:uid="{804F05DD-AA64-432A-8ADF-FB65E97AAD03}"/>
    <cellStyle name="Normal 4 6 4 3 4 3" xfId="8550" xr:uid="{04D6CC72-329A-4BE9-8FDD-D48FE0432A68}"/>
    <cellStyle name="Normal 4 6 4 3 4 3 2" xfId="17658" xr:uid="{0D4743E6-5ED6-481D-90B3-593E53FE9656}"/>
    <cellStyle name="Normal 4 6 4 3 4 4" xfId="17656" xr:uid="{57DE3381-7237-435E-A7A8-8D70C65A9BBE}"/>
    <cellStyle name="Normal 4 6 4 3 5" xfId="8551" xr:uid="{A65778E0-020C-4E0D-87B6-70894E2A8F97}"/>
    <cellStyle name="Normal 4 6 4 3 5 2" xfId="17659" xr:uid="{7841404F-23F1-4041-B196-B6D6E2B1DF06}"/>
    <cellStyle name="Normal 4 6 4 3 6" xfId="8552" xr:uid="{81F5F483-6FB1-4FE8-BDA8-14FD3CB371AD}"/>
    <cellStyle name="Normal 4 6 4 3 6 2" xfId="17660" xr:uid="{2692EAD8-72AC-430B-8DCB-C15266208B3B}"/>
    <cellStyle name="Normal 4 6 4 3 7" xfId="8553" xr:uid="{FDD927D1-3F07-4C61-87CD-BDF648A988C7}"/>
    <cellStyle name="Normal 4 6 4 3 7 2" xfId="17661" xr:uid="{EB95AF3D-B12A-4319-8A50-0FFDDD76C44F}"/>
    <cellStyle name="Normal 4 6 4 3 8" xfId="17641" xr:uid="{87F495E3-DD75-418E-9B4F-E7EBE16F22CD}"/>
    <cellStyle name="Normal 4 6 4 4" xfId="8554" xr:uid="{F48B0054-AF60-4BC7-BFDF-74F9903750EA}"/>
    <cellStyle name="Normal 4 6 4 4 2" xfId="8555" xr:uid="{59F7F846-118E-4E0D-AC8C-86D2BB4E1916}"/>
    <cellStyle name="Normal 4 6 4 4 2 2" xfId="8556" xr:uid="{FDB047E9-FCB9-45C5-8EEC-F0684D538818}"/>
    <cellStyle name="Normal 4 6 4 4 2 2 2" xfId="17664" xr:uid="{D49FCF89-24D9-462F-B58E-65D398725A51}"/>
    <cellStyle name="Normal 4 6 4 4 2 3" xfId="8557" xr:uid="{B8D4FFCE-B726-44A9-974E-2C11CD781A1B}"/>
    <cellStyle name="Normal 4 6 4 4 2 3 2" xfId="17665" xr:uid="{317D8451-C636-46F3-9B81-B9C1BED557BF}"/>
    <cellStyle name="Normal 4 6 4 4 2 4" xfId="17663" xr:uid="{AB8B9484-93CA-4309-9547-9D624F4C4916}"/>
    <cellStyle name="Normal 4 6 4 4 3" xfId="8558" xr:uid="{08193AD7-F72B-486D-8C95-CE0D460B95FA}"/>
    <cellStyle name="Normal 4 6 4 4 3 2" xfId="17666" xr:uid="{444454E7-A4C0-42B6-BEBF-B82352F4D6B8}"/>
    <cellStyle name="Normal 4 6 4 4 4" xfId="8559" xr:uid="{B48C6BB2-684B-4B72-AC1D-BAA65AF366C7}"/>
    <cellStyle name="Normal 4 6 4 4 4 2" xfId="17667" xr:uid="{FAE4C66B-E23A-4DC1-8296-46E4A48B4FE1}"/>
    <cellStyle name="Normal 4 6 4 4 5" xfId="8560" xr:uid="{A6B61343-D108-4D66-864E-6802BBAE14F0}"/>
    <cellStyle name="Normal 4 6 4 4 5 2" xfId="17668" xr:uid="{A078AED2-8707-4F3F-A04C-4617FCA1BAD6}"/>
    <cellStyle name="Normal 4 6 4 4 6" xfId="17662" xr:uid="{4DC51179-DFAF-415F-BBF0-FAF0C953D7D0}"/>
    <cellStyle name="Normal 4 6 4 5" xfId="8561" xr:uid="{D08FA345-EBF0-4C30-BF10-1016EDD48B18}"/>
    <cellStyle name="Normal 4 6 4 5 2" xfId="8562" xr:uid="{BCF9CB31-9393-45E5-9D47-23A4354BB27D}"/>
    <cellStyle name="Normal 4 6 4 5 2 2" xfId="8563" xr:uid="{05AD8421-D89C-4BA9-88DC-A7CA4CB621E3}"/>
    <cellStyle name="Normal 4 6 4 5 2 2 2" xfId="17671" xr:uid="{E69D0C94-5239-4326-AB72-FA32BF06864D}"/>
    <cellStyle name="Normal 4 6 4 5 2 3" xfId="8564" xr:uid="{D101F694-63DC-4386-809A-E4A383FD943A}"/>
    <cellStyle name="Normal 4 6 4 5 2 3 2" xfId="17672" xr:uid="{B5185842-F3A9-46AC-9325-9D22C71DCA2C}"/>
    <cellStyle name="Normal 4 6 4 5 2 4" xfId="17670" xr:uid="{D8760A37-B2E7-473A-A1F0-D4D4AFB10BDD}"/>
    <cellStyle name="Normal 4 6 4 5 3" xfId="8565" xr:uid="{4C95E681-0E8B-444F-BEFD-327B37F6318F}"/>
    <cellStyle name="Normal 4 6 4 5 3 2" xfId="17673" xr:uid="{E2E2886E-90E2-4482-A3FF-9F8B88D282E5}"/>
    <cellStyle name="Normal 4 6 4 5 4" xfId="8566" xr:uid="{B59F1378-661D-4BF9-AC90-5F37C9F1DA0F}"/>
    <cellStyle name="Normal 4 6 4 5 4 2" xfId="17674" xr:uid="{57EF542C-5412-48BD-B3E6-4B4A680820A9}"/>
    <cellStyle name="Normal 4 6 4 5 5" xfId="8567" xr:uid="{38744422-4556-4500-BF5D-249651906AC1}"/>
    <cellStyle name="Normal 4 6 4 5 5 2" xfId="17675" xr:uid="{60593E08-5528-4D89-ABFB-68B861FB9AC7}"/>
    <cellStyle name="Normal 4 6 4 5 6" xfId="17669" xr:uid="{5865F78F-511D-439C-A27B-00CD71CEB118}"/>
    <cellStyle name="Normal 4 6 4 6" xfId="8568" xr:uid="{7A49065B-4629-45CB-958A-95DA1F7923AF}"/>
    <cellStyle name="Normal 4 6 4 6 2" xfId="8569" xr:uid="{506A297F-3690-4184-A8FF-8257DCCF46BE}"/>
    <cellStyle name="Normal 4 6 4 6 2 2" xfId="17677" xr:uid="{4F15E85D-21C2-43F2-BAE4-6CB7D757047A}"/>
    <cellStyle name="Normal 4 6 4 6 3" xfId="8570" xr:uid="{209BF4B1-AD14-4AC4-B107-2D6C3835215C}"/>
    <cellStyle name="Normal 4 6 4 6 3 2" xfId="17678" xr:uid="{664AECB2-27B1-43C9-8714-8A614BBC24EF}"/>
    <cellStyle name="Normal 4 6 4 6 4" xfId="17676" xr:uid="{654FB7C0-C3B3-43DB-8B70-741ADB377D7C}"/>
    <cellStyle name="Normal 4 6 4 7" xfId="8571" xr:uid="{B0757D3B-5EE5-4D80-B41B-67081F1609FE}"/>
    <cellStyle name="Normal 4 6 4 7 2" xfId="17679" xr:uid="{FE290A67-C5A0-47D7-9349-F4412BBF9BB2}"/>
    <cellStyle name="Normal 4 6 4 8" xfId="8572" xr:uid="{3A294B03-DB6F-4A1D-8255-5C25BD515C2D}"/>
    <cellStyle name="Normal 4 6 4 8 2" xfId="17680" xr:uid="{C63EE4CD-95F7-4B45-8761-9FE6EBBC9087}"/>
    <cellStyle name="Normal 4 6 4 9" xfId="8573" xr:uid="{25127F6D-C85C-40B5-9F16-2AE293ADBCA8}"/>
    <cellStyle name="Normal 4 6 4 9 2" xfId="17681" xr:uid="{8F1FDE5E-1F4D-4EE7-B929-551762CBD92C}"/>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2 2" xfId="17686" xr:uid="{2222A1EC-85FA-485D-B61B-BCDDD2011038}"/>
    <cellStyle name="Normal 4 6 5 2 2 2 3" xfId="8579" xr:uid="{BBB6E591-315B-47F5-BBB2-4D92DD2DCE80}"/>
    <cellStyle name="Normal 4 6 5 2 2 2 3 2" xfId="17687" xr:uid="{3294C2DC-DB9D-4616-8960-9C963060053B}"/>
    <cellStyle name="Normal 4 6 5 2 2 2 4" xfId="17685" xr:uid="{83058148-5E4A-4ED1-B8F7-E719CBB78E06}"/>
    <cellStyle name="Normal 4 6 5 2 2 3" xfId="8580" xr:uid="{061F3C4A-3A4B-497F-AB42-3D614622730B}"/>
    <cellStyle name="Normal 4 6 5 2 2 3 2" xfId="17688" xr:uid="{F8C503C7-5E40-451F-8766-CA0E5938C354}"/>
    <cellStyle name="Normal 4 6 5 2 2 4" xfId="8581" xr:uid="{AA8D6D9A-EE1B-464F-B5FD-35ABF448887E}"/>
    <cellStyle name="Normal 4 6 5 2 2 4 2" xfId="17689" xr:uid="{DBD1A52D-949F-42BB-8F33-A2B86284C836}"/>
    <cellStyle name="Normal 4 6 5 2 2 5" xfId="8582" xr:uid="{F3C20A3B-6502-4E8C-9464-BC280159BC73}"/>
    <cellStyle name="Normal 4 6 5 2 2 5 2" xfId="17690" xr:uid="{E6795F9F-107E-421D-A04C-20C670299943}"/>
    <cellStyle name="Normal 4 6 5 2 2 6" xfId="17684" xr:uid="{6DCD2BCE-6843-43C5-8528-690E6CB8E4A9}"/>
    <cellStyle name="Normal 4 6 5 2 3" xfId="8583" xr:uid="{73E03381-D206-4B2A-93C0-ADF2DD415476}"/>
    <cellStyle name="Normal 4 6 5 2 3 2" xfId="8584" xr:uid="{33D0F102-2DAC-4F6C-A07F-FC41F7C34EB6}"/>
    <cellStyle name="Normal 4 6 5 2 3 2 2" xfId="8585" xr:uid="{1A9B1136-6059-4EA0-96D3-D278860A249C}"/>
    <cellStyle name="Normal 4 6 5 2 3 2 2 2" xfId="17693" xr:uid="{F407D0CE-A256-4340-9FE3-C8D4814BC294}"/>
    <cellStyle name="Normal 4 6 5 2 3 2 3" xfId="8586" xr:uid="{F96EB16B-29DE-40C4-8406-7D3C36C6C8F1}"/>
    <cellStyle name="Normal 4 6 5 2 3 2 3 2" xfId="17694" xr:uid="{55DB681F-41F9-4AD5-9727-96E493AD3044}"/>
    <cellStyle name="Normal 4 6 5 2 3 2 4" xfId="17692" xr:uid="{F3796B24-C312-4DDA-A9CF-A8D492A10CB3}"/>
    <cellStyle name="Normal 4 6 5 2 3 3" xfId="8587" xr:uid="{7990E145-0639-43E3-8234-F8480954C09F}"/>
    <cellStyle name="Normal 4 6 5 2 3 3 2" xfId="17695" xr:uid="{12E8772A-B039-4D03-A164-CEE2728A399C}"/>
    <cellStyle name="Normal 4 6 5 2 3 4" xfId="8588" xr:uid="{86BE10CF-2117-4BFE-B023-D1A4F150F539}"/>
    <cellStyle name="Normal 4 6 5 2 3 4 2" xfId="17696" xr:uid="{71EA08BC-E3CA-49F5-BB17-EA13A09AB24A}"/>
    <cellStyle name="Normal 4 6 5 2 3 5" xfId="8589" xr:uid="{D00B8E17-877F-46C6-A4CE-06AA90471CA6}"/>
    <cellStyle name="Normal 4 6 5 2 3 5 2" xfId="17697" xr:uid="{9EAA3810-03D9-4BA1-86A3-A4685B27C673}"/>
    <cellStyle name="Normal 4 6 5 2 3 6" xfId="17691" xr:uid="{2ECAA4B8-4F77-4BA9-B673-738FDD01DB45}"/>
    <cellStyle name="Normal 4 6 5 2 4" xfId="8590" xr:uid="{95DA7999-6776-48E5-815D-4386EAFD7D75}"/>
    <cellStyle name="Normal 4 6 5 2 4 2" xfId="8591" xr:uid="{CA9CDC9E-CE3F-4102-B178-26C044370234}"/>
    <cellStyle name="Normal 4 6 5 2 4 2 2" xfId="17699" xr:uid="{FB673BDB-BF83-4694-A8AF-CB928958B3CB}"/>
    <cellStyle name="Normal 4 6 5 2 4 3" xfId="8592" xr:uid="{5ECED7CB-4F9C-48B5-9BC0-AC1E8DC49A59}"/>
    <cellStyle name="Normal 4 6 5 2 4 3 2" xfId="17700" xr:uid="{CE73B247-AFC2-4CF2-B94B-53AB0506FEB9}"/>
    <cellStyle name="Normal 4 6 5 2 4 4" xfId="17698" xr:uid="{8C480DCD-F0DC-4B0A-9FEC-12BC2698F889}"/>
    <cellStyle name="Normal 4 6 5 2 5" xfId="8593" xr:uid="{B9450E78-4D60-47F1-B6C0-3B09663ED2DB}"/>
    <cellStyle name="Normal 4 6 5 2 5 2" xfId="17701" xr:uid="{729C621A-E74E-4A2A-A9CC-D17410497571}"/>
    <cellStyle name="Normal 4 6 5 2 6" xfId="8594" xr:uid="{74AE3ABC-0E4D-4C00-891B-ACE7F02D97D8}"/>
    <cellStyle name="Normal 4 6 5 2 6 2" xfId="17702" xr:uid="{6FB65C66-274B-41CD-BA0C-02251CB7CD01}"/>
    <cellStyle name="Normal 4 6 5 2 7" xfId="8595" xr:uid="{A4924333-EE86-4FBE-87C3-C4D707163EFE}"/>
    <cellStyle name="Normal 4 6 5 2 7 2" xfId="17703" xr:uid="{55967478-F775-4F0B-BA77-793037B8657F}"/>
    <cellStyle name="Normal 4 6 5 2 8" xfId="17683" xr:uid="{80502592-30FB-4106-B9FE-4135FB1B975D}"/>
    <cellStyle name="Normal 4 6 5 3" xfId="8596" xr:uid="{6161F6FB-4FFB-464A-9E67-EF4DB56756AA}"/>
    <cellStyle name="Normal 4 6 5 3 2" xfId="8597" xr:uid="{C7D79BEC-13D3-47FE-A2C9-3C4C101B6504}"/>
    <cellStyle name="Normal 4 6 5 3 2 2" xfId="8598" xr:uid="{9692F7DF-2B7A-418D-A3EF-3C679EFB3169}"/>
    <cellStyle name="Normal 4 6 5 3 2 2 2" xfId="17706" xr:uid="{ECD9D5C3-F8F2-41B8-9FD4-E43C9AF80437}"/>
    <cellStyle name="Normal 4 6 5 3 2 3" xfId="8599" xr:uid="{B59B6F04-25B5-4252-9B82-9CFFAA01536A}"/>
    <cellStyle name="Normal 4 6 5 3 2 3 2" xfId="17707" xr:uid="{32F678B6-97ED-460B-9624-F68FA21AD7E2}"/>
    <cellStyle name="Normal 4 6 5 3 2 4" xfId="17705" xr:uid="{4F2E30DA-825F-40D4-804A-B8B8C33EA78D}"/>
    <cellStyle name="Normal 4 6 5 3 3" xfId="8600" xr:uid="{0B3AFF4D-8C99-4688-B6D4-357D479BFADD}"/>
    <cellStyle name="Normal 4 6 5 3 3 2" xfId="17708" xr:uid="{B104A6F5-87AD-4A0E-80D5-C0ECBB0B43BF}"/>
    <cellStyle name="Normal 4 6 5 3 4" xfId="8601" xr:uid="{4463BDBF-CE53-45FE-AE4E-89C0758364E9}"/>
    <cellStyle name="Normal 4 6 5 3 4 2" xfId="17709" xr:uid="{3749F504-D20A-4445-8484-AF3950DB2BF1}"/>
    <cellStyle name="Normal 4 6 5 3 5" xfId="8602" xr:uid="{4DB5C318-806A-43C7-A5A0-03CD6B937844}"/>
    <cellStyle name="Normal 4 6 5 3 5 2" xfId="17710" xr:uid="{265F151B-BF4C-4A24-A3BF-3A201276F001}"/>
    <cellStyle name="Normal 4 6 5 3 6" xfId="17704" xr:uid="{8E982143-7A4A-4B7B-8856-89310147B4FD}"/>
    <cellStyle name="Normal 4 6 5 4" xfId="8603" xr:uid="{7DF05856-0B25-4336-A61E-FE712244A31B}"/>
    <cellStyle name="Normal 4 6 5 4 2" xfId="8604" xr:uid="{CAFFB33E-7073-484A-A8FB-4218690167CC}"/>
    <cellStyle name="Normal 4 6 5 4 2 2" xfId="8605" xr:uid="{2F29C306-9568-4AC3-B629-DE4618FF3A93}"/>
    <cellStyle name="Normal 4 6 5 4 2 2 2" xfId="17713" xr:uid="{6A2EDBA2-8B70-4205-A227-8B338B684ACF}"/>
    <cellStyle name="Normal 4 6 5 4 2 3" xfId="8606" xr:uid="{16EAE76A-9FD3-42EA-84B3-845065B552B9}"/>
    <cellStyle name="Normal 4 6 5 4 2 3 2" xfId="17714" xr:uid="{6BA90FCE-2EE0-4D9C-859B-1422966063BD}"/>
    <cellStyle name="Normal 4 6 5 4 2 4" xfId="17712" xr:uid="{A095E71E-CBB3-42ED-B595-96D28B9CC31A}"/>
    <cellStyle name="Normal 4 6 5 4 3" xfId="8607" xr:uid="{2F1E4B81-5BCB-4F0E-87B2-1E4574C7C8FE}"/>
    <cellStyle name="Normal 4 6 5 4 3 2" xfId="17715" xr:uid="{1FF0E910-8203-4152-95A3-3336BAB78E33}"/>
    <cellStyle name="Normal 4 6 5 4 4" xfId="8608" xr:uid="{5204B1BA-5045-4BEB-A6C9-29C2B31719B6}"/>
    <cellStyle name="Normal 4 6 5 4 4 2" xfId="17716" xr:uid="{382A9BF0-3CF3-4490-BD41-B79D0533F948}"/>
    <cellStyle name="Normal 4 6 5 4 5" xfId="8609" xr:uid="{C4EBC4D5-622D-458D-B303-9083275FC4DF}"/>
    <cellStyle name="Normal 4 6 5 4 5 2" xfId="17717" xr:uid="{A801BA05-5662-43A2-BAED-E9C45A395ABC}"/>
    <cellStyle name="Normal 4 6 5 4 6" xfId="17711" xr:uid="{A4273992-67C2-41B4-A5CB-901C6CD2AF0A}"/>
    <cellStyle name="Normal 4 6 5 5" xfId="8610" xr:uid="{2CAC881A-E472-4344-ABDD-1F707F00BB4D}"/>
    <cellStyle name="Normal 4 6 5 5 2" xfId="8611" xr:uid="{474CF92B-57D2-4A3E-80EA-4A48EDFF3377}"/>
    <cellStyle name="Normal 4 6 5 5 2 2" xfId="17719" xr:uid="{0BADF71A-17E1-4306-B2A9-374D86D5A3B9}"/>
    <cellStyle name="Normal 4 6 5 5 3" xfId="8612" xr:uid="{6ACB1EC8-9756-4D48-A6D5-6E12755724DA}"/>
    <cellStyle name="Normal 4 6 5 5 3 2" xfId="17720" xr:uid="{B06DCB1C-CA57-4B3E-B407-ACCB2FC0410C}"/>
    <cellStyle name="Normal 4 6 5 5 4" xfId="17718" xr:uid="{63568979-9759-4205-A761-0C5EFEBC3F23}"/>
    <cellStyle name="Normal 4 6 5 6" xfId="8613" xr:uid="{ACA0E828-0881-4FB5-9840-4DA583ECAE94}"/>
    <cellStyle name="Normal 4 6 5 6 2" xfId="17721" xr:uid="{D20ECE80-B05A-492A-9329-6EFB2E9A80BC}"/>
    <cellStyle name="Normal 4 6 5 7" xfId="8614" xr:uid="{03E9F855-E533-4FD8-A76F-672FAA136351}"/>
    <cellStyle name="Normal 4 6 5 7 2" xfId="17722" xr:uid="{B68E65DA-0949-41D7-A8DD-0B2E4D47F701}"/>
    <cellStyle name="Normal 4 6 5 8" xfId="8615" xr:uid="{52E01617-FA54-4BE5-9F46-F8F816C1B87E}"/>
    <cellStyle name="Normal 4 6 5 8 2" xfId="17723" xr:uid="{58140A8F-F348-4C6F-8737-69F1EBE8D02A}"/>
    <cellStyle name="Normal 4 6 5 9" xfId="17682" xr:uid="{74C6D6C0-A135-490C-854D-E7EE775C0EE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2 2" xfId="17727" xr:uid="{EFA72A6A-5FB8-403A-A501-8B2E1E10CE27}"/>
    <cellStyle name="Normal 4 6 6 2 2 3" xfId="8620" xr:uid="{90EAE324-0E86-40FE-89B1-6F4EBFE7C761}"/>
    <cellStyle name="Normal 4 6 6 2 2 3 2" xfId="17728" xr:uid="{5D427694-7EA0-4FF6-9C6D-82B8DCC6F83F}"/>
    <cellStyle name="Normal 4 6 6 2 2 4" xfId="17726" xr:uid="{2A75DC88-0A86-4319-80F4-ECE0E0EED138}"/>
    <cellStyle name="Normal 4 6 6 2 3" xfId="8621" xr:uid="{1EF08211-621F-4A66-AAC5-6FFA09B4333D}"/>
    <cellStyle name="Normal 4 6 6 2 3 2" xfId="17729" xr:uid="{5A6B86AD-4F8D-4B03-AB6C-C2343D419C3C}"/>
    <cellStyle name="Normal 4 6 6 2 4" xfId="8622" xr:uid="{6E9EEA24-EAB0-4D53-96AA-9075066E7ECC}"/>
    <cellStyle name="Normal 4 6 6 2 4 2" xfId="17730" xr:uid="{4DEF1662-3D53-4BBE-BA50-3D6114B9DAAB}"/>
    <cellStyle name="Normal 4 6 6 2 5" xfId="8623" xr:uid="{649D5F7F-B8E5-4AC9-B864-FF684C2F6D88}"/>
    <cellStyle name="Normal 4 6 6 2 5 2" xfId="17731" xr:uid="{A0D039D8-81DF-4E84-B7E3-B2A9F8262E04}"/>
    <cellStyle name="Normal 4 6 6 2 6" xfId="17725" xr:uid="{B0CE954D-864A-419C-B858-077208C8050B}"/>
    <cellStyle name="Normal 4 6 6 3" xfId="8624" xr:uid="{5FCC64BA-0FDD-42F1-801A-8C8EC6842439}"/>
    <cellStyle name="Normal 4 6 6 3 2" xfId="8625" xr:uid="{FB9DE7EB-1844-4FE1-838A-BE3BB53A805A}"/>
    <cellStyle name="Normal 4 6 6 3 2 2" xfId="8626" xr:uid="{2994C8D7-6796-4328-84F3-BEF23522ABF6}"/>
    <cellStyle name="Normal 4 6 6 3 2 2 2" xfId="17734" xr:uid="{BDDF9398-C4E7-4FE8-9F3C-9C035872B269}"/>
    <cellStyle name="Normal 4 6 6 3 2 3" xfId="8627" xr:uid="{47BD36CA-C059-40C1-8DBC-759E4B7EF1C1}"/>
    <cellStyle name="Normal 4 6 6 3 2 3 2" xfId="17735" xr:uid="{CC3DA841-E0E1-42EA-BE11-6883BDD18614}"/>
    <cellStyle name="Normal 4 6 6 3 2 4" xfId="17733" xr:uid="{AE0FDECE-F65E-4204-92C3-0AA492719512}"/>
    <cellStyle name="Normal 4 6 6 3 3" xfId="8628" xr:uid="{52907297-5E18-43AC-AA84-B6F73442346C}"/>
    <cellStyle name="Normal 4 6 6 3 3 2" xfId="17736" xr:uid="{29F3D39E-51B0-4643-95ED-70633C678F9B}"/>
    <cellStyle name="Normal 4 6 6 3 4" xfId="8629" xr:uid="{1D1A1E8D-46E4-4CD5-93D1-47B642CEEA90}"/>
    <cellStyle name="Normal 4 6 6 3 4 2" xfId="17737" xr:uid="{3DE92962-47E3-4819-A63C-073932027994}"/>
    <cellStyle name="Normal 4 6 6 3 5" xfId="8630" xr:uid="{5173ADB6-2C8D-4CB5-9EE5-F83C4C214A22}"/>
    <cellStyle name="Normal 4 6 6 3 5 2" xfId="17738" xr:uid="{2D224200-B7E6-4D82-BD97-B5E46135A112}"/>
    <cellStyle name="Normal 4 6 6 3 6" xfId="17732" xr:uid="{BBFDCA13-6FD7-41BF-8313-A4AD90FFCF58}"/>
    <cellStyle name="Normal 4 6 6 4" xfId="8631" xr:uid="{456951CB-F7E6-439A-9C9F-1AE58294406C}"/>
    <cellStyle name="Normal 4 6 6 4 2" xfId="8632" xr:uid="{D0D69D08-1EBE-44B3-A711-B56B9110BB1F}"/>
    <cellStyle name="Normal 4 6 6 4 2 2" xfId="17740" xr:uid="{F38F49C1-47F1-4BDF-AC11-ED06FB394450}"/>
    <cellStyle name="Normal 4 6 6 4 3" xfId="8633" xr:uid="{C6C30793-B3AE-4C8D-8297-5B9BFB2007A1}"/>
    <cellStyle name="Normal 4 6 6 4 3 2" xfId="17741" xr:uid="{C9A99E45-4039-439B-B4C6-02482649E04B}"/>
    <cellStyle name="Normal 4 6 6 4 4" xfId="17739" xr:uid="{6C0FF834-9646-40DD-8039-FCAC8C271BF7}"/>
    <cellStyle name="Normal 4 6 6 5" xfId="8634" xr:uid="{0A219C18-610A-4826-A641-FE9D84F2B56C}"/>
    <cellStyle name="Normal 4 6 6 5 2" xfId="17742" xr:uid="{5F509EF8-F6A4-4678-BEFB-5FAA204C878C}"/>
    <cellStyle name="Normal 4 6 6 6" xfId="8635" xr:uid="{7E3B917E-208F-4EE3-B13E-2BCD1563F4B4}"/>
    <cellStyle name="Normal 4 6 6 6 2" xfId="17743" xr:uid="{80C9EB81-68E2-42EA-BDB9-D7EFA1E4C00E}"/>
    <cellStyle name="Normal 4 6 6 7" xfId="8636" xr:uid="{BDB131C2-4B37-4233-B950-DB8BB2AF5B22}"/>
    <cellStyle name="Normal 4 6 6 7 2" xfId="17744" xr:uid="{8A34840F-080E-4DF9-B36C-130D1AB936DD}"/>
    <cellStyle name="Normal 4 6 6 8" xfId="17724" xr:uid="{A4CEE8F2-C509-4CEC-A771-7B8427ECFB54}"/>
    <cellStyle name="Normal 4 6 7" xfId="8637" xr:uid="{17654041-73CC-4F02-B71A-E4F5E5AB2513}"/>
    <cellStyle name="Normal 4 6 7 2" xfId="8638" xr:uid="{BD602905-3D25-44E8-AB33-4ECF6FA4DC11}"/>
    <cellStyle name="Normal 4 6 7 2 2" xfId="8639" xr:uid="{FCEB13EC-AB61-492E-9668-6546F292444A}"/>
    <cellStyle name="Normal 4 6 7 2 2 2" xfId="17747" xr:uid="{55715C3F-DE2C-4373-8D6A-2D836ECF1BB1}"/>
    <cellStyle name="Normal 4 6 7 2 3" xfId="8640" xr:uid="{ADE0A896-97C5-4FE8-AECC-9DD964268E22}"/>
    <cellStyle name="Normal 4 6 7 2 3 2" xfId="17748" xr:uid="{3F943385-C52B-47F0-A941-0E53CCAF1953}"/>
    <cellStyle name="Normal 4 6 7 2 4" xfId="17746" xr:uid="{B2C5E75F-FDE6-4208-AF34-DC9207B66E46}"/>
    <cellStyle name="Normal 4 6 7 3" xfId="8641" xr:uid="{D2D65C56-CE59-4BCE-8F45-F033481FE866}"/>
    <cellStyle name="Normal 4 6 7 3 2" xfId="17749" xr:uid="{C528D7D3-27BC-426D-82BB-0556C04C8298}"/>
    <cellStyle name="Normal 4 6 7 4" xfId="8642" xr:uid="{3A4A120D-B9CC-453F-A9F6-32CECBE59695}"/>
    <cellStyle name="Normal 4 6 7 4 2" xfId="17750" xr:uid="{35394599-D194-4F7E-93AC-11B6CBD7AB91}"/>
    <cellStyle name="Normal 4 6 7 5" xfId="8643" xr:uid="{A67AADFF-33B5-4864-BF0D-2C9311E692EC}"/>
    <cellStyle name="Normal 4 6 7 5 2" xfId="17751" xr:uid="{EBA687E5-0A9A-4716-96D9-64AC6E76BE02}"/>
    <cellStyle name="Normal 4 6 7 6" xfId="17745" xr:uid="{8F3C6C46-F0DA-47AA-A99E-B174EA064190}"/>
    <cellStyle name="Normal 4 6 8" xfId="8644" xr:uid="{AEC2701E-6DF0-4D7C-A7E8-70F2A9EFFA14}"/>
    <cellStyle name="Normal 4 6 8 2" xfId="8645" xr:uid="{66D89EF1-9479-435A-8890-8F83CAF0646F}"/>
    <cellStyle name="Normal 4 6 8 2 2" xfId="8646" xr:uid="{DFFCC9AD-D6DC-4748-A8F8-0A1790A169DB}"/>
    <cellStyle name="Normal 4 6 8 2 2 2" xfId="17754" xr:uid="{BEA353A7-01C3-406A-BEFC-48C136F52585}"/>
    <cellStyle name="Normal 4 6 8 2 3" xfId="8647" xr:uid="{B2545A07-506B-4AD9-B5E1-C971F9AD1A45}"/>
    <cellStyle name="Normal 4 6 8 2 3 2" xfId="17755" xr:uid="{CF69B55A-66EB-44D0-966F-A0FFB29BA7F5}"/>
    <cellStyle name="Normal 4 6 8 2 4" xfId="17753" xr:uid="{9EA6334B-6D83-4909-B6A2-64EB61E8E63B}"/>
    <cellStyle name="Normal 4 6 8 3" xfId="8648" xr:uid="{6C8A4A00-8D55-4892-9446-484AB596D586}"/>
    <cellStyle name="Normal 4 6 8 3 2" xfId="17756" xr:uid="{D6A6F037-E440-4738-BFFB-52914B4D49EB}"/>
    <cellStyle name="Normal 4 6 8 4" xfId="8649" xr:uid="{B5060068-B832-4A20-A823-6F8382AB8652}"/>
    <cellStyle name="Normal 4 6 8 4 2" xfId="17757" xr:uid="{03EE5E5A-DBD1-4331-A6B1-B2A9E3F6165A}"/>
    <cellStyle name="Normal 4 6 8 5" xfId="8650" xr:uid="{6C1CAE12-E08D-451C-87C9-57B111ECC55F}"/>
    <cellStyle name="Normal 4 6 8 5 2" xfId="17758" xr:uid="{9C00E022-1D15-4AFA-BAC1-8CAC2807396D}"/>
    <cellStyle name="Normal 4 6 8 6" xfId="17752" xr:uid="{F06FC459-4C28-4F9C-BA03-0C53D51F8E39}"/>
    <cellStyle name="Normal 4 6 9" xfId="8651" xr:uid="{ED6866F0-513D-4B8E-9C65-CEBC777F1147}"/>
    <cellStyle name="Normal 4 6 9 2" xfId="8652" xr:uid="{0032854F-35FD-4BD2-993A-9B3FB8A84FB1}"/>
    <cellStyle name="Normal 4 6 9 2 2" xfId="17760" xr:uid="{A1C843D1-05E6-4B69-ABB9-9F250F90E87B}"/>
    <cellStyle name="Normal 4 6 9 3" xfId="8653" xr:uid="{B9FFE712-2940-4B34-8DAE-7CE2D7168D7B}"/>
    <cellStyle name="Normal 4 6 9 3 2" xfId="17761" xr:uid="{0A48D19B-96A1-4DB8-8F56-7B321F5F7DB6}"/>
    <cellStyle name="Normal 4 6 9 4" xfId="17759" xr:uid="{91EC8BFE-A1F0-4EE0-9F8C-58A6C5216FEC}"/>
    <cellStyle name="Normal 4 7" xfId="8654" xr:uid="{487F0660-5B07-40A1-8011-016C3C54B390}"/>
    <cellStyle name="Normal 4 7 10" xfId="17762" xr:uid="{7E903BA1-DC02-411B-8709-4C16D2399DAD}"/>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2 2" xfId="17767" xr:uid="{C8573A46-B5A6-4FEA-92E3-1D13E6CDD55A}"/>
    <cellStyle name="Normal 4 7 2 2 2 2 3" xfId="8660" xr:uid="{114970F5-2EFC-49F1-A847-A827492C1705}"/>
    <cellStyle name="Normal 4 7 2 2 2 2 3 2" xfId="17768" xr:uid="{7CCDBDF7-7CC8-405C-BA60-9292B70EEF8B}"/>
    <cellStyle name="Normal 4 7 2 2 2 2 4" xfId="17766" xr:uid="{344C7FE0-E5F1-47E5-BA89-661FD9848A5E}"/>
    <cellStyle name="Normal 4 7 2 2 2 3" xfId="8661" xr:uid="{938CE0A8-DFBA-48F8-95EC-C61A2868EFF3}"/>
    <cellStyle name="Normal 4 7 2 2 2 3 2" xfId="17769" xr:uid="{1DCDC2A6-7AB0-4D07-847C-2165D060A7D9}"/>
    <cellStyle name="Normal 4 7 2 2 2 4" xfId="8662" xr:uid="{8FDDECD6-8B97-4A62-B481-91FA91C4D413}"/>
    <cellStyle name="Normal 4 7 2 2 2 4 2" xfId="17770" xr:uid="{D58F7577-F914-4CAA-974C-21331A2CC56C}"/>
    <cellStyle name="Normal 4 7 2 2 2 5" xfId="8663" xr:uid="{41908A57-2CED-4563-8351-4E33593272B8}"/>
    <cellStyle name="Normal 4 7 2 2 2 5 2" xfId="17771" xr:uid="{88B7BCC5-3E43-4ECC-A012-744BE927C535}"/>
    <cellStyle name="Normal 4 7 2 2 2 6" xfId="17765" xr:uid="{1E452760-BD86-46DA-8A6E-31A98509D58C}"/>
    <cellStyle name="Normal 4 7 2 2 3" xfId="8664" xr:uid="{0DB7CEB9-BDBA-4E78-A894-86CE1609C11E}"/>
    <cellStyle name="Normal 4 7 2 2 3 2" xfId="8665" xr:uid="{78FA5341-2E77-4280-ACBA-7C72EB8C113E}"/>
    <cellStyle name="Normal 4 7 2 2 3 2 2" xfId="8666" xr:uid="{89389C40-5D8D-4DB8-B3C8-5A1A39BD4BB4}"/>
    <cellStyle name="Normal 4 7 2 2 3 2 2 2" xfId="17774" xr:uid="{8124C682-7C1D-455D-BEAE-D0F7080BA644}"/>
    <cellStyle name="Normal 4 7 2 2 3 2 3" xfId="8667" xr:uid="{20F3D71E-BA32-446D-BEB0-9173429B246F}"/>
    <cellStyle name="Normal 4 7 2 2 3 2 3 2" xfId="17775" xr:uid="{421B3FA6-BEA3-4915-BAC9-C98B3EFC1BFE}"/>
    <cellStyle name="Normal 4 7 2 2 3 2 4" xfId="17773" xr:uid="{F1EF105E-25CB-4C7F-9184-2FFF9437B572}"/>
    <cellStyle name="Normal 4 7 2 2 3 3" xfId="8668" xr:uid="{820B25C8-0A93-435F-B6A9-5A44138CFCA8}"/>
    <cellStyle name="Normal 4 7 2 2 3 3 2" xfId="17776" xr:uid="{7E9D6D0E-A3DC-459B-AFF6-823E0A12E0F8}"/>
    <cellStyle name="Normal 4 7 2 2 3 4" xfId="8669" xr:uid="{74899ED0-A4FE-43AB-906A-870850DF2BF6}"/>
    <cellStyle name="Normal 4 7 2 2 3 4 2" xfId="17777" xr:uid="{77825B8D-8701-4C60-BFB2-56616D540A1A}"/>
    <cellStyle name="Normal 4 7 2 2 3 5" xfId="8670" xr:uid="{F3B3655B-2A32-496B-8781-16502E32C6D7}"/>
    <cellStyle name="Normal 4 7 2 2 3 5 2" xfId="17778" xr:uid="{73212A67-106C-4C6A-B9B6-06A88CE229EF}"/>
    <cellStyle name="Normal 4 7 2 2 3 6" xfId="17772" xr:uid="{D2D6A99D-1749-4030-999A-E3CF6B02F236}"/>
    <cellStyle name="Normal 4 7 2 2 4" xfId="8671" xr:uid="{C0321215-6D44-41DE-8377-9A560460BD00}"/>
    <cellStyle name="Normal 4 7 2 2 4 2" xfId="8672" xr:uid="{6FC9202C-8927-49BB-BF8C-51A5A388864D}"/>
    <cellStyle name="Normal 4 7 2 2 4 2 2" xfId="17780" xr:uid="{4863EC05-F485-4836-9B09-D80D05949DD9}"/>
    <cellStyle name="Normal 4 7 2 2 4 3" xfId="8673" xr:uid="{3E19AD00-BBA8-42A0-9AFD-5424C7A134E3}"/>
    <cellStyle name="Normal 4 7 2 2 4 3 2" xfId="17781" xr:uid="{F6D50CBA-86B1-44AB-A67C-E71304B6A242}"/>
    <cellStyle name="Normal 4 7 2 2 4 4" xfId="17779" xr:uid="{D42FE15F-0C0E-465C-B084-60531E34C897}"/>
    <cellStyle name="Normal 4 7 2 2 5" xfId="8674" xr:uid="{FE626B96-0A7F-4670-A64D-6CAE7EF26908}"/>
    <cellStyle name="Normal 4 7 2 2 5 2" xfId="17782" xr:uid="{2192A80C-7220-4B97-A193-56F78CF827F9}"/>
    <cellStyle name="Normal 4 7 2 2 6" xfId="8675" xr:uid="{C7F565BC-B16D-42EA-B990-B3CECA878259}"/>
    <cellStyle name="Normal 4 7 2 2 6 2" xfId="17783" xr:uid="{F72ADBDF-25AD-4043-9F67-C55B1815C648}"/>
    <cellStyle name="Normal 4 7 2 2 7" xfId="8676" xr:uid="{97F35E63-BA5A-4404-A986-D398A9D5D453}"/>
    <cellStyle name="Normal 4 7 2 2 7 2" xfId="17784" xr:uid="{11B90CC5-CCDC-45D7-B26E-2B804270D3BE}"/>
    <cellStyle name="Normal 4 7 2 2 8" xfId="17764" xr:uid="{5FE78286-416A-4020-8975-AAD8191C6C12}"/>
    <cellStyle name="Normal 4 7 2 3" xfId="8677" xr:uid="{B68D5123-28B2-47C7-8EC1-D6A2B18092E5}"/>
    <cellStyle name="Normal 4 7 2 3 2" xfId="8678" xr:uid="{C35D40CF-EF63-4B60-8347-4B06CA8DAF39}"/>
    <cellStyle name="Normal 4 7 2 3 2 2" xfId="8679" xr:uid="{85343292-19B3-4802-AB6F-8C2A3912226A}"/>
    <cellStyle name="Normal 4 7 2 3 2 2 2" xfId="17787" xr:uid="{CECB3579-9CAC-4ADC-B65C-CC31F0026876}"/>
    <cellStyle name="Normal 4 7 2 3 2 3" xfId="8680" xr:uid="{73A315A3-0B45-4344-AE8D-98F36FE4DFA4}"/>
    <cellStyle name="Normal 4 7 2 3 2 3 2" xfId="17788" xr:uid="{C6C9E4C4-9A35-49C3-8E71-527827EE886A}"/>
    <cellStyle name="Normal 4 7 2 3 2 4" xfId="17786" xr:uid="{C56A130E-45F1-4BBC-B59B-BC2EE55FB625}"/>
    <cellStyle name="Normal 4 7 2 3 3" xfId="8681" xr:uid="{21CAA852-4E54-4C71-9473-CE08D55FD25B}"/>
    <cellStyle name="Normal 4 7 2 3 3 2" xfId="17789" xr:uid="{9B10317C-8745-4BC2-8E8E-90A4B5F47968}"/>
    <cellStyle name="Normal 4 7 2 3 4" xfId="8682" xr:uid="{9FC22DE7-3D66-41A0-84DF-130B504F75D3}"/>
    <cellStyle name="Normal 4 7 2 3 4 2" xfId="17790" xr:uid="{0D0E6873-6876-4672-A8BD-3C159646EA02}"/>
    <cellStyle name="Normal 4 7 2 3 5" xfId="8683" xr:uid="{080B99E8-BFA0-4CA6-B76B-1C48DB06DA1D}"/>
    <cellStyle name="Normal 4 7 2 3 5 2" xfId="17791" xr:uid="{0F20FF23-292A-493F-BCA6-10EE34EC03BA}"/>
    <cellStyle name="Normal 4 7 2 3 6" xfId="17785" xr:uid="{2E07D47D-A058-4F94-BFAC-4C23DB3C9324}"/>
    <cellStyle name="Normal 4 7 2 4" xfId="8684" xr:uid="{F6617DBD-E562-4ABF-8209-198AF5E40803}"/>
    <cellStyle name="Normal 4 7 2 4 2" xfId="8685" xr:uid="{19695A48-6BF1-4525-968D-00BAE778853F}"/>
    <cellStyle name="Normal 4 7 2 4 2 2" xfId="8686" xr:uid="{2A0D849C-E186-4FEB-908E-9DA3462A5F80}"/>
    <cellStyle name="Normal 4 7 2 4 2 2 2" xfId="17794" xr:uid="{79A5162E-27A0-4B9E-A9D3-5D400B3799D9}"/>
    <cellStyle name="Normal 4 7 2 4 2 3" xfId="8687" xr:uid="{E591C795-366E-491D-87C4-37D7A386449E}"/>
    <cellStyle name="Normal 4 7 2 4 2 3 2" xfId="17795" xr:uid="{8F9107AA-A1C5-43CC-B393-BF3D3CBAEA7D}"/>
    <cellStyle name="Normal 4 7 2 4 2 4" xfId="17793" xr:uid="{4A2310D6-322B-483F-808C-43CF411D4D08}"/>
    <cellStyle name="Normal 4 7 2 4 3" xfId="8688" xr:uid="{2D78B6E1-B583-4C5A-BF20-37713A9B0842}"/>
    <cellStyle name="Normal 4 7 2 4 3 2" xfId="17796" xr:uid="{30759CBA-CD06-4DD1-B69C-FD3DA5B205D6}"/>
    <cellStyle name="Normal 4 7 2 4 4" xfId="8689" xr:uid="{4645FBDB-15AC-4670-8C90-C09E9D47811B}"/>
    <cellStyle name="Normal 4 7 2 4 4 2" xfId="17797" xr:uid="{4392B53C-D050-4D67-A26F-11A782018063}"/>
    <cellStyle name="Normal 4 7 2 4 5" xfId="8690" xr:uid="{1B514CC2-FAFA-496F-8EE8-026653D8031F}"/>
    <cellStyle name="Normal 4 7 2 4 5 2" xfId="17798" xr:uid="{94295A02-42C1-4E76-8B1E-C5C6836BAC79}"/>
    <cellStyle name="Normal 4 7 2 4 6" xfId="17792" xr:uid="{C75E3564-5748-4225-B3D6-FCC0F6513B53}"/>
    <cellStyle name="Normal 4 7 2 5" xfId="8691" xr:uid="{FEF3169D-902A-4FB0-B3DA-3AB75551022D}"/>
    <cellStyle name="Normal 4 7 2 5 2" xfId="8692" xr:uid="{8B4684A0-1E88-428A-98B5-3B6AF76FB16F}"/>
    <cellStyle name="Normal 4 7 2 5 2 2" xfId="17800" xr:uid="{2B9AB65A-1AE1-47FC-A0FB-9638569E3523}"/>
    <cellStyle name="Normal 4 7 2 5 3" xfId="8693" xr:uid="{5A58C593-D6AB-4C1A-AE25-91F4CB9C73C3}"/>
    <cellStyle name="Normal 4 7 2 5 3 2" xfId="17801" xr:uid="{9F19FDDF-CC4F-47E8-B287-F6CDB436B1DB}"/>
    <cellStyle name="Normal 4 7 2 5 4" xfId="17799" xr:uid="{EE73B0E3-832D-41EC-B50F-81ED88446357}"/>
    <cellStyle name="Normal 4 7 2 6" xfId="8694" xr:uid="{1D6507B7-8E97-4082-B27F-0E94AE543062}"/>
    <cellStyle name="Normal 4 7 2 6 2" xfId="17802" xr:uid="{B82B1E1E-F3ED-41F2-BEE9-7012F24BC177}"/>
    <cellStyle name="Normal 4 7 2 7" xfId="8695" xr:uid="{64620D63-4578-48C1-8BA4-8B04302D8017}"/>
    <cellStyle name="Normal 4 7 2 7 2" xfId="17803" xr:uid="{F8E9A7AB-51D0-4FB1-B0A5-9F839CAEC0A4}"/>
    <cellStyle name="Normal 4 7 2 8" xfId="8696" xr:uid="{937FAB9C-6022-43E9-BA66-E13C6FA146AD}"/>
    <cellStyle name="Normal 4 7 2 8 2" xfId="17804" xr:uid="{526AD6E5-F8C6-48E7-BFD0-C6F55BEE81D1}"/>
    <cellStyle name="Normal 4 7 2 9" xfId="17763" xr:uid="{3F881C92-34CB-4E24-B33F-C23D99BEDBF7}"/>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2 2" xfId="17808" xr:uid="{F3FB601F-A032-4093-B724-C4F9FE418057}"/>
    <cellStyle name="Normal 4 7 3 2 2 3" xfId="8701" xr:uid="{C26B393E-8E21-4CA9-A4C2-AF5BA4A8E6D4}"/>
    <cellStyle name="Normal 4 7 3 2 2 3 2" xfId="17809" xr:uid="{0222189C-F562-4A05-A513-B8337D083522}"/>
    <cellStyle name="Normal 4 7 3 2 2 4" xfId="17807" xr:uid="{CF1CED63-A5A6-4128-88B6-2D1863C269A9}"/>
    <cellStyle name="Normal 4 7 3 2 3" xfId="8702" xr:uid="{1E1DE828-1FC4-4C59-AB71-CD03810F3324}"/>
    <cellStyle name="Normal 4 7 3 2 3 2" xfId="17810" xr:uid="{F4ECC138-20C5-4485-A59E-022DDA995265}"/>
    <cellStyle name="Normal 4 7 3 2 4" xfId="8703" xr:uid="{51CE40C4-B18C-4E71-9221-D4C2E7A4907B}"/>
    <cellStyle name="Normal 4 7 3 2 4 2" xfId="17811" xr:uid="{02C54144-5D6A-4631-B36B-4BAE972E90C6}"/>
    <cellStyle name="Normal 4 7 3 2 5" xfId="8704" xr:uid="{65B0C7AE-B881-4E6A-B81E-9F7F248029A6}"/>
    <cellStyle name="Normal 4 7 3 2 5 2" xfId="17812" xr:uid="{A6348772-6292-48C1-AE68-EABBD9F310D8}"/>
    <cellStyle name="Normal 4 7 3 2 6" xfId="17806" xr:uid="{348E85F5-81BD-459C-AF40-5E4CF7253462}"/>
    <cellStyle name="Normal 4 7 3 3" xfId="8705" xr:uid="{1AC75A81-7FA7-4EAA-BA0E-53EA52A96D1A}"/>
    <cellStyle name="Normal 4 7 3 3 2" xfId="8706" xr:uid="{5E9AFBF4-4186-4D80-BA9A-F368EE1A12BE}"/>
    <cellStyle name="Normal 4 7 3 3 2 2" xfId="8707" xr:uid="{4012D622-D4E9-4FBB-BC00-E92CFEF0EC4D}"/>
    <cellStyle name="Normal 4 7 3 3 2 2 2" xfId="17815" xr:uid="{10007618-113E-4F55-951C-5685146ACF88}"/>
    <cellStyle name="Normal 4 7 3 3 2 3" xfId="8708" xr:uid="{53BE5D50-D7E6-4276-8AB0-F1D4E18C976A}"/>
    <cellStyle name="Normal 4 7 3 3 2 3 2" xfId="17816" xr:uid="{D0D09A08-D157-4088-96D6-4CA821839B01}"/>
    <cellStyle name="Normal 4 7 3 3 2 4" xfId="17814" xr:uid="{36A2FAB0-EACF-4FD4-A3A9-7D82F6BA2DF8}"/>
    <cellStyle name="Normal 4 7 3 3 3" xfId="8709" xr:uid="{73014952-52BA-43C4-8229-56DA395C7682}"/>
    <cellStyle name="Normal 4 7 3 3 3 2" xfId="17817" xr:uid="{CC276395-D39A-4C8F-987C-5FE6F623EBAA}"/>
    <cellStyle name="Normal 4 7 3 3 4" xfId="8710" xr:uid="{2F1A5D2B-506D-4C61-8B25-D5FFDDFE644C}"/>
    <cellStyle name="Normal 4 7 3 3 4 2" xfId="17818" xr:uid="{58F08092-B8DB-424F-94FA-7C16B518480D}"/>
    <cellStyle name="Normal 4 7 3 3 5" xfId="8711" xr:uid="{79302B1D-DAFA-456A-A819-289D34436530}"/>
    <cellStyle name="Normal 4 7 3 3 5 2" xfId="17819" xr:uid="{83806C1A-5305-4D94-8A0F-E8BB4CBB485A}"/>
    <cellStyle name="Normal 4 7 3 3 6" xfId="17813" xr:uid="{51B0CA2D-9B9A-476A-8B8F-A0952963C0AA}"/>
    <cellStyle name="Normal 4 7 3 4" xfId="8712" xr:uid="{29585DAD-74BD-4890-B06A-A5A572402BD2}"/>
    <cellStyle name="Normal 4 7 3 4 2" xfId="8713" xr:uid="{B1299F08-0F5A-4CE4-B5E5-AF8482B1329F}"/>
    <cellStyle name="Normal 4 7 3 4 2 2" xfId="17821" xr:uid="{7DC735CA-3C41-492B-938C-DD4FD41941C4}"/>
    <cellStyle name="Normal 4 7 3 4 3" xfId="8714" xr:uid="{921F8434-E423-4892-861F-5553ADB12136}"/>
    <cellStyle name="Normal 4 7 3 4 3 2" xfId="17822" xr:uid="{357BAD35-0955-4C4E-AB63-AE80D5643682}"/>
    <cellStyle name="Normal 4 7 3 4 4" xfId="17820" xr:uid="{2728D08A-3809-4085-9069-98A21D3D0B08}"/>
    <cellStyle name="Normal 4 7 3 5" xfId="8715" xr:uid="{E1DDA58E-CCD4-4EC6-BBDB-930CFBA9360A}"/>
    <cellStyle name="Normal 4 7 3 5 2" xfId="17823" xr:uid="{4B11A10C-E782-4421-9B61-C65195BB2EC6}"/>
    <cellStyle name="Normal 4 7 3 6" xfId="8716" xr:uid="{E93308F0-AF55-4478-9595-4044816AEA96}"/>
    <cellStyle name="Normal 4 7 3 6 2" xfId="17824" xr:uid="{04396E15-38C7-4111-A055-883AF89A6275}"/>
    <cellStyle name="Normal 4 7 3 7" xfId="8717" xr:uid="{99D523B9-3A26-4C26-B3F1-351B88580EE4}"/>
    <cellStyle name="Normal 4 7 3 7 2" xfId="17825" xr:uid="{4CB94828-3EE2-42CA-A4F0-A1CD00093018}"/>
    <cellStyle name="Normal 4 7 3 8" xfId="17805" xr:uid="{AFA3D7DE-B7A7-45D9-A88E-36C5EB6038A1}"/>
    <cellStyle name="Normal 4 7 4" xfId="8718" xr:uid="{A8C3A5CD-E087-4D46-B0D4-82EB7E0B795F}"/>
    <cellStyle name="Normal 4 7 4 2" xfId="8719" xr:uid="{63431349-BDB5-4094-8692-9DA9D89018C8}"/>
    <cellStyle name="Normal 4 7 4 2 2" xfId="8720" xr:uid="{E53EFBE6-93AF-4C84-930C-4FEF8EBCC253}"/>
    <cellStyle name="Normal 4 7 4 2 2 2" xfId="17828" xr:uid="{F855A92F-40E8-4469-BA81-66A2A1EF0286}"/>
    <cellStyle name="Normal 4 7 4 2 3" xfId="8721" xr:uid="{815042A9-837A-4C10-AAC8-58D63C756E38}"/>
    <cellStyle name="Normal 4 7 4 2 3 2" xfId="17829" xr:uid="{D59FDEBF-CAF6-40B8-9D7D-45F7FA9AC55E}"/>
    <cellStyle name="Normal 4 7 4 2 4" xfId="17827" xr:uid="{61854A8A-4365-4795-8554-787BE78308AE}"/>
    <cellStyle name="Normal 4 7 4 3" xfId="8722" xr:uid="{AF8D17FA-BB6F-402C-A506-D05EBE9062DB}"/>
    <cellStyle name="Normal 4 7 4 3 2" xfId="17830" xr:uid="{BED7F714-4459-42C7-B601-6C0B0922C558}"/>
    <cellStyle name="Normal 4 7 4 4" xfId="8723" xr:uid="{54A006F2-0F95-4AE8-AADE-5C8A0ABE2F5E}"/>
    <cellStyle name="Normal 4 7 4 4 2" xfId="17831" xr:uid="{40F11564-9C58-4ABF-A171-99699569D02D}"/>
    <cellStyle name="Normal 4 7 4 5" xfId="8724" xr:uid="{1454E30C-10A5-4553-B625-EE4D922DB3CE}"/>
    <cellStyle name="Normal 4 7 4 5 2" xfId="17832" xr:uid="{4C92881D-53E7-44A4-AE7A-42DBC21C5168}"/>
    <cellStyle name="Normal 4 7 4 6" xfId="17826" xr:uid="{503588F4-CA28-4EFC-9F9A-4CBA42B9FF43}"/>
    <cellStyle name="Normal 4 7 5" xfId="8725" xr:uid="{1FC6BF8B-C31F-409B-8494-A9BB8445A965}"/>
    <cellStyle name="Normal 4 7 5 2" xfId="8726" xr:uid="{C7126974-7249-44D8-8743-34CE9C2CA582}"/>
    <cellStyle name="Normal 4 7 5 2 2" xfId="8727" xr:uid="{3E12F40F-23A8-436D-817C-DC3986672454}"/>
    <cellStyle name="Normal 4 7 5 2 2 2" xfId="17835" xr:uid="{05ACF8CB-B9A1-471E-837C-99623403AC62}"/>
    <cellStyle name="Normal 4 7 5 2 3" xfId="8728" xr:uid="{BF4AC178-6B7A-4746-9113-CCDE8651724E}"/>
    <cellStyle name="Normal 4 7 5 2 3 2" xfId="17836" xr:uid="{6D2CC671-3723-46E8-BC57-A603598944D8}"/>
    <cellStyle name="Normal 4 7 5 2 4" xfId="17834" xr:uid="{E7AD59B8-2890-4C6C-8F42-EE065727CE99}"/>
    <cellStyle name="Normal 4 7 5 3" xfId="8729" xr:uid="{9BF500ED-167E-4945-893B-BE4064E382EA}"/>
    <cellStyle name="Normal 4 7 5 3 2" xfId="17837" xr:uid="{A3E86C86-D77A-47E4-89BA-FAB3D68165AE}"/>
    <cellStyle name="Normal 4 7 5 4" xfId="8730" xr:uid="{74C001C5-0786-4DB8-9651-8DC5F8E3AF8B}"/>
    <cellStyle name="Normal 4 7 5 4 2" xfId="17838" xr:uid="{940C1233-F0FA-4396-8961-0715D8E275C8}"/>
    <cellStyle name="Normal 4 7 5 5" xfId="8731" xr:uid="{F40390D6-67E9-4339-8DB7-4FA4CD24DA48}"/>
    <cellStyle name="Normal 4 7 5 5 2" xfId="17839" xr:uid="{6146B3E3-382B-4B21-9883-C9D523CF8F04}"/>
    <cellStyle name="Normal 4 7 5 6" xfId="17833" xr:uid="{97CCA454-D338-49F5-B37A-3D98173941A6}"/>
    <cellStyle name="Normal 4 7 6" xfId="8732" xr:uid="{2C6CC028-11A7-43EF-B6EA-0C548714E4AA}"/>
    <cellStyle name="Normal 4 7 6 2" xfId="8733" xr:uid="{F29BD3BC-AFBA-43C1-BF59-E080EC562D32}"/>
    <cellStyle name="Normal 4 7 6 2 2" xfId="17841" xr:uid="{0F7252BD-128F-430C-B449-35DE1689B99D}"/>
    <cellStyle name="Normal 4 7 6 3" xfId="8734" xr:uid="{A1C52748-469B-475E-9722-D0E7A1FF6B95}"/>
    <cellStyle name="Normal 4 7 6 3 2" xfId="17842" xr:uid="{C0F86719-CFC3-4C80-9D42-04E214BDD274}"/>
    <cellStyle name="Normal 4 7 6 4" xfId="17840" xr:uid="{FC707938-3040-441D-867D-DF6BDBCF9D7C}"/>
    <cellStyle name="Normal 4 7 7" xfId="8735" xr:uid="{E1087EAB-5D8A-49FF-93DC-1AB9C09C378D}"/>
    <cellStyle name="Normal 4 7 7 2" xfId="17843" xr:uid="{BC6268DC-0A5C-412A-8E91-0085BA3C418D}"/>
    <cellStyle name="Normal 4 7 8" xfId="8736" xr:uid="{EA258A33-008F-4BEF-B17F-8B70D1423A35}"/>
    <cellStyle name="Normal 4 7 8 2" xfId="17844" xr:uid="{3FE74F25-9985-4DDF-A061-65CAA5A7BC32}"/>
    <cellStyle name="Normal 4 7 9" xfId="8737" xr:uid="{1D8DD5AF-14CA-41F2-BA2A-12A98E6AA1DC}"/>
    <cellStyle name="Normal 4 7 9 2" xfId="17845" xr:uid="{043C01B0-04BD-482F-A61F-412E2CF47EFC}"/>
    <cellStyle name="Normal 4 8" xfId="8738" xr:uid="{E4D48098-4D8D-4B43-BF2B-2F61637E0B99}"/>
    <cellStyle name="Normal 4 8 10" xfId="17846" xr:uid="{0053FAE7-01F8-489C-A63A-121DD8FD9AFE}"/>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2 2" xfId="17851" xr:uid="{50925AD2-394F-4EFB-911E-36695152149B}"/>
    <cellStyle name="Normal 4 8 2 2 2 2 3" xfId="8744" xr:uid="{3A304CCE-255F-42F1-9544-6EFFE7B6BB07}"/>
    <cellStyle name="Normal 4 8 2 2 2 2 3 2" xfId="17852" xr:uid="{78ABA620-929A-486B-96F1-F4F4799E1B46}"/>
    <cellStyle name="Normal 4 8 2 2 2 2 4" xfId="17850" xr:uid="{220E133C-5138-4178-8DD7-9345EF52C8E8}"/>
    <cellStyle name="Normal 4 8 2 2 2 3" xfId="8745" xr:uid="{709CDC76-62A6-4376-897D-DA7CAECF038A}"/>
    <cellStyle name="Normal 4 8 2 2 2 3 2" xfId="17853" xr:uid="{D027E994-51A0-4675-8BA7-1DB3B2102CA4}"/>
    <cellStyle name="Normal 4 8 2 2 2 4" xfId="8746" xr:uid="{39D1C9FD-8C3E-486F-B8C6-1EF5AE051620}"/>
    <cellStyle name="Normal 4 8 2 2 2 4 2" xfId="17854" xr:uid="{6989570B-5613-4AF7-8743-9AC01A9A3774}"/>
    <cellStyle name="Normal 4 8 2 2 2 5" xfId="8747" xr:uid="{0C4126CB-2809-495B-AD99-B3109FC5EB1C}"/>
    <cellStyle name="Normal 4 8 2 2 2 5 2" xfId="17855" xr:uid="{2BFFAE62-1A44-43E2-A822-F0427FC69EBB}"/>
    <cellStyle name="Normal 4 8 2 2 2 6" xfId="17849" xr:uid="{8333BA02-BBCA-4E2F-8AC1-5C0938EFA8A0}"/>
    <cellStyle name="Normal 4 8 2 2 3" xfId="8748" xr:uid="{2FE464E9-3D84-4E7B-9489-6D722D16ED0C}"/>
    <cellStyle name="Normal 4 8 2 2 3 2" xfId="8749" xr:uid="{4D486EBD-CB09-4C72-BE5C-1586E0869C8B}"/>
    <cellStyle name="Normal 4 8 2 2 3 2 2" xfId="8750" xr:uid="{364BC342-7EEA-43D7-BC37-36CF037C889F}"/>
    <cellStyle name="Normal 4 8 2 2 3 2 2 2" xfId="17858" xr:uid="{FB41405C-797C-47C5-A744-48BBD0878CD7}"/>
    <cellStyle name="Normal 4 8 2 2 3 2 3" xfId="8751" xr:uid="{4B3B7D2C-BEC3-497D-A0FF-A5C12695B285}"/>
    <cellStyle name="Normal 4 8 2 2 3 2 3 2" xfId="17859" xr:uid="{985B5551-D7EF-431F-9FBE-786E9FE4797A}"/>
    <cellStyle name="Normal 4 8 2 2 3 2 4" xfId="17857" xr:uid="{0F46A750-9DDA-401B-813C-F570B65C67CD}"/>
    <cellStyle name="Normal 4 8 2 2 3 3" xfId="8752" xr:uid="{FE794F60-7B4F-4A52-A3CA-FCF3CC78D66C}"/>
    <cellStyle name="Normal 4 8 2 2 3 3 2" xfId="17860" xr:uid="{D0004A5F-AA90-4A4F-A43F-98302FEADD1C}"/>
    <cellStyle name="Normal 4 8 2 2 3 4" xfId="8753" xr:uid="{B4C0E6E6-5CF9-4DBF-A877-309F6413E3D4}"/>
    <cellStyle name="Normal 4 8 2 2 3 4 2" xfId="17861" xr:uid="{B45A9B96-126E-47E2-828F-B7D36CCBA320}"/>
    <cellStyle name="Normal 4 8 2 2 3 5" xfId="8754" xr:uid="{5694DDE1-4134-40AD-98A9-5FFA1CCAFCC5}"/>
    <cellStyle name="Normal 4 8 2 2 3 5 2" xfId="17862" xr:uid="{3CFF5A01-24CE-42B7-A28A-C4046A39F08D}"/>
    <cellStyle name="Normal 4 8 2 2 3 6" xfId="17856" xr:uid="{AD6C95A1-7D36-46E3-9922-E5B983086DA1}"/>
    <cellStyle name="Normal 4 8 2 2 4" xfId="8755" xr:uid="{A0AACFD5-2DCB-4820-8C6C-F55AE840E442}"/>
    <cellStyle name="Normal 4 8 2 2 4 2" xfId="8756" xr:uid="{E3331409-0241-4328-BE15-1214885F336E}"/>
    <cellStyle name="Normal 4 8 2 2 4 2 2" xfId="17864" xr:uid="{4DEFB731-5363-4DDE-8E87-A9501DDFB15F}"/>
    <cellStyle name="Normal 4 8 2 2 4 3" xfId="8757" xr:uid="{F9B5275A-0BB2-470F-B07F-23A504508CAB}"/>
    <cellStyle name="Normal 4 8 2 2 4 3 2" xfId="17865" xr:uid="{617BA243-0383-4746-AFF7-0D3B9282A129}"/>
    <cellStyle name="Normal 4 8 2 2 4 4" xfId="17863" xr:uid="{4864F7AB-0013-40FA-BC03-1068781599B9}"/>
    <cellStyle name="Normal 4 8 2 2 5" xfId="8758" xr:uid="{27E1CE9D-E796-43E7-BD22-9028DFA4A26D}"/>
    <cellStyle name="Normal 4 8 2 2 5 2" xfId="17866" xr:uid="{583B0FB4-B955-4636-923D-D8C4980F0C99}"/>
    <cellStyle name="Normal 4 8 2 2 6" xfId="8759" xr:uid="{9F118597-ACE9-403E-BB50-A3DD1E7871A6}"/>
    <cellStyle name="Normal 4 8 2 2 6 2" xfId="17867" xr:uid="{B612F2B3-22CF-470B-94B6-CC900D9C576E}"/>
    <cellStyle name="Normal 4 8 2 2 7" xfId="8760" xr:uid="{B98BB4FA-83DC-49A8-92EF-2F0D36D3723F}"/>
    <cellStyle name="Normal 4 8 2 2 7 2" xfId="17868" xr:uid="{C8805AAE-8BD2-4441-8F3B-B986427AFB2C}"/>
    <cellStyle name="Normal 4 8 2 2 8" xfId="17848" xr:uid="{98100759-B802-4365-B84F-BD30EE949772}"/>
    <cellStyle name="Normal 4 8 2 3" xfId="8761" xr:uid="{F17EE1E0-1170-4713-970A-A3CC65210368}"/>
    <cellStyle name="Normal 4 8 2 3 2" xfId="8762" xr:uid="{5013BA2A-987B-4348-9F2D-2CFC0D1D749F}"/>
    <cellStyle name="Normal 4 8 2 3 2 2" xfId="8763" xr:uid="{037E2634-B8CB-45AA-A657-5379A474985F}"/>
    <cellStyle name="Normal 4 8 2 3 2 2 2" xfId="17871" xr:uid="{8B509044-B72A-466D-BD94-B4E6FF44DE2F}"/>
    <cellStyle name="Normal 4 8 2 3 2 3" xfId="8764" xr:uid="{701D0355-7FB2-42DE-AC7D-C36A29720DF6}"/>
    <cellStyle name="Normal 4 8 2 3 2 3 2" xfId="17872" xr:uid="{47BED61F-85DA-401F-862C-71B92428F19C}"/>
    <cellStyle name="Normal 4 8 2 3 2 4" xfId="17870" xr:uid="{07E9CCF2-3AA9-4B31-8F70-8B26E08E4518}"/>
    <cellStyle name="Normal 4 8 2 3 3" xfId="8765" xr:uid="{BD8ADEA2-FBE6-41C9-B655-CFE26FE0EE1F}"/>
    <cellStyle name="Normal 4 8 2 3 3 2" xfId="17873" xr:uid="{11CDBA37-3C16-4160-853C-68C1CC11F85D}"/>
    <cellStyle name="Normal 4 8 2 3 4" xfId="8766" xr:uid="{1C4F446B-1A27-418A-A238-7A0A5048217A}"/>
    <cellStyle name="Normal 4 8 2 3 4 2" xfId="17874" xr:uid="{3E9C7E77-C832-499E-B34A-912BCBA59F50}"/>
    <cellStyle name="Normal 4 8 2 3 5" xfId="8767" xr:uid="{EEDDD2F4-CA83-41F2-A56C-FD58BB95B9DC}"/>
    <cellStyle name="Normal 4 8 2 3 5 2" xfId="17875" xr:uid="{5318D19F-1D51-40BE-B612-11A6D4043190}"/>
    <cellStyle name="Normal 4 8 2 3 6" xfId="17869" xr:uid="{9D0CB60E-F44D-40B5-A033-CAF4C6D847D7}"/>
    <cellStyle name="Normal 4 8 2 4" xfId="8768" xr:uid="{1DC05A64-EA91-4798-870C-E6B5F2344D12}"/>
    <cellStyle name="Normal 4 8 2 4 2" xfId="8769" xr:uid="{23EE200F-F342-491F-904B-ED0F7AE17257}"/>
    <cellStyle name="Normal 4 8 2 4 2 2" xfId="8770" xr:uid="{1094889D-FE33-461A-9582-3B4DD3383798}"/>
    <cellStyle name="Normal 4 8 2 4 2 2 2" xfId="17878" xr:uid="{D3149EE5-0034-4321-A734-9C7E10FCDCB6}"/>
    <cellStyle name="Normal 4 8 2 4 2 3" xfId="8771" xr:uid="{372732B1-8D76-404C-92F6-01B3FC17189E}"/>
    <cellStyle name="Normal 4 8 2 4 2 3 2" xfId="17879" xr:uid="{2ECB2E8A-4514-4D94-A388-0420A43D1E22}"/>
    <cellStyle name="Normal 4 8 2 4 2 4" xfId="17877" xr:uid="{BE720CA3-32F0-475F-9293-CC79E336E068}"/>
    <cellStyle name="Normal 4 8 2 4 3" xfId="8772" xr:uid="{D81AF5F2-1558-4D36-B2C4-2058BCDD1FF8}"/>
    <cellStyle name="Normal 4 8 2 4 3 2" xfId="17880" xr:uid="{9B9ABCB9-A712-460A-B7C4-6474EC6A37D3}"/>
    <cellStyle name="Normal 4 8 2 4 4" xfId="8773" xr:uid="{3557018E-3933-42DD-B417-A7C70BB7888B}"/>
    <cellStyle name="Normal 4 8 2 4 4 2" xfId="17881" xr:uid="{B2601BFC-84CE-4AC4-A0FD-9F406527A282}"/>
    <cellStyle name="Normal 4 8 2 4 5" xfId="8774" xr:uid="{6A05D232-73E8-4D34-9D80-C2D2509BA291}"/>
    <cellStyle name="Normal 4 8 2 4 5 2" xfId="17882" xr:uid="{EFA3DC17-7A94-487C-AECC-92CF354862D0}"/>
    <cellStyle name="Normal 4 8 2 4 6" xfId="17876" xr:uid="{04D4137D-6AF3-41D6-9931-8C3BF3518116}"/>
    <cellStyle name="Normal 4 8 2 5" xfId="8775" xr:uid="{0DB46154-3259-44AA-8628-B14A5D414D53}"/>
    <cellStyle name="Normal 4 8 2 5 2" xfId="8776" xr:uid="{3FD387E0-7FE1-4348-AC5A-E83E288A1227}"/>
    <cellStyle name="Normal 4 8 2 5 2 2" xfId="17884" xr:uid="{037D5A09-8390-411C-BB17-36304F768A2E}"/>
    <cellStyle name="Normal 4 8 2 5 3" xfId="8777" xr:uid="{87994AC4-3554-4EF2-B6ED-CF4BC6307768}"/>
    <cellStyle name="Normal 4 8 2 5 3 2" xfId="17885" xr:uid="{B5B9823C-4C8F-4AF8-805A-829BC6404E94}"/>
    <cellStyle name="Normal 4 8 2 5 4" xfId="17883" xr:uid="{EF713A8B-D3EF-4E28-A48B-DC5EAD8B4E35}"/>
    <cellStyle name="Normal 4 8 2 6" xfId="8778" xr:uid="{F595A3E2-50CF-41D3-A6CB-45F69AA5C1B5}"/>
    <cellStyle name="Normal 4 8 2 6 2" xfId="17886" xr:uid="{A0122AE9-2318-4691-882C-F4D6D6B0816E}"/>
    <cellStyle name="Normal 4 8 2 7" xfId="8779" xr:uid="{9E7FC03E-8AFE-4F1A-9A73-279838307A24}"/>
    <cellStyle name="Normal 4 8 2 7 2" xfId="17887" xr:uid="{E65BDB8F-A9BB-448E-96F0-B6549D2B944F}"/>
    <cellStyle name="Normal 4 8 2 8" xfId="8780" xr:uid="{B995D69F-1B2E-467E-83F4-7603B890D349}"/>
    <cellStyle name="Normal 4 8 2 8 2" xfId="17888" xr:uid="{016FB1EB-9C05-4EFA-9D17-9B25A0BB76A2}"/>
    <cellStyle name="Normal 4 8 2 9" xfId="17847" xr:uid="{4254D0DB-5330-4AEF-81E3-C357CECBB9EF}"/>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2 2" xfId="17892" xr:uid="{305E035D-2C8D-42DA-94A2-B96965EE3481}"/>
    <cellStyle name="Normal 4 8 3 2 2 3" xfId="8785" xr:uid="{FCE95A57-F83B-4FDD-A454-998E4D1912AD}"/>
    <cellStyle name="Normal 4 8 3 2 2 3 2" xfId="17893" xr:uid="{9BFDA6DF-F0FC-4368-AD6F-4D42785B0EC8}"/>
    <cellStyle name="Normal 4 8 3 2 2 4" xfId="17891" xr:uid="{3A78B320-8313-4E72-A1B2-0D39025DA2F8}"/>
    <cellStyle name="Normal 4 8 3 2 3" xfId="8786" xr:uid="{EFD1A6A9-8A1D-48E3-B013-A488C0D1736E}"/>
    <cellStyle name="Normal 4 8 3 2 3 2" xfId="17894" xr:uid="{4DF8FE85-855E-45B5-A00C-B69BA7114180}"/>
    <cellStyle name="Normal 4 8 3 2 4" xfId="8787" xr:uid="{30C46EFA-4B92-4123-83C8-D644EA008152}"/>
    <cellStyle name="Normal 4 8 3 2 4 2" xfId="17895" xr:uid="{1AAACDD8-7C52-4AEE-B856-9FEC669681CF}"/>
    <cellStyle name="Normal 4 8 3 2 5" xfId="8788" xr:uid="{E1B2FEF2-C3B1-44B9-96B9-727517DFEB66}"/>
    <cellStyle name="Normal 4 8 3 2 5 2" xfId="17896" xr:uid="{9B113D14-9734-45CB-AED8-257AFA8100A4}"/>
    <cellStyle name="Normal 4 8 3 2 6" xfId="17890" xr:uid="{60E6D565-FDE5-4D35-AE4D-8AA9D6E2130E}"/>
    <cellStyle name="Normal 4 8 3 3" xfId="8789" xr:uid="{DA9BBD4C-75A6-4CC4-8A3E-67E7253B32D4}"/>
    <cellStyle name="Normal 4 8 3 3 2" xfId="8790" xr:uid="{0B5D34CD-D3B9-499A-87D1-1297B498472F}"/>
    <cellStyle name="Normal 4 8 3 3 2 2" xfId="8791" xr:uid="{5042F771-7388-4E41-9638-A0D5DB6B637A}"/>
    <cellStyle name="Normal 4 8 3 3 2 2 2" xfId="17899" xr:uid="{582664FE-0590-46A7-854E-A05E0AB8373D}"/>
    <cellStyle name="Normal 4 8 3 3 2 3" xfId="8792" xr:uid="{A3074EB8-C032-4CA6-8274-05B1E6E8A65A}"/>
    <cellStyle name="Normal 4 8 3 3 2 3 2" xfId="17900" xr:uid="{A7768BAD-02F5-4FD7-957F-7714D887B587}"/>
    <cellStyle name="Normal 4 8 3 3 2 4" xfId="17898" xr:uid="{16F15190-0323-49B7-A66E-A796087A4F43}"/>
    <cellStyle name="Normal 4 8 3 3 3" xfId="8793" xr:uid="{4FDC65A2-F8B9-4A79-9034-C140631565E7}"/>
    <cellStyle name="Normal 4 8 3 3 3 2" xfId="17901" xr:uid="{70BDED04-D799-4027-830D-859E6464FFC9}"/>
    <cellStyle name="Normal 4 8 3 3 4" xfId="8794" xr:uid="{CFA24BA2-5B4E-447E-ADB1-DB95ECFF53B7}"/>
    <cellStyle name="Normal 4 8 3 3 4 2" xfId="17902" xr:uid="{47621678-EC92-4B9E-A76D-627EFFB63A36}"/>
    <cellStyle name="Normal 4 8 3 3 5" xfId="8795" xr:uid="{39FEA642-AEF0-4F82-A8AE-8BEDF57A8243}"/>
    <cellStyle name="Normal 4 8 3 3 5 2" xfId="17903" xr:uid="{55228E90-EFBE-4AA6-84E0-7EBAFA16DA7A}"/>
    <cellStyle name="Normal 4 8 3 3 6" xfId="17897" xr:uid="{7F192AAD-BECA-42BA-8A79-5FCAA550C963}"/>
    <cellStyle name="Normal 4 8 3 4" xfId="8796" xr:uid="{7A9AD4FE-8FE7-4754-B2F0-D1D28C3409B5}"/>
    <cellStyle name="Normal 4 8 3 4 2" xfId="8797" xr:uid="{23E5C47A-B5F4-4CB7-9152-0A29F259BB45}"/>
    <cellStyle name="Normal 4 8 3 4 2 2" xfId="17905" xr:uid="{013AF368-E5AC-46F1-B682-49EF8074DCE6}"/>
    <cellStyle name="Normal 4 8 3 4 3" xfId="8798" xr:uid="{3FB068D6-8249-499B-BA3C-3D2328329759}"/>
    <cellStyle name="Normal 4 8 3 4 3 2" xfId="17906" xr:uid="{72E110C7-05C0-4531-A42E-6F5F5B1826B2}"/>
    <cellStyle name="Normal 4 8 3 4 4" xfId="17904" xr:uid="{4C8C1CD8-A49C-4A31-8C3E-BC5D12B6E57E}"/>
    <cellStyle name="Normal 4 8 3 5" xfId="8799" xr:uid="{04F45FD0-3E11-4BE4-9D7A-7736D378AE82}"/>
    <cellStyle name="Normal 4 8 3 5 2" xfId="17907" xr:uid="{79287F71-CE4D-494B-8F74-AB4DB8F99186}"/>
    <cellStyle name="Normal 4 8 3 6" xfId="8800" xr:uid="{9224E4D5-5DF8-4673-A34F-10611F3C7E31}"/>
    <cellStyle name="Normal 4 8 3 6 2" xfId="17908" xr:uid="{CC5B6FC9-C876-4D4C-ABBF-502899936AB5}"/>
    <cellStyle name="Normal 4 8 3 7" xfId="8801" xr:uid="{8A5B10D9-9CFE-40FC-A2C7-22A4FF752020}"/>
    <cellStyle name="Normal 4 8 3 7 2" xfId="17909" xr:uid="{08D8D529-BAB8-40FF-89DA-A8D82D23D0CB}"/>
    <cellStyle name="Normal 4 8 3 8" xfId="17889" xr:uid="{E5C178B1-2676-4028-8DC9-70E330577A4F}"/>
    <cellStyle name="Normal 4 8 4" xfId="8802" xr:uid="{EA1E6A7C-876F-4E14-9D73-785C4E0BC5A3}"/>
    <cellStyle name="Normal 4 8 4 2" xfId="8803" xr:uid="{4653ABC6-EA1A-4B0A-B7AC-19B27CEF1263}"/>
    <cellStyle name="Normal 4 8 4 2 2" xfId="8804" xr:uid="{A52B420A-1415-4124-96A1-9E4AC78CB854}"/>
    <cellStyle name="Normal 4 8 4 2 2 2" xfId="17912" xr:uid="{4435A84E-1696-43A5-8045-DC262E6D59DC}"/>
    <cellStyle name="Normal 4 8 4 2 3" xfId="8805" xr:uid="{D9C3405E-7A62-495B-AFCA-E91370DF2C14}"/>
    <cellStyle name="Normal 4 8 4 2 3 2" xfId="17913" xr:uid="{8A166703-C494-4851-A343-CABA79CCDE2D}"/>
    <cellStyle name="Normal 4 8 4 2 4" xfId="17911" xr:uid="{699FDD4B-2FE0-4BBF-8C54-86BD3CC99852}"/>
    <cellStyle name="Normal 4 8 4 3" xfId="8806" xr:uid="{C74F6AF8-F067-40A6-840D-0C55AAB5345C}"/>
    <cellStyle name="Normal 4 8 4 3 2" xfId="17914" xr:uid="{F47C2A88-4362-48BB-838E-BDD28EC17EBE}"/>
    <cellStyle name="Normal 4 8 4 4" xfId="8807" xr:uid="{5EDB7F96-1FE9-4532-B61E-FE1F3FEAB835}"/>
    <cellStyle name="Normal 4 8 4 4 2" xfId="17915" xr:uid="{D72BD9E0-CDA1-4BBC-9C95-8DA078302A90}"/>
    <cellStyle name="Normal 4 8 4 5" xfId="8808" xr:uid="{4C3F380A-3A44-4D3D-86A5-2EB82F549E06}"/>
    <cellStyle name="Normal 4 8 4 5 2" xfId="17916" xr:uid="{FC0F23E0-D0A4-4CE0-B11B-816ACBAF0B53}"/>
    <cellStyle name="Normal 4 8 4 6" xfId="17910" xr:uid="{AE66FBE7-9EC8-4FCE-AB45-A343BC98F853}"/>
    <cellStyle name="Normal 4 8 5" xfId="8809" xr:uid="{205CE81A-FD45-479E-91C6-7D566B596425}"/>
    <cellStyle name="Normal 4 8 5 2" xfId="8810" xr:uid="{5A64883A-B308-4BB4-B0DC-2EC038D3555A}"/>
    <cellStyle name="Normal 4 8 5 2 2" xfId="8811" xr:uid="{711B1EB1-5E04-4C76-BBDC-9E88749C3A80}"/>
    <cellStyle name="Normal 4 8 5 2 2 2" xfId="17919" xr:uid="{AA97D0B4-5EFF-4F45-9819-556C1714C0DF}"/>
    <cellStyle name="Normal 4 8 5 2 3" xfId="8812" xr:uid="{5A6F270B-E2DE-49F8-92A6-7D210C2D0479}"/>
    <cellStyle name="Normal 4 8 5 2 3 2" xfId="17920" xr:uid="{75ED6F40-BAC4-48B9-AB84-F870C999AF9E}"/>
    <cellStyle name="Normal 4 8 5 2 4" xfId="17918" xr:uid="{7ABA19DB-55FC-4709-A3AD-94AB3588F947}"/>
    <cellStyle name="Normal 4 8 5 3" xfId="8813" xr:uid="{5A2E27E6-D86F-4EE6-BCC9-3876B5E0FC0C}"/>
    <cellStyle name="Normal 4 8 5 3 2" xfId="17921" xr:uid="{29D4B1A5-5C31-4F4B-AF65-9EE72E12BADF}"/>
    <cellStyle name="Normal 4 8 5 4" xfId="8814" xr:uid="{5E2AEC0F-A5E7-492E-974C-4C3B3D2E1C7B}"/>
    <cellStyle name="Normal 4 8 5 4 2" xfId="17922" xr:uid="{7BF3EBCF-2379-4E47-B144-E704E33CCA66}"/>
    <cellStyle name="Normal 4 8 5 5" xfId="8815" xr:uid="{04F0C552-C5AB-4722-9B63-223C8ED7AFA2}"/>
    <cellStyle name="Normal 4 8 5 5 2" xfId="17923" xr:uid="{C6D05B0F-F68E-4907-851F-C7900A7E06E7}"/>
    <cellStyle name="Normal 4 8 5 6" xfId="17917" xr:uid="{FB41880A-132B-4E4B-9126-D899E57EBBC6}"/>
    <cellStyle name="Normal 4 8 6" xfId="8816" xr:uid="{8176169C-E3BD-4562-9976-CC9E56EF5959}"/>
    <cellStyle name="Normal 4 8 6 2" xfId="8817" xr:uid="{2120F0C9-C377-49CB-A668-5D8C09EE0F49}"/>
    <cellStyle name="Normal 4 8 6 2 2" xfId="17925" xr:uid="{41D2BA7D-D63C-4F1D-9F9F-4FC95AB8D347}"/>
    <cellStyle name="Normal 4 8 6 3" xfId="8818" xr:uid="{885687A5-D06D-47B8-A8EA-DFBF6478C9BB}"/>
    <cellStyle name="Normal 4 8 6 3 2" xfId="17926" xr:uid="{719537A0-BB37-4536-942F-0CB688ADB7CD}"/>
    <cellStyle name="Normal 4 8 6 4" xfId="17924" xr:uid="{62E35297-268B-4FC2-9462-3A2EC213F425}"/>
    <cellStyle name="Normal 4 8 7" xfId="8819" xr:uid="{27BDBDC3-61A3-44D8-A7D8-DBA2A0696BF9}"/>
    <cellStyle name="Normal 4 8 7 2" xfId="17927" xr:uid="{34CC9F7F-630D-404B-8EBC-C4CAE2A462BC}"/>
    <cellStyle name="Normal 4 8 8" xfId="8820" xr:uid="{A013DA40-C9DD-44F6-A3A5-BACD1C22325B}"/>
    <cellStyle name="Normal 4 8 8 2" xfId="17928" xr:uid="{1C26C5FA-6D4A-46A0-8D89-09789C7FF499}"/>
    <cellStyle name="Normal 4 8 9" xfId="8821" xr:uid="{D744691A-719D-4907-900F-607620AFD825}"/>
    <cellStyle name="Normal 4 8 9 2" xfId="17929" xr:uid="{27446CEA-7A69-48D5-B174-302960078540}"/>
    <cellStyle name="Normal 4 9" xfId="8822" xr:uid="{2DBBAAEC-6347-4E4B-948B-B583DAC52BB9}"/>
    <cellStyle name="Normal 4 9 10" xfId="17930" xr:uid="{FD4504C8-1FDD-4306-A7E0-2D72113271C8}"/>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2 2" xfId="17935" xr:uid="{D07814EE-5B60-49A3-855C-B314D3AEB66F}"/>
    <cellStyle name="Normal 4 9 2 2 2 2 3" xfId="8828" xr:uid="{5C317911-EC7F-4B7D-B746-6FA100647C2E}"/>
    <cellStyle name="Normal 4 9 2 2 2 2 3 2" xfId="17936" xr:uid="{8F3DACB1-F72B-4744-88DF-3485C122C66B}"/>
    <cellStyle name="Normal 4 9 2 2 2 2 4" xfId="17934" xr:uid="{06270743-2E1B-404E-80AE-1A5C2D8E25BC}"/>
    <cellStyle name="Normal 4 9 2 2 2 3" xfId="8829" xr:uid="{56E0C505-C9C4-47A0-BE41-EBF9E28BC60B}"/>
    <cellStyle name="Normal 4 9 2 2 2 3 2" xfId="17937" xr:uid="{A9F3BCCC-1FA1-47C3-B49F-F3D4E03A7CB1}"/>
    <cellStyle name="Normal 4 9 2 2 2 4" xfId="8830" xr:uid="{C2F43BA9-1945-4E23-B4CC-FC964F6A8D8A}"/>
    <cellStyle name="Normal 4 9 2 2 2 4 2" xfId="17938" xr:uid="{FC22E605-33F8-4438-8AC3-5005479985AA}"/>
    <cellStyle name="Normal 4 9 2 2 2 5" xfId="8831" xr:uid="{4A1A1BAD-D8AC-4A92-8634-09477B6E55DE}"/>
    <cellStyle name="Normal 4 9 2 2 2 5 2" xfId="17939" xr:uid="{36541C23-27DA-4ED7-A0F5-9FE3F6901828}"/>
    <cellStyle name="Normal 4 9 2 2 2 6" xfId="17933" xr:uid="{6705E14A-8C55-445D-85EB-5585A31E0D02}"/>
    <cellStyle name="Normal 4 9 2 2 3" xfId="8832" xr:uid="{8873DFA8-31CE-4DF3-B807-FFDE5B65F0BC}"/>
    <cellStyle name="Normal 4 9 2 2 3 2" xfId="8833" xr:uid="{437C9DC2-2872-41FF-A9B1-B1D637E164C4}"/>
    <cellStyle name="Normal 4 9 2 2 3 2 2" xfId="8834" xr:uid="{242CB7D8-7C4E-41F8-ADAE-E9E9A5A8C1F1}"/>
    <cellStyle name="Normal 4 9 2 2 3 2 2 2" xfId="17942" xr:uid="{A524226C-2CE6-4CAD-8CBF-B413FAF1E469}"/>
    <cellStyle name="Normal 4 9 2 2 3 2 3" xfId="8835" xr:uid="{4E6DE0CB-BD14-4C16-968B-68DAC3459743}"/>
    <cellStyle name="Normal 4 9 2 2 3 2 3 2" xfId="17943" xr:uid="{06549916-99A2-414C-A8C0-8C085F37D84A}"/>
    <cellStyle name="Normal 4 9 2 2 3 2 4" xfId="17941" xr:uid="{80E7F716-F1A8-4BA9-9338-C6A886451C0B}"/>
    <cellStyle name="Normal 4 9 2 2 3 3" xfId="8836" xr:uid="{6CD4C4B3-155E-4AA9-A0CB-ABE9FE72C704}"/>
    <cellStyle name="Normal 4 9 2 2 3 3 2" xfId="17944" xr:uid="{5B08CF35-52D3-4C84-A610-67E9C342269F}"/>
    <cellStyle name="Normal 4 9 2 2 3 4" xfId="8837" xr:uid="{BEF0532E-522A-46B4-8595-08856B31E25F}"/>
    <cellStyle name="Normal 4 9 2 2 3 4 2" xfId="17945" xr:uid="{0FD2E3A1-D1A8-4AE1-A689-D19198A802F0}"/>
    <cellStyle name="Normal 4 9 2 2 3 5" xfId="8838" xr:uid="{7DC40B93-8ECA-4B28-AA3A-C7E190CC87C5}"/>
    <cellStyle name="Normal 4 9 2 2 3 5 2" xfId="17946" xr:uid="{986A97DB-CB97-46A7-B833-CB9A676494E6}"/>
    <cellStyle name="Normal 4 9 2 2 3 6" xfId="17940" xr:uid="{4033FAA9-B234-4A06-8622-DAC2D6FD5222}"/>
    <cellStyle name="Normal 4 9 2 2 4" xfId="8839" xr:uid="{4BC676BF-02D5-40C9-99F6-5AF6F8A2432F}"/>
    <cellStyle name="Normal 4 9 2 2 4 2" xfId="8840" xr:uid="{9B4194AD-3B9E-4BFD-94E7-DC35CD585D4D}"/>
    <cellStyle name="Normal 4 9 2 2 4 2 2" xfId="17948" xr:uid="{1626D6EF-AA2F-4DA6-A710-A4B6943F28FE}"/>
    <cellStyle name="Normal 4 9 2 2 4 3" xfId="8841" xr:uid="{31F07575-5B6D-4D5D-8520-4323094A1990}"/>
    <cellStyle name="Normal 4 9 2 2 4 3 2" xfId="17949" xr:uid="{8AD15AD9-A420-4E06-ACF5-F63AD9491BB9}"/>
    <cellStyle name="Normal 4 9 2 2 4 4" xfId="17947" xr:uid="{FF91CE42-048A-4C83-B25F-78996B8D46D0}"/>
    <cellStyle name="Normal 4 9 2 2 5" xfId="8842" xr:uid="{450AE8F1-0C7C-4157-A4EF-379DFEA28655}"/>
    <cellStyle name="Normal 4 9 2 2 5 2" xfId="17950" xr:uid="{A0200CE2-B3BD-4C37-A41B-E2BA10742653}"/>
    <cellStyle name="Normal 4 9 2 2 6" xfId="8843" xr:uid="{3C04E010-68A9-4D90-817D-F275F151D13D}"/>
    <cellStyle name="Normal 4 9 2 2 6 2" xfId="17951" xr:uid="{C388C9C2-48DF-4093-8204-17E6593FBDCB}"/>
    <cellStyle name="Normal 4 9 2 2 7" xfId="8844" xr:uid="{9A826D06-FE13-42E0-B10D-9F69C736EEC0}"/>
    <cellStyle name="Normal 4 9 2 2 7 2" xfId="17952" xr:uid="{07D4C064-BDF2-4D48-BE4E-FADBB99B7F33}"/>
    <cellStyle name="Normal 4 9 2 2 8" xfId="17932" xr:uid="{6591AF00-1875-4DD1-8E2B-D927EEBF923C}"/>
    <cellStyle name="Normal 4 9 2 3" xfId="8845" xr:uid="{8887E657-FE02-4C64-B4C6-534C47B89513}"/>
    <cellStyle name="Normal 4 9 2 3 2" xfId="8846" xr:uid="{A1F74A44-7C05-4350-B7A3-31222748CF51}"/>
    <cellStyle name="Normal 4 9 2 3 2 2" xfId="8847" xr:uid="{D1BF5FFB-80B1-4A33-A542-5CACB2C26B38}"/>
    <cellStyle name="Normal 4 9 2 3 2 2 2" xfId="17955" xr:uid="{8AE54AA4-3EFE-4D9F-9604-129A23D00703}"/>
    <cellStyle name="Normal 4 9 2 3 2 3" xfId="8848" xr:uid="{AEFCF4EA-8E1B-406C-B86A-B9B6A9A81EAD}"/>
    <cellStyle name="Normal 4 9 2 3 2 3 2" xfId="17956" xr:uid="{5DB4EE32-F1CA-4E42-94AF-A1D3B6D98E85}"/>
    <cellStyle name="Normal 4 9 2 3 2 4" xfId="17954" xr:uid="{8CEF9756-80F1-4BA4-9549-6D177EE9CD3E}"/>
    <cellStyle name="Normal 4 9 2 3 3" xfId="8849" xr:uid="{61C6D2AD-54B5-4E1B-A78D-D09FA3CF271C}"/>
    <cellStyle name="Normal 4 9 2 3 3 2" xfId="17957" xr:uid="{4E111390-4034-4306-8B9C-CD75534B21FD}"/>
    <cellStyle name="Normal 4 9 2 3 4" xfId="8850" xr:uid="{7FA8CF71-807A-4E1D-A85D-99648A92A069}"/>
    <cellStyle name="Normal 4 9 2 3 4 2" xfId="17958" xr:uid="{310B3994-490A-4773-B5B5-8CC2583544C4}"/>
    <cellStyle name="Normal 4 9 2 3 5" xfId="8851" xr:uid="{5CD24E1D-57D2-45FF-9D9A-42E8E08D984C}"/>
    <cellStyle name="Normal 4 9 2 3 5 2" xfId="17959" xr:uid="{ABF90FD5-0205-47DD-880E-E285D7127564}"/>
    <cellStyle name="Normal 4 9 2 3 6" xfId="17953" xr:uid="{3CE068EA-2470-490C-8F1E-E49751C52158}"/>
    <cellStyle name="Normal 4 9 2 4" xfId="8852" xr:uid="{966748E7-EC8F-47DF-ABA4-660F44C0B879}"/>
    <cellStyle name="Normal 4 9 2 4 2" xfId="8853" xr:uid="{98708729-F45E-4FAE-A50D-4BE9B8EF93FA}"/>
    <cellStyle name="Normal 4 9 2 4 2 2" xfId="8854" xr:uid="{C281F2CC-DB60-4C16-ABC3-CB5DAFA4B984}"/>
    <cellStyle name="Normal 4 9 2 4 2 2 2" xfId="17962" xr:uid="{F810F64E-0D2C-49C0-AFC5-A605E337CCCD}"/>
    <cellStyle name="Normal 4 9 2 4 2 3" xfId="8855" xr:uid="{92771589-29D5-48AD-9509-AE0B481BDC66}"/>
    <cellStyle name="Normal 4 9 2 4 2 3 2" xfId="17963" xr:uid="{F04E51CF-321F-4766-87C6-B1EEB24F26E0}"/>
    <cellStyle name="Normal 4 9 2 4 2 4" xfId="17961" xr:uid="{EB45F672-B69E-4CC7-B1CA-AC1DFC5612F9}"/>
    <cellStyle name="Normal 4 9 2 4 3" xfId="8856" xr:uid="{5181447C-BC8F-4FC1-B240-D2EFCABBE159}"/>
    <cellStyle name="Normal 4 9 2 4 3 2" xfId="17964" xr:uid="{F0BC86F6-7749-486B-86C7-A44591974E98}"/>
    <cellStyle name="Normal 4 9 2 4 4" xfId="8857" xr:uid="{45064AFA-07C5-4603-8E88-D944E5448B40}"/>
    <cellStyle name="Normal 4 9 2 4 4 2" xfId="17965" xr:uid="{23C8004D-F18D-4128-9407-F5DA55544C97}"/>
    <cellStyle name="Normal 4 9 2 4 5" xfId="8858" xr:uid="{F04C2C68-99E3-493E-8E11-5E617FE4B2BA}"/>
    <cellStyle name="Normal 4 9 2 4 5 2" xfId="17966" xr:uid="{65FB6755-32BC-4A7F-A1BD-9A0BB9810FC1}"/>
    <cellStyle name="Normal 4 9 2 4 6" xfId="17960" xr:uid="{D0970E7D-477B-4361-8815-4C10D90364B0}"/>
    <cellStyle name="Normal 4 9 2 5" xfId="8859" xr:uid="{650AEE55-FBFD-4496-A7C0-9E92EB807F65}"/>
    <cellStyle name="Normal 4 9 2 5 2" xfId="8860" xr:uid="{45CB25B2-B002-48E4-8572-86690A56AA12}"/>
    <cellStyle name="Normal 4 9 2 5 2 2" xfId="17968" xr:uid="{3DE57566-7EB3-4419-A338-C5096F2216A7}"/>
    <cellStyle name="Normal 4 9 2 5 3" xfId="8861" xr:uid="{29DC2D79-496B-4B1C-9851-90A609CAC77E}"/>
    <cellStyle name="Normal 4 9 2 5 3 2" xfId="17969" xr:uid="{EACA0987-D1FF-4EE7-849A-2423E09EFD2C}"/>
    <cellStyle name="Normal 4 9 2 5 4" xfId="17967" xr:uid="{5FA8E089-8DB8-4749-AB47-029619BAD9D1}"/>
    <cellStyle name="Normal 4 9 2 6" xfId="8862" xr:uid="{5A02A7AA-A805-4572-9126-3A2C4FEA9CDD}"/>
    <cellStyle name="Normal 4 9 2 6 2" xfId="17970" xr:uid="{76C6B02E-598E-4ADB-980F-4033F604506A}"/>
    <cellStyle name="Normal 4 9 2 7" xfId="8863" xr:uid="{D5354690-DF61-499D-AEE1-AC963FED4E00}"/>
    <cellStyle name="Normal 4 9 2 7 2" xfId="17971" xr:uid="{7D9D6EFB-23A9-44A4-9BFA-BEB55720191E}"/>
    <cellStyle name="Normal 4 9 2 8" xfId="8864" xr:uid="{28FAB578-A89D-4AFD-BD82-D6E9E8BC3AF9}"/>
    <cellStyle name="Normal 4 9 2 8 2" xfId="17972" xr:uid="{CABBCE0D-064A-4E88-839E-F07B6804B2FE}"/>
    <cellStyle name="Normal 4 9 2 9" xfId="17931" xr:uid="{2BF85F95-C2B1-4E18-B1D3-2BD0A61F588E}"/>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2 2" xfId="17976" xr:uid="{61BB7B2B-D9B8-402C-B605-EB2B4A538D9E}"/>
    <cellStyle name="Normal 4 9 3 2 2 3" xfId="8869" xr:uid="{1314645A-DAA4-4C22-A7F4-57EDB8312116}"/>
    <cellStyle name="Normal 4 9 3 2 2 3 2" xfId="17977" xr:uid="{90E16D2A-2271-4C87-908D-0E97A953C0CB}"/>
    <cellStyle name="Normal 4 9 3 2 2 4" xfId="17975" xr:uid="{6274A4F5-3D72-46AA-95A9-294BEE2D70F0}"/>
    <cellStyle name="Normal 4 9 3 2 3" xfId="8870" xr:uid="{7B8DD591-0F0C-4371-AF12-01D57B5E678B}"/>
    <cellStyle name="Normal 4 9 3 2 3 2" xfId="17978" xr:uid="{ECE5A64F-5F31-4FB3-95B0-CCBB14F2D532}"/>
    <cellStyle name="Normal 4 9 3 2 4" xfId="8871" xr:uid="{E022DB97-4F8B-4178-A545-CC90EE30D1A8}"/>
    <cellStyle name="Normal 4 9 3 2 4 2" xfId="17979" xr:uid="{D9925853-A136-49B0-BCCA-985C984FC303}"/>
    <cellStyle name="Normal 4 9 3 2 5" xfId="8872" xr:uid="{F0DAD1B4-51EC-4CB4-9107-1598CE77D16B}"/>
    <cellStyle name="Normal 4 9 3 2 5 2" xfId="17980" xr:uid="{78B31F31-12BD-4349-9A85-A2E77C2EB732}"/>
    <cellStyle name="Normal 4 9 3 2 6" xfId="17974" xr:uid="{D53A6044-12C5-4828-A182-73C4B5B93ADA}"/>
    <cellStyle name="Normal 4 9 3 3" xfId="8873" xr:uid="{36ABD4C9-860C-44B0-90CF-9F15EB6099D4}"/>
    <cellStyle name="Normal 4 9 3 3 2" xfId="8874" xr:uid="{8A051651-E50C-4A63-B28B-1C69ED1C53C7}"/>
    <cellStyle name="Normal 4 9 3 3 2 2" xfId="8875" xr:uid="{B48DD32B-5AD4-4B6C-B636-8BC5856C84E5}"/>
    <cellStyle name="Normal 4 9 3 3 2 2 2" xfId="17983" xr:uid="{761BFE85-2A9D-4A6C-9A66-014A79024D59}"/>
    <cellStyle name="Normal 4 9 3 3 2 3" xfId="8876" xr:uid="{CC7C4F69-9B03-44EC-ADE7-35CF69E87FEC}"/>
    <cellStyle name="Normal 4 9 3 3 2 3 2" xfId="17984" xr:uid="{F20BBA2A-0CFF-4A90-ADA5-211A6EA44BBF}"/>
    <cellStyle name="Normal 4 9 3 3 2 4" xfId="17982" xr:uid="{0CACF8CD-203F-4A2A-B18C-304EA917F665}"/>
    <cellStyle name="Normal 4 9 3 3 3" xfId="8877" xr:uid="{F891EAFF-9B16-4C7F-B7CA-25F0231E5C92}"/>
    <cellStyle name="Normal 4 9 3 3 3 2" xfId="17985" xr:uid="{4528F8C9-FF33-476B-A30C-9FBD6992FC4D}"/>
    <cellStyle name="Normal 4 9 3 3 4" xfId="8878" xr:uid="{DC434FE2-331B-4780-A737-624D9B0896A1}"/>
    <cellStyle name="Normal 4 9 3 3 4 2" xfId="17986" xr:uid="{343C66EE-1C55-4C7C-B8B5-28B22C560845}"/>
    <cellStyle name="Normal 4 9 3 3 5" xfId="8879" xr:uid="{6EAA5C24-5F4E-4D86-8A45-FF0A11E4C491}"/>
    <cellStyle name="Normal 4 9 3 3 5 2" xfId="17987" xr:uid="{CD0EEA14-3F0C-4FA2-A4B1-135F29FA1E70}"/>
    <cellStyle name="Normal 4 9 3 3 6" xfId="17981" xr:uid="{BB53E7E4-F728-4453-A284-FCCD9C671AA6}"/>
    <cellStyle name="Normal 4 9 3 4" xfId="8880" xr:uid="{7B57BD2D-2336-417B-97BB-A12D7366BB8C}"/>
    <cellStyle name="Normal 4 9 3 4 2" xfId="8881" xr:uid="{C6CF1265-C033-4930-8DDD-287353400ECA}"/>
    <cellStyle name="Normal 4 9 3 4 2 2" xfId="17989" xr:uid="{F39FE17B-9BBC-49BB-B6F4-20F7D366A89F}"/>
    <cellStyle name="Normal 4 9 3 4 3" xfId="8882" xr:uid="{397988D5-FD75-40D7-B5D6-7B3169A7671F}"/>
    <cellStyle name="Normal 4 9 3 4 3 2" xfId="17990" xr:uid="{9A968E35-B940-4A3B-AA8E-65A3C1586FEC}"/>
    <cellStyle name="Normal 4 9 3 4 4" xfId="17988" xr:uid="{41EC0C93-D321-4399-976C-2CA6C85C839A}"/>
    <cellStyle name="Normal 4 9 3 5" xfId="8883" xr:uid="{82F97F78-D648-4B8B-BD41-26438840D1F8}"/>
    <cellStyle name="Normal 4 9 3 5 2" xfId="17991" xr:uid="{3F540154-7F64-4248-8D1E-0843519B8086}"/>
    <cellStyle name="Normal 4 9 3 6" xfId="8884" xr:uid="{A4E65029-3CBD-4FCF-8433-AEE0EDBF04C1}"/>
    <cellStyle name="Normal 4 9 3 6 2" xfId="17992" xr:uid="{1A68D03A-C929-4A10-AACA-5A5A8900C140}"/>
    <cellStyle name="Normal 4 9 3 7" xfId="8885" xr:uid="{CE472744-D1FC-4334-ACEE-F8CC83185C1E}"/>
    <cellStyle name="Normal 4 9 3 7 2" xfId="17993" xr:uid="{594F43BB-DB03-4335-8221-E5252B0F37E0}"/>
    <cellStyle name="Normal 4 9 3 8" xfId="17973" xr:uid="{D56CAF05-4768-4284-826C-1B1D8859A358}"/>
    <cellStyle name="Normal 4 9 4" xfId="8886" xr:uid="{7EE61438-0A0A-441C-AA5B-BEEDE191C03E}"/>
    <cellStyle name="Normal 4 9 4 2" xfId="8887" xr:uid="{975A6726-DF8B-482E-AED1-D47F08BE6C51}"/>
    <cellStyle name="Normal 4 9 4 2 2" xfId="8888" xr:uid="{330E92C7-F19E-4409-BFEA-3CDE1EE7D584}"/>
    <cellStyle name="Normal 4 9 4 2 2 2" xfId="17996" xr:uid="{565B0C19-1E34-43E7-AFC0-25A8F8F26718}"/>
    <cellStyle name="Normal 4 9 4 2 3" xfId="8889" xr:uid="{EAD16370-7633-4909-A82F-DF9844CF025A}"/>
    <cellStyle name="Normal 4 9 4 2 3 2" xfId="17997" xr:uid="{0EE9F012-BB1F-4543-BDA6-2579D43EE5C9}"/>
    <cellStyle name="Normal 4 9 4 2 4" xfId="17995" xr:uid="{3D5F3310-8283-49C9-889D-916F31232BD3}"/>
    <cellStyle name="Normal 4 9 4 3" xfId="8890" xr:uid="{CEF6CD33-F2B1-44AB-AB11-2BB8A14878EA}"/>
    <cellStyle name="Normal 4 9 4 3 2" xfId="17998" xr:uid="{A3C0D1F0-191B-429F-A331-60E39EDD7EC4}"/>
    <cellStyle name="Normal 4 9 4 4" xfId="8891" xr:uid="{385ECA0C-FBEB-45DF-95ED-5825EBF1D0E8}"/>
    <cellStyle name="Normal 4 9 4 4 2" xfId="17999" xr:uid="{192A8442-FED3-4849-9117-5478A8D74F8F}"/>
    <cellStyle name="Normal 4 9 4 5" xfId="8892" xr:uid="{BCE19671-DBC2-4776-BE4C-6DD356C5A1D1}"/>
    <cellStyle name="Normal 4 9 4 5 2" xfId="18000" xr:uid="{83DEEC2E-AA3C-4D9B-B25D-E3E6B96BBB76}"/>
    <cellStyle name="Normal 4 9 4 6" xfId="17994" xr:uid="{C6209C62-135A-49E2-84A3-8E6BD35E1CDA}"/>
    <cellStyle name="Normal 4 9 5" xfId="8893" xr:uid="{DCE8F7D4-6AE3-46EC-9867-E5C27AE29B05}"/>
    <cellStyle name="Normal 4 9 5 2" xfId="8894" xr:uid="{44CA824F-937E-48ED-87BF-7617875A94E5}"/>
    <cellStyle name="Normal 4 9 5 2 2" xfId="8895" xr:uid="{3474BA6A-6C71-496A-9333-BA11F4BB01DB}"/>
    <cellStyle name="Normal 4 9 5 2 2 2" xfId="18003" xr:uid="{A0838FD5-A7AE-48E3-9C7F-080432A611A0}"/>
    <cellStyle name="Normal 4 9 5 2 3" xfId="8896" xr:uid="{B9EC7799-9A3E-4155-8910-09FA932F959A}"/>
    <cellStyle name="Normal 4 9 5 2 3 2" xfId="18004" xr:uid="{51E6277B-7EEC-41BA-9A7F-EFE5758C6B02}"/>
    <cellStyle name="Normal 4 9 5 2 4" xfId="18002" xr:uid="{A81DCD42-8394-4B62-8AD2-EF86D7CFA55E}"/>
    <cellStyle name="Normal 4 9 5 3" xfId="8897" xr:uid="{1F39D8A7-36E4-4560-8D74-EBDA39D47EEB}"/>
    <cellStyle name="Normal 4 9 5 3 2" xfId="18005" xr:uid="{5FA3BBE6-6991-43A6-90BF-EBB4DB6E5C42}"/>
    <cellStyle name="Normal 4 9 5 4" xfId="8898" xr:uid="{90D7CF03-93AF-48D9-A364-2FFEA698043E}"/>
    <cellStyle name="Normal 4 9 5 4 2" xfId="18006" xr:uid="{05B5C346-E464-4161-8638-39E9EE0DECF5}"/>
    <cellStyle name="Normal 4 9 5 5" xfId="8899" xr:uid="{9E764C7D-9DBC-4388-A3A9-97AB2D6A793C}"/>
    <cellStyle name="Normal 4 9 5 5 2" xfId="18007" xr:uid="{A26E441E-84BA-4312-A439-AC9C04F6B0E8}"/>
    <cellStyle name="Normal 4 9 5 6" xfId="18001" xr:uid="{C6F2E334-09FC-47C4-BD65-8907B6D66241}"/>
    <cellStyle name="Normal 4 9 6" xfId="8900" xr:uid="{0012F8DA-FACE-4A57-9B04-995C5D939239}"/>
    <cellStyle name="Normal 4 9 6 2" xfId="8901" xr:uid="{84AF7B60-CDA5-4F2B-88B3-A86FF8DEDCD5}"/>
    <cellStyle name="Normal 4 9 6 2 2" xfId="18009" xr:uid="{FB10703A-4F9E-4B87-84CE-7311025F3CDD}"/>
    <cellStyle name="Normal 4 9 6 3" xfId="8902" xr:uid="{E0B7C547-52A5-4290-858D-D9541F096AEB}"/>
    <cellStyle name="Normal 4 9 6 3 2" xfId="18010" xr:uid="{597DBFB0-B0DA-4451-9015-384F8D8C2506}"/>
    <cellStyle name="Normal 4 9 6 4" xfId="18008" xr:uid="{25310AE9-5D92-4C9B-889A-7249D6AA44A2}"/>
    <cellStyle name="Normal 4 9 7" xfId="8903" xr:uid="{64D0510A-9FDD-415E-B1B8-64673A66736B}"/>
    <cellStyle name="Normal 4 9 7 2" xfId="18011" xr:uid="{57F7AAB6-8FDF-496D-85E8-261C62C47D7B}"/>
    <cellStyle name="Normal 4 9 8" xfId="8904" xr:uid="{8E5A47CB-4800-4DBE-B826-CF290A2A7739}"/>
    <cellStyle name="Normal 4 9 8 2" xfId="18012" xr:uid="{59637114-EA86-4DF4-BD6F-B9ADC3A2F6A0}"/>
    <cellStyle name="Normal 4 9 9" xfId="8905" xr:uid="{93FB0ACD-BA37-4DEF-8C50-26BFA28784BA}"/>
    <cellStyle name="Normal 4 9 9 2" xfId="18013" xr:uid="{BE92AA4F-989D-40ED-A381-83FB8E83A013}"/>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2 2" xfId="18016" xr:uid="{135F432E-1CC0-4432-978F-ED87DAAB620C}"/>
    <cellStyle name="Normal 5 10 2 3" xfId="8909" xr:uid="{0D5D1C84-4CA5-4597-99E8-F9472D1A09D2}"/>
    <cellStyle name="Normal 5 10 2 3 2" xfId="18017" xr:uid="{E0D76A5C-AC25-4001-A109-9AC31C9E8329}"/>
    <cellStyle name="Normal 5 10 2 4" xfId="18015" xr:uid="{513F5371-93D0-4A40-AB93-0AC8E64B8DA6}"/>
    <cellStyle name="Normal 5 10 3" xfId="8910" xr:uid="{D0829DEA-19E2-48A3-B5EF-8B061F2BD8E2}"/>
    <cellStyle name="Normal 5 10 3 2" xfId="18018" xr:uid="{03AF9436-0CC2-4920-931D-C64E78527B52}"/>
    <cellStyle name="Normal 5 10 4" xfId="8911" xr:uid="{8FDAB071-1623-4A06-AB4A-0A366B652273}"/>
    <cellStyle name="Normal 5 10 4 2" xfId="18019" xr:uid="{40DD085C-60B0-4424-9FB0-07BD875BEE2F}"/>
    <cellStyle name="Normal 5 10 5" xfId="8912" xr:uid="{9B8A2E56-9934-4C84-99D5-101D1F712CC9}"/>
    <cellStyle name="Normal 5 10 5 2" xfId="18020" xr:uid="{B5EBDB42-1A80-4EEF-BB50-F44331F66ACB}"/>
    <cellStyle name="Normal 5 10 6" xfId="18014" xr:uid="{75565168-C90B-4848-8ABD-ACF30178502B}"/>
    <cellStyle name="Normal 5 11" xfId="8913" xr:uid="{179805B6-0847-45E5-B343-4F54CA3E841E}"/>
    <cellStyle name="Normal 5 12" xfId="10343" xr:uid="{C7BA1FC2-AC98-4F4E-B84B-1E90A6547752}"/>
    <cellStyle name="Normal 5 2" xfId="342" xr:uid="{00000000-0005-0000-0000-0000B0010000}"/>
    <cellStyle name="Normal 5 2 2" xfId="8914" xr:uid="{A1BB87C9-A007-4F29-A83C-E92655C986F0}"/>
    <cellStyle name="Normal 5 2 2 10" xfId="18021" xr:uid="{67F3E17F-E019-433C-B16B-4E6F8E80EF7D}"/>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2 2" xfId="18026" xr:uid="{E5D95296-E5EE-4836-BCDB-A1BC8875D565}"/>
    <cellStyle name="Normal 5 2 2 2 2 2 2 3" xfId="8920" xr:uid="{F6A2FF42-A237-4A0D-98D0-73B57C5AF926}"/>
    <cellStyle name="Normal 5 2 2 2 2 2 2 3 2" xfId="18027" xr:uid="{1DADCDB9-B9F9-4A3D-B5A5-EE1091A082D0}"/>
    <cellStyle name="Normal 5 2 2 2 2 2 2 4" xfId="18025" xr:uid="{FFEDEB8E-B92F-4CEF-A9A4-1973E85248D5}"/>
    <cellStyle name="Normal 5 2 2 2 2 2 3" xfId="8921" xr:uid="{5522420C-E3C4-42FE-8B6C-E3D68456E918}"/>
    <cellStyle name="Normal 5 2 2 2 2 2 3 2" xfId="18028" xr:uid="{F387F5F8-DDD4-4256-BD8D-007332307DB2}"/>
    <cellStyle name="Normal 5 2 2 2 2 2 4" xfId="8922" xr:uid="{C121E17A-2639-4049-9B83-5ACE4A30C3E5}"/>
    <cellStyle name="Normal 5 2 2 2 2 2 4 2" xfId="18029" xr:uid="{CDE24C42-9A84-4FA3-A8E1-3B8B7AD32B70}"/>
    <cellStyle name="Normal 5 2 2 2 2 2 5" xfId="8923" xr:uid="{721B52C1-EF53-4F2F-BA90-5C3B97E80915}"/>
    <cellStyle name="Normal 5 2 2 2 2 2 5 2" xfId="18030" xr:uid="{3BD101A8-82F8-4858-939A-5AA6E43A5B67}"/>
    <cellStyle name="Normal 5 2 2 2 2 2 6" xfId="18024" xr:uid="{4DC01FE9-E31D-410F-9E3B-6947F6EB7160}"/>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2 2" xfId="18033" xr:uid="{08C08186-2C70-4CA1-A7E4-80B485772B44}"/>
    <cellStyle name="Normal 5 2 2 2 2 3 2 3" xfId="8927" xr:uid="{EF00E74F-1907-4097-AFC5-9B16ECA92BA9}"/>
    <cellStyle name="Normal 5 2 2 2 2 3 2 3 2" xfId="18034" xr:uid="{B9BB6E47-3B14-4D40-999F-7FB6250A2D1F}"/>
    <cellStyle name="Normal 5 2 2 2 2 3 2 4" xfId="18032" xr:uid="{B167C31A-53E6-47A5-AD91-4595F1CC275A}"/>
    <cellStyle name="Normal 5 2 2 2 2 3 3" xfId="8928" xr:uid="{6D803131-76E1-41CE-909D-8223089B4FB6}"/>
    <cellStyle name="Normal 5 2 2 2 2 3 3 2" xfId="18035" xr:uid="{E02D5A10-CE3F-4A2B-98D2-B7866EB1D5DA}"/>
    <cellStyle name="Normal 5 2 2 2 2 3 4" xfId="8929" xr:uid="{2BA46F71-F3B4-4EA6-854D-D6DCD9A13DF8}"/>
    <cellStyle name="Normal 5 2 2 2 2 3 4 2" xfId="18036" xr:uid="{17359744-D9C9-436C-B802-04EBDF6EE8BE}"/>
    <cellStyle name="Normal 5 2 2 2 2 3 5" xfId="8930" xr:uid="{B3C59755-5966-461F-9276-9105B00CF8F7}"/>
    <cellStyle name="Normal 5 2 2 2 2 3 5 2" xfId="18037" xr:uid="{12EAE451-F3C6-49F1-9078-0C9C9DBCAD17}"/>
    <cellStyle name="Normal 5 2 2 2 2 3 6" xfId="18031" xr:uid="{3411E265-A9AA-4EA0-8CBC-CC9BA569A155}"/>
    <cellStyle name="Normal 5 2 2 2 2 4" xfId="8931" xr:uid="{5DFCDFCF-7BAC-4E07-9307-A4BAF02F2A04}"/>
    <cellStyle name="Normal 5 2 2 2 2 4 2" xfId="8932" xr:uid="{A43F3329-1179-43B9-8BE2-756608AF1A17}"/>
    <cellStyle name="Normal 5 2 2 2 2 4 2 2" xfId="18039" xr:uid="{FC011C71-FBDA-4D15-AEBB-F5CDFE95FE01}"/>
    <cellStyle name="Normal 5 2 2 2 2 4 3" xfId="8933" xr:uid="{49CB2D1A-7083-4DEA-9312-D26C7D0ECD56}"/>
    <cellStyle name="Normal 5 2 2 2 2 4 3 2" xfId="18040" xr:uid="{FF4D1DA5-54C8-4FE5-B070-F2634BE67586}"/>
    <cellStyle name="Normal 5 2 2 2 2 4 4" xfId="18038" xr:uid="{9B9AAC76-16D0-4CBD-9338-52478C8972C6}"/>
    <cellStyle name="Normal 5 2 2 2 2 5" xfId="8934" xr:uid="{3A5FD4B5-57D9-4341-9E09-0E2A93722833}"/>
    <cellStyle name="Normal 5 2 2 2 2 5 2" xfId="18041" xr:uid="{33A8B54F-C037-454A-BDE0-E02C8BB1DA28}"/>
    <cellStyle name="Normal 5 2 2 2 2 6" xfId="8935" xr:uid="{11261A36-CD0B-4F8F-861B-61FECCE2B266}"/>
    <cellStyle name="Normal 5 2 2 2 2 6 2" xfId="18042" xr:uid="{1B8BDF5F-89E2-4D9C-A0D8-F57C7568BB2B}"/>
    <cellStyle name="Normal 5 2 2 2 2 7" xfId="8936" xr:uid="{155A24EC-8D5D-403C-B0EC-2F0EF06EEADE}"/>
    <cellStyle name="Normal 5 2 2 2 2 7 2" xfId="18043" xr:uid="{0CBF5DB0-C878-45BA-8031-69B11BF7C72B}"/>
    <cellStyle name="Normal 5 2 2 2 2 8" xfId="18023" xr:uid="{834E0F94-9BB0-4327-88D1-CA9550A6F078}"/>
    <cellStyle name="Normal 5 2 2 2 3" xfId="8937" xr:uid="{A1C050CF-5013-4F59-B3F6-C3FA25ADF1BF}"/>
    <cellStyle name="Normal 5 2 2 2 3 2" xfId="8938" xr:uid="{BD656166-12FE-4803-B366-D0B5F6A4D3DA}"/>
    <cellStyle name="Normal 5 2 2 2 3 2 2" xfId="8939" xr:uid="{92B56F8B-5D35-423A-BDE4-A7E0B5AE8296}"/>
    <cellStyle name="Normal 5 2 2 2 3 2 2 2" xfId="18046" xr:uid="{2F6CCE7B-4C40-4416-806C-0B4C4243D45D}"/>
    <cellStyle name="Normal 5 2 2 2 3 2 3" xfId="8940" xr:uid="{0FDF0321-B86E-4A5C-9CF1-74ACDAD1E737}"/>
    <cellStyle name="Normal 5 2 2 2 3 2 3 2" xfId="18047" xr:uid="{7C1C7E0C-94A5-4F3B-B1FD-4F40307B4658}"/>
    <cellStyle name="Normal 5 2 2 2 3 2 4" xfId="18045" xr:uid="{340D1356-C3B8-4906-B0CA-693BAC9AC272}"/>
    <cellStyle name="Normal 5 2 2 2 3 3" xfId="8941" xr:uid="{DA2B5FB8-2AE5-4E23-8C2D-07993944A62E}"/>
    <cellStyle name="Normal 5 2 2 2 3 3 2" xfId="18048" xr:uid="{DCD1AD44-A734-4718-AD41-D4F4BA96F02F}"/>
    <cellStyle name="Normal 5 2 2 2 3 4" xfId="8942" xr:uid="{9E12CA31-35CE-4EEF-A1B1-23A515D448FB}"/>
    <cellStyle name="Normal 5 2 2 2 3 4 2" xfId="18049" xr:uid="{6CA24599-4E93-42AC-A059-240ABCAA2069}"/>
    <cellStyle name="Normal 5 2 2 2 3 5" xfId="8943" xr:uid="{0BAA0716-2BC0-48E6-941B-076E1BC2AEAD}"/>
    <cellStyle name="Normal 5 2 2 2 3 5 2" xfId="18050" xr:uid="{6E4EC006-6951-4499-842B-F1F2AAD711C7}"/>
    <cellStyle name="Normal 5 2 2 2 3 6" xfId="18044" xr:uid="{CC9E8754-A4E1-4A32-A02F-07C1391EB9C1}"/>
    <cellStyle name="Normal 5 2 2 2 4" xfId="8944" xr:uid="{DCDE23B4-3779-41A5-AD1D-49201869CDE0}"/>
    <cellStyle name="Normal 5 2 2 2 4 2" xfId="8945" xr:uid="{B9C5C4A7-E99E-489E-82DB-C26AD69D7D34}"/>
    <cellStyle name="Normal 5 2 2 2 4 2 2" xfId="8946" xr:uid="{FDF17D44-2922-472F-8DD1-85CDE0CC1572}"/>
    <cellStyle name="Normal 5 2 2 2 4 2 2 2" xfId="18053" xr:uid="{888ACDA2-C8AB-4130-8C99-121488FE8B0E}"/>
    <cellStyle name="Normal 5 2 2 2 4 2 3" xfId="8947" xr:uid="{4F4478C7-5D03-4F29-969B-514D9248C065}"/>
    <cellStyle name="Normal 5 2 2 2 4 2 3 2" xfId="18054" xr:uid="{61FD9CF9-6965-4A54-A601-D6683F68BA2F}"/>
    <cellStyle name="Normal 5 2 2 2 4 2 4" xfId="18052" xr:uid="{E3FDB9B1-C2F4-43D8-AD75-FA12957669B1}"/>
    <cellStyle name="Normal 5 2 2 2 4 3" xfId="8948" xr:uid="{7846577A-E5E9-4DC2-80C6-52726112F1D5}"/>
    <cellStyle name="Normal 5 2 2 2 4 3 2" xfId="18055" xr:uid="{C7C8E586-FA78-4FE5-8CE7-0917DC2150AF}"/>
    <cellStyle name="Normal 5 2 2 2 4 4" xfId="8949" xr:uid="{BAFB432D-5AF5-48E7-9B08-4BD38CF78C54}"/>
    <cellStyle name="Normal 5 2 2 2 4 4 2" xfId="18056" xr:uid="{E3C7638D-4456-48B1-ABB0-8E78840F363D}"/>
    <cellStyle name="Normal 5 2 2 2 4 5" xfId="8950" xr:uid="{43346230-0C71-4989-93C9-B928D4FFF208}"/>
    <cellStyle name="Normal 5 2 2 2 4 5 2" xfId="18057" xr:uid="{CFF361A0-BD05-4256-B4B8-3D4D7BFAC03F}"/>
    <cellStyle name="Normal 5 2 2 2 4 6" xfId="18051" xr:uid="{80D5D5D9-67C0-4C51-8FFE-71D9264D6E0C}"/>
    <cellStyle name="Normal 5 2 2 2 5" xfId="8951" xr:uid="{E3B796C5-7ECD-48D9-B33A-39609483E515}"/>
    <cellStyle name="Normal 5 2 2 2 5 2" xfId="8952" xr:uid="{AFDA1864-CA32-42C9-8959-034F2CB09B39}"/>
    <cellStyle name="Normal 5 2 2 2 5 2 2" xfId="18059" xr:uid="{1DFA88A9-2EAF-4629-84FE-CEA088A47599}"/>
    <cellStyle name="Normal 5 2 2 2 5 3" xfId="8953" xr:uid="{7AB83A40-2E8E-46C2-9769-8DF055D2087A}"/>
    <cellStyle name="Normal 5 2 2 2 5 3 2" xfId="18060" xr:uid="{DC2BC7C5-56B5-444A-9AE8-21B0FB6D92C4}"/>
    <cellStyle name="Normal 5 2 2 2 5 4" xfId="18058" xr:uid="{682C0530-A09B-4D18-A865-B6DEBE47FD4A}"/>
    <cellStyle name="Normal 5 2 2 2 6" xfId="8954" xr:uid="{1C0B07E7-A720-4D1F-9ECB-B5BE2F50FF63}"/>
    <cellStyle name="Normal 5 2 2 2 6 2" xfId="18061" xr:uid="{8BBF301C-0034-4C08-B56C-FF8EDC006582}"/>
    <cellStyle name="Normal 5 2 2 2 7" xfId="8955" xr:uid="{E4F8502A-3171-4657-8594-D1D0456F2046}"/>
    <cellStyle name="Normal 5 2 2 2 7 2" xfId="18062" xr:uid="{D47C874F-6DFD-4D52-97CA-BFBFABD8778D}"/>
    <cellStyle name="Normal 5 2 2 2 8" xfId="8956" xr:uid="{2CA7C466-2F1D-4ECA-9778-D599D7350317}"/>
    <cellStyle name="Normal 5 2 2 2 8 2" xfId="18063" xr:uid="{B28F8C7B-7398-4F0F-8B29-024DFA3F1B23}"/>
    <cellStyle name="Normal 5 2 2 2 9" xfId="18022" xr:uid="{EF7B24BC-B407-4961-9A46-5218D6AFEBAC}"/>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2 2" xfId="18067" xr:uid="{7F4DC60C-681B-4465-933A-26112E1461C1}"/>
    <cellStyle name="Normal 5 2 2 3 2 2 3" xfId="8961" xr:uid="{18D5487C-05DD-4FC9-AD0F-4EE13854A07D}"/>
    <cellStyle name="Normal 5 2 2 3 2 2 3 2" xfId="18068" xr:uid="{06C5D0B9-2925-41EB-AD19-2A1446A263B7}"/>
    <cellStyle name="Normal 5 2 2 3 2 2 4" xfId="18066" xr:uid="{C1A00684-19BE-412E-9449-5C7211DFA223}"/>
    <cellStyle name="Normal 5 2 2 3 2 3" xfId="8962" xr:uid="{F22A84F5-9FE6-40F3-B281-BFFCC5322491}"/>
    <cellStyle name="Normal 5 2 2 3 2 3 2" xfId="18069" xr:uid="{C3EC38C3-9D86-4634-82A5-A22809841483}"/>
    <cellStyle name="Normal 5 2 2 3 2 4" xfId="8963" xr:uid="{3A09F903-742D-4D03-9026-2CD53A27B6E3}"/>
    <cellStyle name="Normal 5 2 2 3 2 4 2" xfId="18070" xr:uid="{8C4A0448-41D2-45D9-B451-9D033B8D4A0D}"/>
    <cellStyle name="Normal 5 2 2 3 2 5" xfId="8964" xr:uid="{0DA3FB3A-9BB6-43D4-91CB-AC5E5330A5D8}"/>
    <cellStyle name="Normal 5 2 2 3 2 5 2" xfId="18071" xr:uid="{404F0F07-BA8E-43A1-82AA-59A63FF06510}"/>
    <cellStyle name="Normal 5 2 2 3 2 6" xfId="18065" xr:uid="{43252A4C-4138-4AE5-8E49-C6EDA8A4B883}"/>
    <cellStyle name="Normal 5 2 2 3 3" xfId="8965" xr:uid="{BE22ADC8-81C0-4E3A-B881-43D1EA1A4C48}"/>
    <cellStyle name="Normal 5 2 2 3 3 2" xfId="8966" xr:uid="{55A44E2E-9976-44CD-9776-18E3802E52F5}"/>
    <cellStyle name="Normal 5 2 2 3 3 2 2" xfId="8967" xr:uid="{2757028E-2CB3-486D-948E-56E08CF96497}"/>
    <cellStyle name="Normal 5 2 2 3 3 2 2 2" xfId="18074" xr:uid="{F66926C8-78C0-4114-B0A8-6F6BB2BC4EF9}"/>
    <cellStyle name="Normal 5 2 2 3 3 2 3" xfId="8968" xr:uid="{EA942CF1-D2EF-4FFF-B151-0500ED851462}"/>
    <cellStyle name="Normal 5 2 2 3 3 2 3 2" xfId="18075" xr:uid="{F19C907D-81A9-4A03-8F82-8A9499AC67A6}"/>
    <cellStyle name="Normal 5 2 2 3 3 2 4" xfId="18073" xr:uid="{9112C3B3-F84E-4F2F-8073-76EADAEDB9BB}"/>
    <cellStyle name="Normal 5 2 2 3 3 3" xfId="8969" xr:uid="{BC023E38-7280-45F5-AD79-A0D6190E8006}"/>
    <cellStyle name="Normal 5 2 2 3 3 3 2" xfId="18076" xr:uid="{B2B06407-C125-4CD2-ABB0-F1C7856C8EFC}"/>
    <cellStyle name="Normal 5 2 2 3 3 4" xfId="8970" xr:uid="{03175716-2F13-4EA4-8367-6B02B71FFF76}"/>
    <cellStyle name="Normal 5 2 2 3 3 4 2" xfId="18077" xr:uid="{0879DB77-B030-4054-ADD0-03E001201C74}"/>
    <cellStyle name="Normal 5 2 2 3 3 5" xfId="8971" xr:uid="{3A139D31-9B36-4720-B20B-CC1A0B7E78F6}"/>
    <cellStyle name="Normal 5 2 2 3 3 5 2" xfId="18078" xr:uid="{117BB842-B0AB-4411-985E-BE86663493E2}"/>
    <cellStyle name="Normal 5 2 2 3 3 6" xfId="18072" xr:uid="{C6EF57C2-1A03-47C5-BD65-2B8E03A314B4}"/>
    <cellStyle name="Normal 5 2 2 3 4" xfId="8972" xr:uid="{8A306268-1116-4123-9B65-231FE6817837}"/>
    <cellStyle name="Normal 5 2 2 3 4 2" xfId="8973" xr:uid="{CF0BEAA1-BB2C-46EB-B046-4C4EEAF551C2}"/>
    <cellStyle name="Normal 5 2 2 3 4 2 2" xfId="18080" xr:uid="{50895776-3269-4EA5-ABEF-D7D4945A0A83}"/>
    <cellStyle name="Normal 5 2 2 3 4 3" xfId="8974" xr:uid="{23CEDE4A-9A36-4734-B590-18FE00BFF4CF}"/>
    <cellStyle name="Normal 5 2 2 3 4 3 2" xfId="18081" xr:uid="{E3BEDEFF-2341-4B47-A129-DB39AC630B61}"/>
    <cellStyle name="Normal 5 2 2 3 4 4" xfId="18079" xr:uid="{F2B23495-55FE-4D85-84E1-D53ADD2CC08C}"/>
    <cellStyle name="Normal 5 2 2 3 5" xfId="8975" xr:uid="{34182BC1-9F5A-4277-8FD5-73EA4A53B88D}"/>
    <cellStyle name="Normal 5 2 2 3 5 2" xfId="18082" xr:uid="{B5678986-BCB9-4B7B-BB28-E0BBECA2C749}"/>
    <cellStyle name="Normal 5 2 2 3 6" xfId="8976" xr:uid="{42248FA0-4E6C-4888-AA16-A540C54C71B2}"/>
    <cellStyle name="Normal 5 2 2 3 6 2" xfId="18083" xr:uid="{B552BDF9-6E31-421A-9645-812325DE4FDC}"/>
    <cellStyle name="Normal 5 2 2 3 7" xfId="8977" xr:uid="{D43BFE83-F7FA-4E3C-B33E-87CED978B7FF}"/>
    <cellStyle name="Normal 5 2 2 3 7 2" xfId="18084" xr:uid="{DBDDF7C1-F29C-479A-BC20-B4BEACDF0BAA}"/>
    <cellStyle name="Normal 5 2 2 3 8" xfId="18064" xr:uid="{066E31B7-F0AA-488A-998E-C6DFD2CCCD6A}"/>
    <cellStyle name="Normal 5 2 2 4" xfId="8978" xr:uid="{1542C578-7C40-4672-B440-DD550F592C50}"/>
    <cellStyle name="Normal 5 2 2 4 2" xfId="8979" xr:uid="{1828F9B6-023D-47FD-8618-E672CCC10B17}"/>
    <cellStyle name="Normal 5 2 2 4 2 2" xfId="8980" xr:uid="{A662D490-DBE6-4501-878F-B0DA1DEBD4F3}"/>
    <cellStyle name="Normal 5 2 2 4 2 2 2" xfId="18087" xr:uid="{A1E3849D-E5CB-4066-9DEA-0558B75357E2}"/>
    <cellStyle name="Normal 5 2 2 4 2 3" xfId="8981" xr:uid="{3FE6D054-AD22-4CD3-9145-043933B9C2F1}"/>
    <cellStyle name="Normal 5 2 2 4 2 3 2" xfId="18088" xr:uid="{7397748F-2497-4FB9-8C19-805FD0679F65}"/>
    <cellStyle name="Normal 5 2 2 4 2 4" xfId="18086" xr:uid="{EC99000B-792D-4669-89C5-B36B7DBAAA0D}"/>
    <cellStyle name="Normal 5 2 2 4 3" xfId="8982" xr:uid="{ED815624-85AA-44C4-ADD9-A47A912FCA6E}"/>
    <cellStyle name="Normal 5 2 2 4 3 2" xfId="18089" xr:uid="{CAFBA04E-553A-4303-BD91-D4A6C8B34496}"/>
    <cellStyle name="Normal 5 2 2 4 4" xfId="8983" xr:uid="{B94CCE94-C583-4197-A999-5B75115434E0}"/>
    <cellStyle name="Normal 5 2 2 4 4 2" xfId="18090" xr:uid="{6B3DE4BD-C2EB-44CA-A7C0-065872C5FE90}"/>
    <cellStyle name="Normal 5 2 2 4 5" xfId="8984" xr:uid="{A4B2DB27-C082-4A37-A0C3-54FDD057718A}"/>
    <cellStyle name="Normal 5 2 2 4 5 2" xfId="18091" xr:uid="{915A47A1-BB5B-445A-AFD5-22E36EBF5809}"/>
    <cellStyle name="Normal 5 2 2 4 6" xfId="18085" xr:uid="{E69BBE75-0ABA-4CB7-911C-B27DADCB0F07}"/>
    <cellStyle name="Normal 5 2 2 5" xfId="8985" xr:uid="{49B1E1AF-66BB-4F85-841A-1DE18B32E2E1}"/>
    <cellStyle name="Normal 5 2 2 5 2" xfId="8986" xr:uid="{75C21480-D920-4CA7-9976-C6D232C8E7EF}"/>
    <cellStyle name="Normal 5 2 2 5 2 2" xfId="8987" xr:uid="{2CE531DE-DC6B-418F-874B-73E885435A8F}"/>
    <cellStyle name="Normal 5 2 2 5 2 2 2" xfId="18094" xr:uid="{599008C7-3609-4FE0-9EE4-D1AE9734AADC}"/>
    <cellStyle name="Normal 5 2 2 5 2 3" xfId="8988" xr:uid="{E8DF6407-0469-4AC4-AEEB-EA40AC497044}"/>
    <cellStyle name="Normal 5 2 2 5 2 3 2" xfId="18095" xr:uid="{E69FEBAE-1241-4547-9AB0-5012864F9C36}"/>
    <cellStyle name="Normal 5 2 2 5 2 4" xfId="18093" xr:uid="{6AD156F2-85DE-48FB-8155-3D37C8632713}"/>
    <cellStyle name="Normal 5 2 2 5 3" xfId="8989" xr:uid="{7ED765DC-E38E-46ED-82CD-657C371C4912}"/>
    <cellStyle name="Normal 5 2 2 5 3 2" xfId="18096" xr:uid="{2A944F13-B91E-47E8-B9E0-ACD4390EFD91}"/>
    <cellStyle name="Normal 5 2 2 5 4" xfId="8990" xr:uid="{59101C13-3AA6-485A-8EDE-189A849FB22B}"/>
    <cellStyle name="Normal 5 2 2 5 4 2" xfId="18097" xr:uid="{7CD5735C-606C-469A-8F45-89EDE5764690}"/>
    <cellStyle name="Normal 5 2 2 5 5" xfId="8991" xr:uid="{FA9358F5-C8C2-42EA-9D68-322303174771}"/>
    <cellStyle name="Normal 5 2 2 5 5 2" xfId="18098" xr:uid="{02201C9B-7550-44F5-8A75-9C6CE52272F5}"/>
    <cellStyle name="Normal 5 2 2 5 6" xfId="18092" xr:uid="{9A822378-B97B-4FBF-9F37-624730DFDD24}"/>
    <cellStyle name="Normal 5 2 2 6" xfId="8992" xr:uid="{EEC9EF30-11E5-4511-B0D5-86DCB0F7B805}"/>
    <cellStyle name="Normal 5 2 2 6 2" xfId="8993" xr:uid="{D3B6EB8E-73E2-4526-A624-0927E02BD47B}"/>
    <cellStyle name="Normal 5 2 2 6 2 2" xfId="18100" xr:uid="{BB0ADCA0-7870-4A54-837F-BA4EDFD2F944}"/>
    <cellStyle name="Normal 5 2 2 6 3" xfId="8994" xr:uid="{28B56712-3417-4C2C-836D-D247A8B811CA}"/>
    <cellStyle name="Normal 5 2 2 6 3 2" xfId="18101" xr:uid="{2E116D5E-979C-4681-84F3-B92BEC2C21AF}"/>
    <cellStyle name="Normal 5 2 2 6 4" xfId="18099" xr:uid="{76CC3236-E36B-480A-8626-2B092CE3FA49}"/>
    <cellStyle name="Normal 5 2 2 7" xfId="8995" xr:uid="{F1749EAC-89F6-42F6-A3D9-625F3F949B37}"/>
    <cellStyle name="Normal 5 2 2 7 2" xfId="18102" xr:uid="{2C5AFC51-0393-4A96-A13C-62E1B07EC8A7}"/>
    <cellStyle name="Normal 5 2 2 8" xfId="8996" xr:uid="{4BBB23FB-C714-4655-BE89-AB696033B786}"/>
    <cellStyle name="Normal 5 2 2 8 2" xfId="18103" xr:uid="{B3FB39BF-E886-4459-BCFB-F4ED66C91F7B}"/>
    <cellStyle name="Normal 5 2 2 9" xfId="8997" xr:uid="{FACAC697-C8D8-48F2-ABA3-16D858B98FFE}"/>
    <cellStyle name="Normal 5 2 2 9 2" xfId="18104" xr:uid="{B30FA4C8-1F3F-4190-83F0-9AE07EDB138A}"/>
    <cellStyle name="Normal 5 2 3" xfId="8998" xr:uid="{17AE28C9-F220-49FC-B4E8-C0CC9578D255}"/>
    <cellStyle name="Normal 5 2 3 10" xfId="18105" xr:uid="{59DFF549-DBCD-4D2F-9ECC-76316BAEF326}"/>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2 2" xfId="18110" xr:uid="{78B29A3B-7ECB-4A54-B582-8CC04C5E067B}"/>
    <cellStyle name="Normal 5 2 3 2 2 2 2 3" xfId="9004" xr:uid="{1F7D6963-AC2C-4DF4-9405-DD852D230D67}"/>
    <cellStyle name="Normal 5 2 3 2 2 2 2 3 2" xfId="18111" xr:uid="{DC283D07-2D13-4E10-83C2-C4B30C51454B}"/>
    <cellStyle name="Normal 5 2 3 2 2 2 2 4" xfId="18109" xr:uid="{7BD25E36-F30B-478B-B79D-5DB4FD021162}"/>
    <cellStyle name="Normal 5 2 3 2 2 2 3" xfId="9005" xr:uid="{4EAC8607-6690-426C-872C-E0263CFCAA33}"/>
    <cellStyle name="Normal 5 2 3 2 2 2 3 2" xfId="18112" xr:uid="{03F328A5-C029-4BFC-B21E-CAEDA7C4FC91}"/>
    <cellStyle name="Normal 5 2 3 2 2 2 4" xfId="9006" xr:uid="{CF995C53-74FD-4596-997C-812958631DBD}"/>
    <cellStyle name="Normal 5 2 3 2 2 2 4 2" xfId="18113" xr:uid="{2F20438E-765A-461B-A534-54B3B1947895}"/>
    <cellStyle name="Normal 5 2 3 2 2 2 5" xfId="9007" xr:uid="{819A4A02-5632-4C95-9516-CAE9DA85F840}"/>
    <cellStyle name="Normal 5 2 3 2 2 2 5 2" xfId="18114" xr:uid="{198BC608-CEA7-4C50-9A03-5C774B48BDBE}"/>
    <cellStyle name="Normal 5 2 3 2 2 2 6" xfId="18108" xr:uid="{4AAF2344-5987-436E-9FE2-CF183A59A4C7}"/>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2 2" xfId="18117" xr:uid="{920DC389-7802-4708-8909-1A13A3DA842E}"/>
    <cellStyle name="Normal 5 2 3 2 2 3 2 3" xfId="9011" xr:uid="{14CB74D4-0445-4E8F-9D6A-BCA52B448FE7}"/>
    <cellStyle name="Normal 5 2 3 2 2 3 2 3 2" xfId="18118" xr:uid="{A04ED0DD-339E-4190-A20C-8D25245F9415}"/>
    <cellStyle name="Normal 5 2 3 2 2 3 2 4" xfId="18116" xr:uid="{D24E6B48-482B-48E6-9349-C8B26A24B946}"/>
    <cellStyle name="Normal 5 2 3 2 2 3 3" xfId="9012" xr:uid="{8383AFFD-EFC2-4438-A710-1359C70AAE9C}"/>
    <cellStyle name="Normal 5 2 3 2 2 3 3 2" xfId="18119" xr:uid="{3205838A-258D-400D-A83F-D7C6E6CD10F8}"/>
    <cellStyle name="Normal 5 2 3 2 2 3 4" xfId="9013" xr:uid="{2934F385-9F8C-4E4D-AE3B-C049D766738D}"/>
    <cellStyle name="Normal 5 2 3 2 2 3 4 2" xfId="18120" xr:uid="{DB87FECD-11C1-44CB-B715-B1CE57A9B274}"/>
    <cellStyle name="Normal 5 2 3 2 2 3 5" xfId="9014" xr:uid="{8977A31F-6A96-4812-83CA-46F88D6FCE08}"/>
    <cellStyle name="Normal 5 2 3 2 2 3 5 2" xfId="18121" xr:uid="{252E6511-AB11-49E4-95DC-BB18D3D59A0D}"/>
    <cellStyle name="Normal 5 2 3 2 2 3 6" xfId="18115" xr:uid="{E9663CED-B743-493C-A2B6-380D5CB9BD4C}"/>
    <cellStyle name="Normal 5 2 3 2 2 4" xfId="9015" xr:uid="{6EDCF40A-55F2-4D8C-A68E-97C17B054DF9}"/>
    <cellStyle name="Normal 5 2 3 2 2 4 2" xfId="9016" xr:uid="{98140FE4-7D27-4B89-8E09-7C40984B7213}"/>
    <cellStyle name="Normal 5 2 3 2 2 4 2 2" xfId="18123" xr:uid="{E89DB8FD-9551-4574-ABEE-FFA3DA5C5D28}"/>
    <cellStyle name="Normal 5 2 3 2 2 4 3" xfId="9017" xr:uid="{D33E2996-8287-4DC9-9BBC-401D088D29D7}"/>
    <cellStyle name="Normal 5 2 3 2 2 4 3 2" xfId="18124" xr:uid="{528F9D09-B3B2-4932-9145-CC3AB6366EB4}"/>
    <cellStyle name="Normal 5 2 3 2 2 4 4" xfId="18122" xr:uid="{9CA5B87C-198E-42D8-A783-DED572228EDF}"/>
    <cellStyle name="Normal 5 2 3 2 2 5" xfId="9018" xr:uid="{1C2181E5-2DE0-4B21-9A76-ADDEF5D0D526}"/>
    <cellStyle name="Normal 5 2 3 2 2 5 2" xfId="18125" xr:uid="{1796C8CE-5C19-46DA-927D-C416A5C3326A}"/>
    <cellStyle name="Normal 5 2 3 2 2 6" xfId="9019" xr:uid="{34A75266-3223-46BB-AF27-CC5414E9B05A}"/>
    <cellStyle name="Normal 5 2 3 2 2 6 2" xfId="18126" xr:uid="{500F44A2-5588-4BF3-9037-46F3255CE520}"/>
    <cellStyle name="Normal 5 2 3 2 2 7" xfId="9020" xr:uid="{212DB4AD-CA58-4D99-ACB2-BA6A1F1136AE}"/>
    <cellStyle name="Normal 5 2 3 2 2 7 2" xfId="18127" xr:uid="{A5DF830D-722E-4DCF-B687-0AB969617098}"/>
    <cellStyle name="Normal 5 2 3 2 2 8" xfId="18107" xr:uid="{C88CF087-D6DA-483B-A6AC-B638B2058CD6}"/>
    <cellStyle name="Normal 5 2 3 2 3" xfId="9021" xr:uid="{9DEF3D4B-C2D9-4864-AB9B-4BCA7FC67220}"/>
    <cellStyle name="Normal 5 2 3 2 3 2" xfId="9022" xr:uid="{5686B14C-2E68-4856-A34A-52A4597776DE}"/>
    <cellStyle name="Normal 5 2 3 2 3 2 2" xfId="9023" xr:uid="{73E2E789-65C4-4940-AC93-A1046CAA8F62}"/>
    <cellStyle name="Normal 5 2 3 2 3 2 2 2" xfId="18130" xr:uid="{160D6E71-49C3-4881-B70D-B94FEE10B464}"/>
    <cellStyle name="Normal 5 2 3 2 3 2 3" xfId="9024" xr:uid="{512C0208-3475-400E-92AF-45FBDA1BF277}"/>
    <cellStyle name="Normal 5 2 3 2 3 2 3 2" xfId="18131" xr:uid="{757D88DF-CAFF-49C2-92E6-EC7BEAA799F8}"/>
    <cellStyle name="Normal 5 2 3 2 3 2 4" xfId="18129" xr:uid="{168C4D93-5BC7-4B34-849D-3ACF8AEE97FF}"/>
    <cellStyle name="Normal 5 2 3 2 3 3" xfId="9025" xr:uid="{1180B039-748F-4990-9AFE-02A1C961BCE1}"/>
    <cellStyle name="Normal 5 2 3 2 3 3 2" xfId="18132" xr:uid="{948113C9-7153-4AA7-9AF9-597742D194E8}"/>
    <cellStyle name="Normal 5 2 3 2 3 4" xfId="9026" xr:uid="{1DA4A973-7E2F-4532-BA93-5EE2C811EA1F}"/>
    <cellStyle name="Normal 5 2 3 2 3 4 2" xfId="18133" xr:uid="{43A03BCC-D4E3-419F-A2A2-117B99A3D689}"/>
    <cellStyle name="Normal 5 2 3 2 3 5" xfId="9027" xr:uid="{83353908-A32A-4BB1-A9BA-BC3F9B645116}"/>
    <cellStyle name="Normal 5 2 3 2 3 5 2" xfId="18134" xr:uid="{28D87567-B1CA-470B-8263-CCC1BF541285}"/>
    <cellStyle name="Normal 5 2 3 2 3 6" xfId="18128" xr:uid="{81C6F2A2-BC0E-4BD1-AF83-AC840181C3A0}"/>
    <cellStyle name="Normal 5 2 3 2 4" xfId="9028" xr:uid="{08B7CC32-057B-45B9-A963-1C41FF27BE1A}"/>
    <cellStyle name="Normal 5 2 3 2 4 2" xfId="9029" xr:uid="{7192CE85-FC6F-4F34-8821-C6C71ADCB929}"/>
    <cellStyle name="Normal 5 2 3 2 4 2 2" xfId="9030" xr:uid="{14B916A0-0FE6-4129-9295-5C147E07196B}"/>
    <cellStyle name="Normal 5 2 3 2 4 2 2 2" xfId="18137" xr:uid="{C7791335-15CD-415F-943E-58DE550D2502}"/>
    <cellStyle name="Normal 5 2 3 2 4 2 3" xfId="9031" xr:uid="{9494E9F1-75E9-436D-A7B8-EB5F20AA529F}"/>
    <cellStyle name="Normal 5 2 3 2 4 2 3 2" xfId="18138" xr:uid="{A46BB3E4-1990-40EA-B98C-34A30C36B7A3}"/>
    <cellStyle name="Normal 5 2 3 2 4 2 4" xfId="18136" xr:uid="{D807E465-D233-45B4-9E6E-B1A3815B8110}"/>
    <cellStyle name="Normal 5 2 3 2 4 3" xfId="9032" xr:uid="{B01B94B6-A7A9-4AEC-BEF9-D465BEAB03B9}"/>
    <cellStyle name="Normal 5 2 3 2 4 3 2" xfId="18139" xr:uid="{941521BA-67B9-4CB3-B6B5-2D0D6875BC22}"/>
    <cellStyle name="Normal 5 2 3 2 4 4" xfId="9033" xr:uid="{D255207D-7E52-4288-B381-B23A97EA1A57}"/>
    <cellStyle name="Normal 5 2 3 2 4 4 2" xfId="18140" xr:uid="{C5183133-CE00-4C00-ABC2-0E9CFF2C67B8}"/>
    <cellStyle name="Normal 5 2 3 2 4 5" xfId="9034" xr:uid="{C94E9A1E-587F-408D-8A2D-4501FF8A0C7D}"/>
    <cellStyle name="Normal 5 2 3 2 4 5 2" xfId="18141" xr:uid="{734B1F7B-CC9B-4638-8839-D43B02E90DB7}"/>
    <cellStyle name="Normal 5 2 3 2 4 6" xfId="18135" xr:uid="{5BD15CBE-191D-485E-942D-A77693675889}"/>
    <cellStyle name="Normal 5 2 3 2 5" xfId="9035" xr:uid="{BFD32835-E8EE-485C-BEC8-60D9445AF5BD}"/>
    <cellStyle name="Normal 5 2 3 2 5 2" xfId="9036" xr:uid="{49FD2E90-B643-4BC8-826B-14A0792AA0C5}"/>
    <cellStyle name="Normal 5 2 3 2 5 2 2" xfId="18143" xr:uid="{D7203A88-723A-43CC-8564-1B61DA8FC056}"/>
    <cellStyle name="Normal 5 2 3 2 5 3" xfId="9037" xr:uid="{834D3E57-D793-4CD7-85D1-2E444D750142}"/>
    <cellStyle name="Normal 5 2 3 2 5 3 2" xfId="18144" xr:uid="{7168115C-1849-4F0B-8B98-2202EEBF9869}"/>
    <cellStyle name="Normal 5 2 3 2 5 4" xfId="18142" xr:uid="{50349EF9-9F8F-472A-984C-99B3F69260AB}"/>
    <cellStyle name="Normal 5 2 3 2 6" xfId="9038" xr:uid="{A3BEDE56-7797-4D3E-B1AA-57F5A1BEB9DC}"/>
    <cellStyle name="Normal 5 2 3 2 6 2" xfId="18145" xr:uid="{72A9851F-4DB9-4A37-96D8-531F64ADE748}"/>
    <cellStyle name="Normal 5 2 3 2 7" xfId="9039" xr:uid="{4E7067E7-19EF-4222-B75F-C06E1303D74C}"/>
    <cellStyle name="Normal 5 2 3 2 7 2" xfId="18146" xr:uid="{DBB517FB-3F53-4D91-BE75-F051C620B585}"/>
    <cellStyle name="Normal 5 2 3 2 8" xfId="9040" xr:uid="{C5BFFE82-06FA-4286-A81F-8FA93602A82C}"/>
    <cellStyle name="Normal 5 2 3 2 8 2" xfId="18147" xr:uid="{C627330A-A7CA-416E-89FE-308373B6BEB3}"/>
    <cellStyle name="Normal 5 2 3 2 9" xfId="18106" xr:uid="{08E98F3F-C9E8-46E8-AE72-D70ABD3B34F9}"/>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2 2" xfId="18151" xr:uid="{29DF0B0E-F32F-4BD9-8E8F-9174741868E6}"/>
    <cellStyle name="Normal 5 2 3 3 2 2 3" xfId="9045" xr:uid="{EBC3E273-B798-4F30-8C6E-4D9760593409}"/>
    <cellStyle name="Normal 5 2 3 3 2 2 3 2" xfId="18152" xr:uid="{D5AEF4CA-EFAC-41C0-B3F2-568414AE060F}"/>
    <cellStyle name="Normal 5 2 3 3 2 2 4" xfId="18150" xr:uid="{356A50F3-3DD9-4CDD-88B3-5AA916A73B85}"/>
    <cellStyle name="Normal 5 2 3 3 2 3" xfId="9046" xr:uid="{86257632-D943-4123-8398-E1775BC9ECC9}"/>
    <cellStyle name="Normal 5 2 3 3 2 3 2" xfId="18153" xr:uid="{BA82D42F-2747-4816-A502-3C1C89BC3C16}"/>
    <cellStyle name="Normal 5 2 3 3 2 4" xfId="9047" xr:uid="{2408D21F-EDFA-4385-9296-68856974E606}"/>
    <cellStyle name="Normal 5 2 3 3 2 4 2" xfId="18154" xr:uid="{A1F2388B-5A8C-47D0-9D39-1BA0710AD5B2}"/>
    <cellStyle name="Normal 5 2 3 3 2 5" xfId="9048" xr:uid="{62DFE274-1ABF-4940-9DCE-4C37F6A8805B}"/>
    <cellStyle name="Normal 5 2 3 3 2 5 2" xfId="18155" xr:uid="{7557452F-A0C8-48D2-897F-EC811E0B236C}"/>
    <cellStyle name="Normal 5 2 3 3 2 6" xfId="18149" xr:uid="{1554C355-37C9-48E5-AFF3-A08E01DB5306}"/>
    <cellStyle name="Normal 5 2 3 3 3" xfId="9049" xr:uid="{2B045885-C17A-497E-B99E-B547F3A320B1}"/>
    <cellStyle name="Normal 5 2 3 3 3 2" xfId="9050" xr:uid="{232ED932-DCAC-4D74-BB17-D570D6C77D29}"/>
    <cellStyle name="Normal 5 2 3 3 3 2 2" xfId="9051" xr:uid="{00EEC6C6-DC62-4ABA-AD54-B58AFEF4A381}"/>
    <cellStyle name="Normal 5 2 3 3 3 2 2 2" xfId="18158" xr:uid="{4BBF5770-408F-447D-AEE9-5D2DBBF7F0DC}"/>
    <cellStyle name="Normal 5 2 3 3 3 2 3" xfId="9052" xr:uid="{63D60251-77D7-4C47-AB04-F27830B06524}"/>
    <cellStyle name="Normal 5 2 3 3 3 2 3 2" xfId="18159" xr:uid="{87C7205E-8849-4246-A7EE-278484AC2FBE}"/>
    <cellStyle name="Normal 5 2 3 3 3 2 4" xfId="18157" xr:uid="{08BB30A4-1D34-4142-A947-A21FE71F6071}"/>
    <cellStyle name="Normal 5 2 3 3 3 3" xfId="9053" xr:uid="{6A4D01F1-23F1-47BD-A625-04176817EB31}"/>
    <cellStyle name="Normal 5 2 3 3 3 3 2" xfId="18160" xr:uid="{EBC3F9B5-90BC-4F7D-8AFD-9393C6EBB64C}"/>
    <cellStyle name="Normal 5 2 3 3 3 4" xfId="9054" xr:uid="{41BDC1AC-974D-4CA8-AEB7-695E07583791}"/>
    <cellStyle name="Normal 5 2 3 3 3 4 2" xfId="18161" xr:uid="{FC4C3F31-5EF7-4EC7-AD36-CE9EFE1C35D5}"/>
    <cellStyle name="Normal 5 2 3 3 3 5" xfId="9055" xr:uid="{95E03235-05A5-4803-B10A-6477E0887199}"/>
    <cellStyle name="Normal 5 2 3 3 3 5 2" xfId="18162" xr:uid="{C27103D0-1549-46A2-9995-BF367FA26AC8}"/>
    <cellStyle name="Normal 5 2 3 3 3 6" xfId="18156" xr:uid="{077AB47D-FAF7-4F6B-B0BD-28E83A601146}"/>
    <cellStyle name="Normal 5 2 3 3 4" xfId="9056" xr:uid="{9180422D-41C6-47EF-A7F4-75B837EA2694}"/>
    <cellStyle name="Normal 5 2 3 3 4 2" xfId="9057" xr:uid="{893D8010-B231-4DD0-B09B-2716A012CEB8}"/>
    <cellStyle name="Normal 5 2 3 3 4 2 2" xfId="18164" xr:uid="{9E91A4EA-6E6C-453F-80C7-DC101C09305B}"/>
    <cellStyle name="Normal 5 2 3 3 4 3" xfId="9058" xr:uid="{E4FF9A2A-8B2F-4420-B0B4-AEA94882ECD3}"/>
    <cellStyle name="Normal 5 2 3 3 4 3 2" xfId="18165" xr:uid="{E537E9B2-1ACF-4AC9-A0B4-F48C895D61F8}"/>
    <cellStyle name="Normal 5 2 3 3 4 4" xfId="18163" xr:uid="{5E98C32C-30C1-47E2-B6F7-8177EDD57940}"/>
    <cellStyle name="Normal 5 2 3 3 5" xfId="9059" xr:uid="{76E3B1D2-6106-4147-97D4-655BFE95BB70}"/>
    <cellStyle name="Normal 5 2 3 3 5 2" xfId="18166" xr:uid="{BCCBFCDF-01F3-4DCB-B97A-17EED51846B4}"/>
    <cellStyle name="Normal 5 2 3 3 6" xfId="9060" xr:uid="{80BF6442-3DB4-4ACA-A2F5-0EAFFE57D6EB}"/>
    <cellStyle name="Normal 5 2 3 3 6 2" xfId="18167" xr:uid="{6A143547-A05D-4711-9C21-67098CB47DF0}"/>
    <cellStyle name="Normal 5 2 3 3 7" xfId="9061" xr:uid="{79B46A46-4A52-499E-846C-58A365EEC3DF}"/>
    <cellStyle name="Normal 5 2 3 3 7 2" xfId="18168" xr:uid="{F488D95C-B682-42C0-9F1E-ED22495B0F91}"/>
    <cellStyle name="Normal 5 2 3 3 8" xfId="18148" xr:uid="{A57A9B29-04D0-4FEB-A633-07193134051C}"/>
    <cellStyle name="Normal 5 2 3 4" xfId="9062" xr:uid="{AD4405A1-B55A-4119-8875-3578036BDE52}"/>
    <cellStyle name="Normal 5 2 3 4 2" xfId="9063" xr:uid="{BAC54AD7-0A99-4A37-B262-2B2DD95C7A86}"/>
    <cellStyle name="Normal 5 2 3 4 2 2" xfId="9064" xr:uid="{BD4FB91C-767F-4367-AF5A-704B78DA0934}"/>
    <cellStyle name="Normal 5 2 3 4 2 2 2" xfId="18171" xr:uid="{23BAB5D8-6028-4882-B1AD-576AF11EBBA4}"/>
    <cellStyle name="Normal 5 2 3 4 2 3" xfId="9065" xr:uid="{77B47159-48A6-4319-A8FC-CE06EE2FF9FE}"/>
    <cellStyle name="Normal 5 2 3 4 2 3 2" xfId="18172" xr:uid="{BCDE7A99-8214-44C2-9788-FE5CA4AD375E}"/>
    <cellStyle name="Normal 5 2 3 4 2 4" xfId="18170" xr:uid="{CEBFD2F3-01BE-4160-8F61-FCD5E8C0DE50}"/>
    <cellStyle name="Normal 5 2 3 4 3" xfId="9066" xr:uid="{6A255A38-F734-48B6-BA6F-BD0DC2BDACEF}"/>
    <cellStyle name="Normal 5 2 3 4 3 2" xfId="18173" xr:uid="{6B73ACFB-5E53-4C87-A7EC-CBA74B954BBF}"/>
    <cellStyle name="Normal 5 2 3 4 4" xfId="9067" xr:uid="{C30ACCBE-71DF-49FF-9D9E-A7E564227187}"/>
    <cellStyle name="Normal 5 2 3 4 4 2" xfId="18174" xr:uid="{312F974C-E17D-4D25-A2C9-24E150F7F81A}"/>
    <cellStyle name="Normal 5 2 3 4 5" xfId="9068" xr:uid="{2EE2AF25-538B-45B5-A3B4-7E390F286007}"/>
    <cellStyle name="Normal 5 2 3 4 5 2" xfId="18175" xr:uid="{2C057772-169E-458F-9BDC-C6F94DC3B244}"/>
    <cellStyle name="Normal 5 2 3 4 6" xfId="18169" xr:uid="{03D0A58C-CBB2-4554-94C7-DB8DB58E109A}"/>
    <cellStyle name="Normal 5 2 3 5" xfId="9069" xr:uid="{5FB3EE6C-2658-45E4-8022-0B41E29645C3}"/>
    <cellStyle name="Normal 5 2 3 5 2" xfId="9070" xr:uid="{C2837CE9-2FD4-4B94-BB8A-3E1228C67BEB}"/>
    <cellStyle name="Normal 5 2 3 5 2 2" xfId="9071" xr:uid="{FDCCBE3A-6E5D-414F-B4D8-7B1EA3C97E2F}"/>
    <cellStyle name="Normal 5 2 3 5 2 2 2" xfId="18178" xr:uid="{EA7FD8D6-EFD7-4891-B86D-75E382EFD561}"/>
    <cellStyle name="Normal 5 2 3 5 2 3" xfId="9072" xr:uid="{B4AA4B89-AD89-4233-A00B-1005E3F74742}"/>
    <cellStyle name="Normal 5 2 3 5 2 3 2" xfId="18179" xr:uid="{A3BF0610-076C-4989-9216-E2E4C50FAE7C}"/>
    <cellStyle name="Normal 5 2 3 5 2 4" xfId="18177" xr:uid="{776EFA52-52B0-4184-B3B1-815A4270B97D}"/>
    <cellStyle name="Normal 5 2 3 5 3" xfId="9073" xr:uid="{D897611A-FBDC-48FB-B59D-C0C569C7C72C}"/>
    <cellStyle name="Normal 5 2 3 5 3 2" xfId="18180" xr:uid="{A2B27274-CD07-4B0C-A8B0-6C6BE032E88D}"/>
    <cellStyle name="Normal 5 2 3 5 4" xfId="9074" xr:uid="{B6199320-AEF9-406B-A9B1-B4634D8C403A}"/>
    <cellStyle name="Normal 5 2 3 5 4 2" xfId="18181" xr:uid="{17F51384-611E-4C48-A1F1-A21B89C8761A}"/>
    <cellStyle name="Normal 5 2 3 5 5" xfId="9075" xr:uid="{EBE5411D-66F4-4AE0-BF51-4B6D7DB0868E}"/>
    <cellStyle name="Normal 5 2 3 5 5 2" xfId="18182" xr:uid="{5AEDB8CF-7C08-4C12-AA24-EE6F54674C01}"/>
    <cellStyle name="Normal 5 2 3 5 6" xfId="18176" xr:uid="{2125C871-25BB-473B-A85F-67751DF152E8}"/>
    <cellStyle name="Normal 5 2 3 6" xfId="9076" xr:uid="{F5818A84-4307-471D-BFA5-681199CF8B71}"/>
    <cellStyle name="Normal 5 2 3 6 2" xfId="9077" xr:uid="{3A16939D-57FD-4B2D-B620-367379B4C75D}"/>
    <cellStyle name="Normal 5 2 3 6 2 2" xfId="18184" xr:uid="{697E6620-4E61-445D-90BE-65D7E2726AD2}"/>
    <cellStyle name="Normal 5 2 3 6 3" xfId="9078" xr:uid="{205C040A-45DC-419D-80BB-BE4FBF113B14}"/>
    <cellStyle name="Normal 5 2 3 6 3 2" xfId="18185" xr:uid="{66F1EDC7-FB5F-4E70-AEBB-19705E082BB5}"/>
    <cellStyle name="Normal 5 2 3 6 4" xfId="18183" xr:uid="{17E7E73D-667D-4054-870E-0187F81A0711}"/>
    <cellStyle name="Normal 5 2 3 7" xfId="9079" xr:uid="{B6DADDE7-0D8F-4ACD-A27E-6F8DE8611A8A}"/>
    <cellStyle name="Normal 5 2 3 7 2" xfId="18186" xr:uid="{1137FEE9-E448-4440-B347-94798FFEA7F1}"/>
    <cellStyle name="Normal 5 2 3 8" xfId="9080" xr:uid="{0FAB187F-6954-42F7-8946-A3B442F09855}"/>
    <cellStyle name="Normal 5 2 3 8 2" xfId="18187" xr:uid="{47D70804-8BB7-45A5-8E37-55B39F00D742}"/>
    <cellStyle name="Normal 5 2 3 9" xfId="9081" xr:uid="{686B4843-F0C0-4854-BE9F-B98D0CE113F7}"/>
    <cellStyle name="Normal 5 2 3 9 2" xfId="18188" xr:uid="{74118BBF-2DE7-4494-99A2-E2A625A40FE5}"/>
    <cellStyle name="Normal 5 2 4" xfId="9082" xr:uid="{FD68102E-6CA0-4A80-83B0-573B788CADED}"/>
    <cellStyle name="Normal 5 2 4 10" xfId="18189" xr:uid="{AC335DD6-37A0-4233-A07F-5C42DC2AD98C}"/>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2 2" xfId="18194" xr:uid="{67E61600-EB87-45AF-BBE0-994307F3DAC7}"/>
    <cellStyle name="Normal 5 2 4 2 2 2 2 3" xfId="9088" xr:uid="{AB6C25F2-1DD0-498E-9C09-A788E7B8C1C4}"/>
    <cellStyle name="Normal 5 2 4 2 2 2 2 3 2" xfId="18195" xr:uid="{8F4C586C-2957-4329-834F-264AFBC40BB8}"/>
    <cellStyle name="Normal 5 2 4 2 2 2 2 4" xfId="18193" xr:uid="{2FD1138C-B0A9-4099-B55B-D0C1745A19B4}"/>
    <cellStyle name="Normal 5 2 4 2 2 2 3" xfId="9089" xr:uid="{78E3F272-5FA7-4573-AB84-698B7E4517E1}"/>
    <cellStyle name="Normal 5 2 4 2 2 2 3 2" xfId="18196" xr:uid="{93176140-7C23-445D-92F0-4E50AF93F29A}"/>
    <cellStyle name="Normal 5 2 4 2 2 2 4" xfId="9090" xr:uid="{6EBD6ED1-A303-4D44-B196-AB82D11166B7}"/>
    <cellStyle name="Normal 5 2 4 2 2 2 4 2" xfId="18197" xr:uid="{5FF5C7B1-633B-42AD-A49A-94D057BE277D}"/>
    <cellStyle name="Normal 5 2 4 2 2 2 5" xfId="9091" xr:uid="{54F2C70E-7476-41F5-8234-5A6DCF9A79B4}"/>
    <cellStyle name="Normal 5 2 4 2 2 2 5 2" xfId="18198" xr:uid="{ABA2C7D0-95DA-4926-8244-69C5ECA7E931}"/>
    <cellStyle name="Normal 5 2 4 2 2 2 6" xfId="18192" xr:uid="{AC8C870B-9479-42B2-A0BA-78D347D8284F}"/>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2 2" xfId="18201" xr:uid="{42AA9200-2BCB-479C-AAF7-E546DED75681}"/>
    <cellStyle name="Normal 5 2 4 2 2 3 2 3" xfId="9095" xr:uid="{9F1A26C7-51C6-46C3-A4D8-F12E0E90471A}"/>
    <cellStyle name="Normal 5 2 4 2 2 3 2 3 2" xfId="18202" xr:uid="{3AA855E7-5988-4AC9-9D43-0B494D4A022B}"/>
    <cellStyle name="Normal 5 2 4 2 2 3 2 4" xfId="18200" xr:uid="{1208F79E-3913-4ABB-AF09-BCD5AA993507}"/>
    <cellStyle name="Normal 5 2 4 2 2 3 3" xfId="9096" xr:uid="{D2DB5F07-DF2A-425A-82BA-32CA696B44B0}"/>
    <cellStyle name="Normal 5 2 4 2 2 3 3 2" xfId="18203" xr:uid="{7AA56A99-536C-4379-9675-72121D81559B}"/>
    <cellStyle name="Normal 5 2 4 2 2 3 4" xfId="9097" xr:uid="{ECC426C0-4B98-48E8-AA2A-419C2AD209FE}"/>
    <cellStyle name="Normal 5 2 4 2 2 3 4 2" xfId="18204" xr:uid="{29B12E04-F9EF-42FB-B2B1-69EFDB3060A1}"/>
    <cellStyle name="Normal 5 2 4 2 2 3 5" xfId="9098" xr:uid="{46A1E0E7-C8C1-48AE-91DB-42DD92448F0A}"/>
    <cellStyle name="Normal 5 2 4 2 2 3 5 2" xfId="18205" xr:uid="{64F64DC7-E88E-4F64-B96E-7DF985C47043}"/>
    <cellStyle name="Normal 5 2 4 2 2 3 6" xfId="18199" xr:uid="{D92E1435-F3FB-46D1-93F5-5A8C1E51A7CF}"/>
    <cellStyle name="Normal 5 2 4 2 2 4" xfId="9099" xr:uid="{9F104F18-A5FA-4E67-8CDD-4C66A528C4E0}"/>
    <cellStyle name="Normal 5 2 4 2 2 4 2" xfId="9100" xr:uid="{467E01CF-1726-4347-AFCD-6723970C49DD}"/>
    <cellStyle name="Normal 5 2 4 2 2 4 2 2" xfId="18207" xr:uid="{B213FFAA-3FCE-49F8-B5A2-FFE6D38FB14A}"/>
    <cellStyle name="Normal 5 2 4 2 2 4 3" xfId="9101" xr:uid="{9E989363-1766-4679-A5D2-172AEDEB6BFC}"/>
    <cellStyle name="Normal 5 2 4 2 2 4 3 2" xfId="18208" xr:uid="{F85F3614-B193-4965-83CD-2A3D23D3DC5C}"/>
    <cellStyle name="Normal 5 2 4 2 2 4 4" xfId="18206" xr:uid="{5F023453-EA84-4EBB-A971-7B680DB574BE}"/>
    <cellStyle name="Normal 5 2 4 2 2 5" xfId="9102" xr:uid="{5FBD0C5D-5D42-4BF9-B956-9F9C20E12294}"/>
    <cellStyle name="Normal 5 2 4 2 2 5 2" xfId="18209" xr:uid="{8B53C229-FE64-4A46-A27C-14DFA61E36DC}"/>
    <cellStyle name="Normal 5 2 4 2 2 6" xfId="9103" xr:uid="{32C2F107-3B07-4ADF-8AA7-094797CECFCB}"/>
    <cellStyle name="Normal 5 2 4 2 2 6 2" xfId="18210" xr:uid="{33DD6AB5-14EE-4728-AA4D-BF84C46F7992}"/>
    <cellStyle name="Normal 5 2 4 2 2 7" xfId="9104" xr:uid="{502BF652-F6CE-4D6D-AF60-0908816775F3}"/>
    <cellStyle name="Normal 5 2 4 2 2 7 2" xfId="18211" xr:uid="{4263F2D2-B95C-4B8C-ACB1-B54D50F0FBC3}"/>
    <cellStyle name="Normal 5 2 4 2 2 8" xfId="18191" xr:uid="{5D31A100-9878-451C-BFAF-B55018A1131C}"/>
    <cellStyle name="Normal 5 2 4 2 3" xfId="9105" xr:uid="{5E7ADF29-3ECA-4947-ABBC-862405BB6DAB}"/>
    <cellStyle name="Normal 5 2 4 2 3 2" xfId="9106" xr:uid="{B4FF5EF8-E510-476A-8EB9-99DD403410B0}"/>
    <cellStyle name="Normal 5 2 4 2 3 2 2" xfId="9107" xr:uid="{E46BE3F1-5C41-4C95-AB95-AB175428BE74}"/>
    <cellStyle name="Normal 5 2 4 2 3 2 2 2" xfId="18214" xr:uid="{3A72ED8A-06E2-4D15-97B7-0CCD4E465AA8}"/>
    <cellStyle name="Normal 5 2 4 2 3 2 3" xfId="9108" xr:uid="{AC5F717A-C288-4D38-AA2B-64350ACDE5FC}"/>
    <cellStyle name="Normal 5 2 4 2 3 2 3 2" xfId="18215" xr:uid="{BE08D1EA-9F2A-477B-A717-88151A487494}"/>
    <cellStyle name="Normal 5 2 4 2 3 2 4" xfId="18213" xr:uid="{6865D5B3-2279-4DCC-BFD3-5A8C065E05E6}"/>
    <cellStyle name="Normal 5 2 4 2 3 3" xfId="9109" xr:uid="{B880CE9D-83E4-4773-9059-2BC78DF7A150}"/>
    <cellStyle name="Normal 5 2 4 2 3 3 2" xfId="18216" xr:uid="{6230A824-8753-439C-8F0C-D292AF4C69CE}"/>
    <cellStyle name="Normal 5 2 4 2 3 4" xfId="9110" xr:uid="{138B41AC-05A2-4C22-93E3-976BBAA4C402}"/>
    <cellStyle name="Normal 5 2 4 2 3 4 2" xfId="18217" xr:uid="{67A645C6-B90D-4481-B89C-1809002236CF}"/>
    <cellStyle name="Normal 5 2 4 2 3 5" xfId="9111" xr:uid="{BB43FF0F-028E-4DB2-9459-1A085BA29BE1}"/>
    <cellStyle name="Normal 5 2 4 2 3 5 2" xfId="18218" xr:uid="{5A30BBE0-70E4-418E-857C-A5443032542C}"/>
    <cellStyle name="Normal 5 2 4 2 3 6" xfId="18212" xr:uid="{1D4D910E-E7B7-48B2-8C4A-A90C7A45DE79}"/>
    <cellStyle name="Normal 5 2 4 2 4" xfId="9112" xr:uid="{9F3265E2-C873-435A-AA7E-4DAA1867FF4F}"/>
    <cellStyle name="Normal 5 2 4 2 4 2" xfId="9113" xr:uid="{2B7E15C9-DC5F-45C2-9F37-B63DCCCF16A6}"/>
    <cellStyle name="Normal 5 2 4 2 4 2 2" xfId="9114" xr:uid="{792FC9B9-EEA2-40A2-86EA-9A702E5110AF}"/>
    <cellStyle name="Normal 5 2 4 2 4 2 2 2" xfId="18221" xr:uid="{EB35ACC7-8190-400F-A4E7-3900F8C49654}"/>
    <cellStyle name="Normal 5 2 4 2 4 2 3" xfId="9115" xr:uid="{1132E66F-CC7B-462E-84D6-D2F13B19AD16}"/>
    <cellStyle name="Normal 5 2 4 2 4 2 3 2" xfId="18222" xr:uid="{1CC06874-1E24-47B8-94B3-99A3F1E12A9D}"/>
    <cellStyle name="Normal 5 2 4 2 4 2 4" xfId="18220" xr:uid="{447CFE59-93C6-4E6C-BB47-D6BAAE1EC42D}"/>
    <cellStyle name="Normal 5 2 4 2 4 3" xfId="9116" xr:uid="{6B9C97BA-9D73-4989-997A-7D2164855674}"/>
    <cellStyle name="Normal 5 2 4 2 4 3 2" xfId="18223" xr:uid="{466B8843-CC25-4FC6-962E-DEE829673EC2}"/>
    <cellStyle name="Normal 5 2 4 2 4 4" xfId="9117" xr:uid="{BE035E67-EFF2-41A4-B7BF-1F814F51D0E5}"/>
    <cellStyle name="Normal 5 2 4 2 4 4 2" xfId="18224" xr:uid="{64C5668F-4697-4A39-A002-34D5A4BB77AB}"/>
    <cellStyle name="Normal 5 2 4 2 4 5" xfId="9118" xr:uid="{74660F0E-9700-435F-920B-3900D2A7276D}"/>
    <cellStyle name="Normal 5 2 4 2 4 5 2" xfId="18225" xr:uid="{73CDC3B9-33D4-4A9D-A79D-1156FCDC1591}"/>
    <cellStyle name="Normal 5 2 4 2 4 6" xfId="18219" xr:uid="{BED9F878-1297-4AF8-9F0B-6D37B3B3AC49}"/>
    <cellStyle name="Normal 5 2 4 2 5" xfId="9119" xr:uid="{171F054D-E250-4950-A248-3EE3AF7F9370}"/>
    <cellStyle name="Normal 5 2 4 2 5 2" xfId="9120" xr:uid="{752DDA64-2C44-4A21-ABC8-B7FC99453802}"/>
    <cellStyle name="Normal 5 2 4 2 5 2 2" xfId="18227" xr:uid="{C380065D-0DAF-4B36-B042-49317A9E8D0B}"/>
    <cellStyle name="Normal 5 2 4 2 5 3" xfId="9121" xr:uid="{EC41A553-E98B-4D4B-B9B3-31E103C5998F}"/>
    <cellStyle name="Normal 5 2 4 2 5 3 2" xfId="18228" xr:uid="{7A3A41BB-91B0-4053-89B4-93AD3B72DF9B}"/>
    <cellStyle name="Normal 5 2 4 2 5 4" xfId="18226" xr:uid="{722D3887-9326-4B51-B15D-F37B4F8C52F3}"/>
    <cellStyle name="Normal 5 2 4 2 6" xfId="9122" xr:uid="{726C4864-990A-4DE8-A607-BF4478E10490}"/>
    <cellStyle name="Normal 5 2 4 2 6 2" xfId="18229" xr:uid="{D965E5E1-1651-4329-9764-57EF1373B397}"/>
    <cellStyle name="Normal 5 2 4 2 7" xfId="9123" xr:uid="{F725D73B-A5E5-49C9-9478-C7A40B59D11C}"/>
    <cellStyle name="Normal 5 2 4 2 7 2" xfId="18230" xr:uid="{911EC230-F8AF-4B2B-A071-5D857CE7246B}"/>
    <cellStyle name="Normal 5 2 4 2 8" xfId="9124" xr:uid="{B904A284-9794-4CC0-BCAD-BB2E8F45C4B2}"/>
    <cellStyle name="Normal 5 2 4 2 8 2" xfId="18231" xr:uid="{9B4FEAA8-812F-4AA1-BFDD-A1DF103AEE2F}"/>
    <cellStyle name="Normal 5 2 4 2 9" xfId="18190" xr:uid="{DAECD82E-B49B-40C0-857D-CE17616E9CD9}"/>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2 2" xfId="18235" xr:uid="{6E017055-48F5-4451-AB94-BCFAA7EB7B34}"/>
    <cellStyle name="Normal 5 2 4 3 2 2 3" xfId="9129" xr:uid="{0DC6D6B5-E56E-4D39-99D8-2DE7F1FCD47C}"/>
    <cellStyle name="Normal 5 2 4 3 2 2 3 2" xfId="18236" xr:uid="{CDB9E958-3319-4589-A228-9040418FF349}"/>
    <cellStyle name="Normal 5 2 4 3 2 2 4" xfId="18234" xr:uid="{32287AE4-D72A-466D-8689-9DC49153BA17}"/>
    <cellStyle name="Normal 5 2 4 3 2 3" xfId="9130" xr:uid="{54D7D5E1-A3CF-460B-A7BD-3B06349BF433}"/>
    <cellStyle name="Normal 5 2 4 3 2 3 2" xfId="18237" xr:uid="{D26418AC-673D-4BAC-8361-2205A6DA7EDD}"/>
    <cellStyle name="Normal 5 2 4 3 2 4" xfId="9131" xr:uid="{F31EAD58-6ECB-4F85-A8EF-52010D0C2E7C}"/>
    <cellStyle name="Normal 5 2 4 3 2 4 2" xfId="18238" xr:uid="{E9A037E9-7A9D-48A3-BC87-084978437AA3}"/>
    <cellStyle name="Normal 5 2 4 3 2 5" xfId="9132" xr:uid="{BF552116-53EB-4F01-8BB3-259DEC822A72}"/>
    <cellStyle name="Normal 5 2 4 3 2 5 2" xfId="18239" xr:uid="{4CEBF649-183F-47DE-B053-88F35B0FF16B}"/>
    <cellStyle name="Normal 5 2 4 3 2 6" xfId="18233" xr:uid="{238E0B36-5F70-4E4E-A43E-BD05554EB8A0}"/>
    <cellStyle name="Normal 5 2 4 3 3" xfId="9133" xr:uid="{ECF8A537-EAA2-4A18-B60E-A9317E82C512}"/>
    <cellStyle name="Normal 5 2 4 3 3 2" xfId="9134" xr:uid="{BAF94C52-CBFD-4874-A7DA-C4CBB3389A34}"/>
    <cellStyle name="Normal 5 2 4 3 3 2 2" xfId="9135" xr:uid="{E66F7947-192C-4575-946A-FEC3A0D7C625}"/>
    <cellStyle name="Normal 5 2 4 3 3 2 2 2" xfId="18242" xr:uid="{08EF7B0E-5E13-460A-BB1E-761C87F17031}"/>
    <cellStyle name="Normal 5 2 4 3 3 2 3" xfId="9136" xr:uid="{94C809F3-6B2C-4A1B-8C63-D2EC3F072E43}"/>
    <cellStyle name="Normal 5 2 4 3 3 2 3 2" xfId="18243" xr:uid="{0DB6A4A2-046F-4BF9-BC0B-D0576B70E045}"/>
    <cellStyle name="Normal 5 2 4 3 3 2 4" xfId="18241" xr:uid="{41A86B39-1869-4BB9-B5AE-86AF9C5208C2}"/>
    <cellStyle name="Normal 5 2 4 3 3 3" xfId="9137" xr:uid="{128503C3-1C3F-48FF-8411-555087E81243}"/>
    <cellStyle name="Normal 5 2 4 3 3 3 2" xfId="18244" xr:uid="{8CD92C8A-CFEA-483D-8899-8AECDFC4F170}"/>
    <cellStyle name="Normal 5 2 4 3 3 4" xfId="9138" xr:uid="{B73473C1-EFC4-41C4-8FD0-F5E58FAE1A99}"/>
    <cellStyle name="Normal 5 2 4 3 3 4 2" xfId="18245" xr:uid="{13F7B951-CAF4-4386-AF05-AA92FB7BB4E2}"/>
    <cellStyle name="Normal 5 2 4 3 3 5" xfId="9139" xr:uid="{C706CB35-176B-4281-B0F8-3C67720D224A}"/>
    <cellStyle name="Normal 5 2 4 3 3 5 2" xfId="18246" xr:uid="{3BB87953-F41C-436E-8A3E-CD2ED442E683}"/>
    <cellStyle name="Normal 5 2 4 3 3 6" xfId="18240" xr:uid="{41BABA45-2670-4166-AC5B-EAE3D16E5D3A}"/>
    <cellStyle name="Normal 5 2 4 3 4" xfId="9140" xr:uid="{8D43A447-CC1C-44A8-8E5A-92B56E9EFC1E}"/>
    <cellStyle name="Normal 5 2 4 3 4 2" xfId="9141" xr:uid="{3FBE05AB-FC86-4835-BA1E-F93F908BC690}"/>
    <cellStyle name="Normal 5 2 4 3 4 2 2" xfId="18248" xr:uid="{E5429A4C-7A68-45EC-B602-267D52012809}"/>
    <cellStyle name="Normal 5 2 4 3 4 3" xfId="9142" xr:uid="{0CFE5117-780D-49B3-9E90-37B4E863D519}"/>
    <cellStyle name="Normal 5 2 4 3 4 3 2" xfId="18249" xr:uid="{A57E53F4-0FF1-42F3-8B4F-84CC719D6BB9}"/>
    <cellStyle name="Normal 5 2 4 3 4 4" xfId="18247" xr:uid="{1B106F39-6188-4EBD-8CC1-2E150B0454D0}"/>
    <cellStyle name="Normal 5 2 4 3 5" xfId="9143" xr:uid="{1AFEE2BA-F138-4FBA-97E3-88814919CF80}"/>
    <cellStyle name="Normal 5 2 4 3 5 2" xfId="18250" xr:uid="{D196171A-C003-43B5-B8FA-2FEC99A38851}"/>
    <cellStyle name="Normal 5 2 4 3 6" xfId="9144" xr:uid="{D18E0F3C-D6AA-4428-8455-E6CA3E8F784E}"/>
    <cellStyle name="Normal 5 2 4 3 6 2" xfId="18251" xr:uid="{7882F081-B7BA-4E69-AA50-7F289BE51E3C}"/>
    <cellStyle name="Normal 5 2 4 3 7" xfId="9145" xr:uid="{3F6C9C3F-C9A8-4C01-9AAB-D881DFACBCD1}"/>
    <cellStyle name="Normal 5 2 4 3 7 2" xfId="18252" xr:uid="{6CB8B484-68D5-4A2D-9230-EB974AD26C51}"/>
    <cellStyle name="Normal 5 2 4 3 8" xfId="18232" xr:uid="{0BCFF9AF-1306-474B-9928-69D34C1476AD}"/>
    <cellStyle name="Normal 5 2 4 4" xfId="9146" xr:uid="{E654E274-5642-414B-92D4-71ABD9527828}"/>
    <cellStyle name="Normal 5 2 4 4 2" xfId="9147" xr:uid="{B4D75CDF-C4CB-4912-9330-9A1414B7934C}"/>
    <cellStyle name="Normal 5 2 4 4 2 2" xfId="9148" xr:uid="{07F2F061-1488-453A-A0DB-ABF153957369}"/>
    <cellStyle name="Normal 5 2 4 4 2 2 2" xfId="18255" xr:uid="{700899A2-6EC8-4CA8-8F6C-AB68AC31F61A}"/>
    <cellStyle name="Normal 5 2 4 4 2 3" xfId="9149" xr:uid="{F47D2D72-C575-4654-A704-CDB09566E7E1}"/>
    <cellStyle name="Normal 5 2 4 4 2 3 2" xfId="18256" xr:uid="{D935D879-F437-48D5-9232-5000845A2AF4}"/>
    <cellStyle name="Normal 5 2 4 4 2 4" xfId="18254" xr:uid="{C1B5DBCA-137E-4301-9D1E-4AAD61F188AB}"/>
    <cellStyle name="Normal 5 2 4 4 3" xfId="9150" xr:uid="{9DC3A8FD-6FE0-4F59-9167-2BD58E7C43E9}"/>
    <cellStyle name="Normal 5 2 4 4 3 2" xfId="18257" xr:uid="{32B000F9-3124-4097-9DE4-7E72F2F20BED}"/>
    <cellStyle name="Normal 5 2 4 4 4" xfId="9151" xr:uid="{2FCD9C26-4797-4ADD-ACCA-3BDA760EF94D}"/>
    <cellStyle name="Normal 5 2 4 4 4 2" xfId="18258" xr:uid="{79EF7AC7-4C0C-4300-AE48-07DDE648E684}"/>
    <cellStyle name="Normal 5 2 4 4 5" xfId="9152" xr:uid="{8DE47FD0-78CE-45A6-8614-0584D8B79FA6}"/>
    <cellStyle name="Normal 5 2 4 4 5 2" xfId="18259" xr:uid="{DA66CD54-811B-4B81-8A90-BC06B95FE012}"/>
    <cellStyle name="Normal 5 2 4 4 6" xfId="18253" xr:uid="{21018EEF-D587-4280-931D-2060C1E2D436}"/>
    <cellStyle name="Normal 5 2 4 5" xfId="9153" xr:uid="{B27F4DB6-6638-4BAB-AFCA-824C6F43BC39}"/>
    <cellStyle name="Normal 5 2 4 5 2" xfId="9154" xr:uid="{8B9FB38F-C9DB-4A70-9AF5-E49E2B069FC0}"/>
    <cellStyle name="Normal 5 2 4 5 2 2" xfId="9155" xr:uid="{3136BFC0-AE18-4447-81DC-B1119B635CE5}"/>
    <cellStyle name="Normal 5 2 4 5 2 2 2" xfId="18262" xr:uid="{05052CFC-2A28-413C-9E9E-7D7F12234380}"/>
    <cellStyle name="Normal 5 2 4 5 2 3" xfId="9156" xr:uid="{25D09117-BC24-4422-9031-E9E33A0309E6}"/>
    <cellStyle name="Normal 5 2 4 5 2 3 2" xfId="18263" xr:uid="{8A50580D-3DAB-483C-9D70-B69F1C137A85}"/>
    <cellStyle name="Normal 5 2 4 5 2 4" xfId="18261" xr:uid="{31AB8665-DF8E-453A-89CE-0AF7AD2AC213}"/>
    <cellStyle name="Normal 5 2 4 5 3" xfId="9157" xr:uid="{B815183D-C1CC-4B65-9EC0-5CBF0A292F66}"/>
    <cellStyle name="Normal 5 2 4 5 3 2" xfId="18264" xr:uid="{3B5BB74F-54B0-4915-99C0-337FF02440F2}"/>
    <cellStyle name="Normal 5 2 4 5 4" xfId="9158" xr:uid="{3254B900-2FA6-4B42-8C73-024944B7D2CE}"/>
    <cellStyle name="Normal 5 2 4 5 4 2" xfId="18265" xr:uid="{205FE3EB-586F-4024-8A56-CF4469797D6A}"/>
    <cellStyle name="Normal 5 2 4 5 5" xfId="9159" xr:uid="{F02425C5-8EC4-479E-92E9-A2F5E035049D}"/>
    <cellStyle name="Normal 5 2 4 5 5 2" xfId="18266" xr:uid="{250F331A-3D02-49BC-9FE9-1263A806E503}"/>
    <cellStyle name="Normal 5 2 4 5 6" xfId="18260" xr:uid="{BE4058AE-D37A-46F9-82C5-D841B67486F7}"/>
    <cellStyle name="Normal 5 2 4 6" xfId="9160" xr:uid="{B802D63E-0442-44D3-8D6F-8EAE31AECD4D}"/>
    <cellStyle name="Normal 5 2 4 6 2" xfId="9161" xr:uid="{B9E216B9-D273-40CB-967D-AC361BA2ED25}"/>
    <cellStyle name="Normal 5 2 4 6 2 2" xfId="18268" xr:uid="{F5A758E6-7654-4CB4-B34F-8AD46EC032DB}"/>
    <cellStyle name="Normal 5 2 4 6 3" xfId="9162" xr:uid="{3DDFCA4F-1DDD-491E-9BCD-9F0D9E8A398E}"/>
    <cellStyle name="Normal 5 2 4 6 3 2" xfId="18269" xr:uid="{4E5FA04C-CE23-42FF-A543-32ED03F4AA73}"/>
    <cellStyle name="Normal 5 2 4 6 4" xfId="18267" xr:uid="{01A13EB6-11A1-4B20-B741-E35198EAF510}"/>
    <cellStyle name="Normal 5 2 4 7" xfId="9163" xr:uid="{D4FF4F77-1115-4C77-926A-B96406238415}"/>
    <cellStyle name="Normal 5 2 4 7 2" xfId="18270" xr:uid="{A7B6E774-34DC-41E2-B006-B731A1A00180}"/>
    <cellStyle name="Normal 5 2 4 8" xfId="9164" xr:uid="{F90C961E-F13D-4579-A926-23A8054A2409}"/>
    <cellStyle name="Normal 5 2 4 8 2" xfId="18271" xr:uid="{1CA66182-8726-45CF-B475-963AAB74A36C}"/>
    <cellStyle name="Normal 5 2 4 9" xfId="9165" xr:uid="{4B0D7028-F0F2-4866-B97C-9705403000C0}"/>
    <cellStyle name="Normal 5 2 4 9 2" xfId="18272" xr:uid="{429CA8E3-7208-47DB-B083-E3A499DF4181}"/>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2 2" xfId="18277" xr:uid="{51BAD326-A603-4F03-BD27-6ACCB5D0CCD0}"/>
    <cellStyle name="Normal 5 2 5 2 2 2 3" xfId="9171" xr:uid="{8953F4CE-8F0F-4687-9D41-B24FBF72FF00}"/>
    <cellStyle name="Normal 5 2 5 2 2 2 3 2" xfId="18278" xr:uid="{AC8463C8-01BD-4866-BA92-DD0158C85CA0}"/>
    <cellStyle name="Normal 5 2 5 2 2 2 4" xfId="18276" xr:uid="{B22E8B98-250A-4D35-A8C6-ED795639EA33}"/>
    <cellStyle name="Normal 5 2 5 2 2 3" xfId="9172" xr:uid="{EAEE6D2F-A544-4B48-BD5A-60AF9C897D9B}"/>
    <cellStyle name="Normal 5 2 5 2 2 3 2" xfId="18279" xr:uid="{8D4FEFA4-489A-4578-95CE-B933D94DE3C0}"/>
    <cellStyle name="Normal 5 2 5 2 2 4" xfId="9173" xr:uid="{CA334C41-361A-4C0A-952A-BAD952412DFD}"/>
    <cellStyle name="Normal 5 2 5 2 2 4 2" xfId="18280" xr:uid="{8F3ED9D5-21EA-4084-AD2D-496CD3850C3B}"/>
    <cellStyle name="Normal 5 2 5 2 2 5" xfId="9174" xr:uid="{B5DDE72B-270E-486A-AB8C-B700D2F99FAA}"/>
    <cellStyle name="Normal 5 2 5 2 2 5 2" xfId="18281" xr:uid="{71A1A618-3936-4050-90A9-6D7697D48815}"/>
    <cellStyle name="Normal 5 2 5 2 2 6" xfId="18275" xr:uid="{76F94915-ABA0-428E-9D91-045ED0ECEAF2}"/>
    <cellStyle name="Normal 5 2 5 2 3" xfId="9175" xr:uid="{2A6A4581-5A14-40AD-8F34-7B1F3FD6847D}"/>
    <cellStyle name="Normal 5 2 5 2 3 2" xfId="9176" xr:uid="{8FAAEA8B-076F-4CA2-B731-C1D4F9C83183}"/>
    <cellStyle name="Normal 5 2 5 2 3 2 2" xfId="9177" xr:uid="{280FE2D1-49B5-4D56-A4DD-DEB805E627F5}"/>
    <cellStyle name="Normal 5 2 5 2 3 2 2 2" xfId="18284" xr:uid="{7F6A1C40-2239-425E-8FA3-4F9B7F7E48E9}"/>
    <cellStyle name="Normal 5 2 5 2 3 2 3" xfId="9178" xr:uid="{31448399-913F-4E7C-8073-943B2198FA18}"/>
    <cellStyle name="Normal 5 2 5 2 3 2 3 2" xfId="18285" xr:uid="{4FC4261B-B028-4FC6-AE16-777CC528C3CA}"/>
    <cellStyle name="Normal 5 2 5 2 3 2 4" xfId="18283" xr:uid="{BC6A857F-D028-49DB-9898-28C57975F741}"/>
    <cellStyle name="Normal 5 2 5 2 3 3" xfId="9179" xr:uid="{BB5EDE32-B8B1-4E66-A93D-222A3EAAC602}"/>
    <cellStyle name="Normal 5 2 5 2 3 3 2" xfId="18286" xr:uid="{95ED4937-20E7-4671-9B72-2FBB1FBE28AB}"/>
    <cellStyle name="Normal 5 2 5 2 3 4" xfId="9180" xr:uid="{562E44CC-0601-4A1E-83AE-055510F1E628}"/>
    <cellStyle name="Normal 5 2 5 2 3 4 2" xfId="18287" xr:uid="{9BEDB8E3-E803-43C7-ABFA-FE295BAE9A99}"/>
    <cellStyle name="Normal 5 2 5 2 3 5" xfId="9181" xr:uid="{0352D705-B325-4C53-80C0-72A81780DF0F}"/>
    <cellStyle name="Normal 5 2 5 2 3 5 2" xfId="18288" xr:uid="{A0DF9773-FDB7-42C1-B41B-90851571B861}"/>
    <cellStyle name="Normal 5 2 5 2 3 6" xfId="18282" xr:uid="{2553A26A-6310-4A2F-98BB-6288905EABA0}"/>
    <cellStyle name="Normal 5 2 5 2 4" xfId="9182" xr:uid="{0AFB7C63-23B2-4F39-AD6C-06AFEF4BE6ED}"/>
    <cellStyle name="Normal 5 2 5 2 4 2" xfId="9183" xr:uid="{02543BDC-B3DC-4309-86C4-84A1B43B1A0E}"/>
    <cellStyle name="Normal 5 2 5 2 4 2 2" xfId="18290" xr:uid="{72DEE1D9-84BF-4536-8252-AE60A6A016A0}"/>
    <cellStyle name="Normal 5 2 5 2 4 3" xfId="9184" xr:uid="{CE5D4A83-DDA0-4066-9202-5A4467847C70}"/>
    <cellStyle name="Normal 5 2 5 2 4 3 2" xfId="18291" xr:uid="{8AA70893-BF82-436B-8598-E6D591D072D1}"/>
    <cellStyle name="Normal 5 2 5 2 4 4" xfId="18289" xr:uid="{2B0655FF-DA9D-4EAE-9E6A-B21F061891D4}"/>
    <cellStyle name="Normal 5 2 5 2 5" xfId="9185" xr:uid="{2B41B2DD-6B2B-49FC-916C-5AEEC63E0FC7}"/>
    <cellStyle name="Normal 5 2 5 2 5 2" xfId="18292" xr:uid="{29699070-4443-4A44-89ED-8F5C0E944F01}"/>
    <cellStyle name="Normal 5 2 5 2 6" xfId="9186" xr:uid="{4C07A5AA-D01C-457E-900E-0B22C7122F0A}"/>
    <cellStyle name="Normal 5 2 5 2 6 2" xfId="18293" xr:uid="{D6FEBE7C-D399-4186-9E31-F0B42F9CAE3A}"/>
    <cellStyle name="Normal 5 2 5 2 7" xfId="9187" xr:uid="{6B3EE308-784C-4BE6-A058-882B7AEA11CF}"/>
    <cellStyle name="Normal 5 2 5 2 7 2" xfId="18294" xr:uid="{0124EDBB-3FE4-4996-B94A-DA2C594D21F7}"/>
    <cellStyle name="Normal 5 2 5 2 8" xfId="18274" xr:uid="{0E357F4B-78F3-46D4-BB49-4BE9F181DAF4}"/>
    <cellStyle name="Normal 5 2 5 3" xfId="9188" xr:uid="{45B7297F-B05C-4AF7-A528-13416CB4D2B8}"/>
    <cellStyle name="Normal 5 2 5 3 2" xfId="9189" xr:uid="{0F7D3B7A-2DD6-479B-AEAC-84517E8EDD17}"/>
    <cellStyle name="Normal 5 2 5 3 2 2" xfId="9190" xr:uid="{3091E95D-9463-44EF-A0F7-9DC7AFCED2E3}"/>
    <cellStyle name="Normal 5 2 5 3 2 2 2" xfId="18297" xr:uid="{E2BEBA9E-929C-4F3B-B2B0-F8CEBB2E79C2}"/>
    <cellStyle name="Normal 5 2 5 3 2 3" xfId="9191" xr:uid="{66DE2735-AD56-4BC5-82C5-CA346A328031}"/>
    <cellStyle name="Normal 5 2 5 3 2 3 2" xfId="18298" xr:uid="{D581C8C4-5F89-421C-B9E0-ACADF84AD74A}"/>
    <cellStyle name="Normal 5 2 5 3 2 4" xfId="18296" xr:uid="{677FCEF5-B2E0-4803-BD39-8BA2A3FC22C6}"/>
    <cellStyle name="Normal 5 2 5 3 3" xfId="9192" xr:uid="{6E27B58B-1286-4028-BCFA-61679FDE03F0}"/>
    <cellStyle name="Normal 5 2 5 3 3 2" xfId="18299" xr:uid="{64902D1A-1BE1-404A-AEDC-4441F314F3D8}"/>
    <cellStyle name="Normal 5 2 5 3 4" xfId="9193" xr:uid="{789FE795-964E-4994-895F-8E814CEBEB10}"/>
    <cellStyle name="Normal 5 2 5 3 4 2" xfId="18300" xr:uid="{33C32016-F41E-4EFE-B3C2-2C3121E32668}"/>
    <cellStyle name="Normal 5 2 5 3 5" xfId="9194" xr:uid="{978BAC08-0BD9-46DB-B5B5-6B1039DDFE1A}"/>
    <cellStyle name="Normal 5 2 5 3 5 2" xfId="18301" xr:uid="{EE0E9837-F8DB-473C-B44F-FDCEDCDC20DE}"/>
    <cellStyle name="Normal 5 2 5 3 6" xfId="18295" xr:uid="{D76D9957-52FD-43DD-9CD2-D4680EB49742}"/>
    <cellStyle name="Normal 5 2 5 4" xfId="9195" xr:uid="{470E3E2D-9A51-4874-9576-BDF76F683C46}"/>
    <cellStyle name="Normal 5 2 5 4 2" xfId="9196" xr:uid="{DA55BE08-D8B1-489A-8B35-DC84CE5AFF9B}"/>
    <cellStyle name="Normal 5 2 5 4 2 2" xfId="9197" xr:uid="{BB5D01D5-BA63-48A8-A967-D5378ABE40A5}"/>
    <cellStyle name="Normal 5 2 5 4 2 2 2" xfId="18304" xr:uid="{472ACA6B-BCD9-4CC6-8F44-B30E2F2ABCCC}"/>
    <cellStyle name="Normal 5 2 5 4 2 3" xfId="9198" xr:uid="{B4AD0BC3-FE5F-43B7-B369-1124D8E3F2D5}"/>
    <cellStyle name="Normal 5 2 5 4 2 3 2" xfId="18305" xr:uid="{347CB597-A916-4869-AFAA-0CED3AD4FBDC}"/>
    <cellStyle name="Normal 5 2 5 4 2 4" xfId="18303" xr:uid="{EB7BF45F-B11B-4DED-AD51-D91181F6438D}"/>
    <cellStyle name="Normal 5 2 5 4 3" xfId="9199" xr:uid="{E5F3FEE4-D0C8-4951-9E46-1DE0E86AE1A7}"/>
    <cellStyle name="Normal 5 2 5 4 3 2" xfId="18306" xr:uid="{58A64E21-48E1-48D0-A8A7-23C173A0AB45}"/>
    <cellStyle name="Normal 5 2 5 4 4" xfId="9200" xr:uid="{0D9023FD-43AC-4DA8-84D8-723F550AED0A}"/>
    <cellStyle name="Normal 5 2 5 4 4 2" xfId="18307" xr:uid="{A83CF3C4-1CBA-4227-B66C-3F8F532F1E14}"/>
    <cellStyle name="Normal 5 2 5 4 5" xfId="9201" xr:uid="{85B6A99B-F4BE-417F-8A81-75EF7E963994}"/>
    <cellStyle name="Normal 5 2 5 4 5 2" xfId="18308" xr:uid="{801D101E-5F08-4BAF-9B84-94911AF6A885}"/>
    <cellStyle name="Normal 5 2 5 4 6" xfId="18302" xr:uid="{EBC5CADC-F4D9-4AC1-AA34-946007E5B42C}"/>
    <cellStyle name="Normal 5 2 5 5" xfId="9202" xr:uid="{D9CCC956-9DD3-4E6D-93FA-CE1885C9E6AC}"/>
    <cellStyle name="Normal 5 2 5 5 2" xfId="9203" xr:uid="{6ED08DCF-F8CE-4298-BFDC-29DA214624F6}"/>
    <cellStyle name="Normal 5 2 5 5 2 2" xfId="18310" xr:uid="{59E69F48-7F5B-49CF-B2E0-E27C926C2C37}"/>
    <cellStyle name="Normal 5 2 5 5 3" xfId="9204" xr:uid="{D1724C10-B7DE-4A70-BAF5-04E8A51033E1}"/>
    <cellStyle name="Normal 5 2 5 5 3 2" xfId="18311" xr:uid="{19F8EA2F-448E-4514-B20D-2BFB216FE8B1}"/>
    <cellStyle name="Normal 5 2 5 5 4" xfId="18309" xr:uid="{DAB1D676-C019-4BAD-8C6A-4FD38F2D043B}"/>
    <cellStyle name="Normal 5 2 5 6" xfId="9205" xr:uid="{C0CD61BA-8928-4121-A3A4-1874C6A1D9A3}"/>
    <cellStyle name="Normal 5 2 5 6 2" xfId="18312" xr:uid="{F7430FA6-68B8-49F6-A56A-C0F3EE1C0D8A}"/>
    <cellStyle name="Normal 5 2 5 7" xfId="9206" xr:uid="{269AAA64-7355-4688-8B95-609253285582}"/>
    <cellStyle name="Normal 5 2 5 7 2" xfId="18313" xr:uid="{81E03524-146C-437B-924F-512D392CC918}"/>
    <cellStyle name="Normal 5 2 5 8" xfId="9207" xr:uid="{C7886057-EED6-47C8-9CC6-6F024DB9CF13}"/>
    <cellStyle name="Normal 5 2 5 8 2" xfId="18314" xr:uid="{30FFE21B-684B-4BB2-B039-C2DC5949254F}"/>
    <cellStyle name="Normal 5 2 5 9" xfId="18273" xr:uid="{CC3198DF-C6E5-4211-BF5C-81430C060DFD}"/>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2 2" xfId="18318" xr:uid="{52EC563B-97F8-4C06-B32A-060EF66F6CBD}"/>
    <cellStyle name="Normal 5 2 6 2 2 3" xfId="9212" xr:uid="{EFC84811-F2A3-4702-BB9F-51D4F0CA18EF}"/>
    <cellStyle name="Normal 5 2 6 2 2 3 2" xfId="18319" xr:uid="{DA67E451-BE62-4824-A483-E9135C3B2693}"/>
    <cellStyle name="Normal 5 2 6 2 2 4" xfId="18317" xr:uid="{D19446F6-2CAC-41AC-B60A-A9371323195C}"/>
    <cellStyle name="Normal 5 2 6 2 3" xfId="9213" xr:uid="{78CF77AC-B010-4CCF-9B84-EE2778CCC65C}"/>
    <cellStyle name="Normal 5 2 6 2 3 2" xfId="18320" xr:uid="{DCCAF12C-009D-4F4F-BBA1-3FD004A6FF64}"/>
    <cellStyle name="Normal 5 2 6 2 4" xfId="9214" xr:uid="{F5E87965-B72B-46F7-82D8-6E1338F8A091}"/>
    <cellStyle name="Normal 5 2 6 2 4 2" xfId="18321" xr:uid="{8FBCEB9C-0FF8-4CB9-8C9C-9E4A5AD93E55}"/>
    <cellStyle name="Normal 5 2 6 2 5" xfId="9215" xr:uid="{2566B641-6146-4574-9A1F-C11D6BAB22AC}"/>
    <cellStyle name="Normal 5 2 6 2 5 2" xfId="18322" xr:uid="{03195486-0C01-4983-85A4-BCF81352E744}"/>
    <cellStyle name="Normal 5 2 6 2 6" xfId="18316" xr:uid="{EF5E8B6C-3FD8-4831-9D94-73E773D863DE}"/>
    <cellStyle name="Normal 5 2 6 3" xfId="9216" xr:uid="{F10E36A1-78CD-4857-AC85-680134ECB0DD}"/>
    <cellStyle name="Normal 5 2 6 3 2" xfId="9217" xr:uid="{1B358E2F-FB32-4FB4-9B15-BC63255E098C}"/>
    <cellStyle name="Normal 5 2 6 3 2 2" xfId="9218" xr:uid="{C9630534-D26B-4FA9-9457-DB50FDE5F090}"/>
    <cellStyle name="Normal 5 2 6 3 2 2 2" xfId="18325" xr:uid="{F00E8C31-D3C6-44B7-B5D4-6B3F727E826F}"/>
    <cellStyle name="Normal 5 2 6 3 2 3" xfId="9219" xr:uid="{8500762D-4DD0-4E01-A0BE-C46CE46DA531}"/>
    <cellStyle name="Normal 5 2 6 3 2 3 2" xfId="18326" xr:uid="{3FDB4168-3976-43F8-87E8-054FDE903138}"/>
    <cellStyle name="Normal 5 2 6 3 2 4" xfId="18324" xr:uid="{50B2AC6A-6760-43F6-8350-0468AA700238}"/>
    <cellStyle name="Normal 5 2 6 3 3" xfId="9220" xr:uid="{CCF7E0F8-BA24-418E-A1BB-D719EFC4E90F}"/>
    <cellStyle name="Normal 5 2 6 3 3 2" xfId="18327" xr:uid="{21471FF4-2992-4EFE-A7EA-0A0C89AF7597}"/>
    <cellStyle name="Normal 5 2 6 3 4" xfId="9221" xr:uid="{9CEDFAA8-1D5E-4582-A507-C319FF64556C}"/>
    <cellStyle name="Normal 5 2 6 3 4 2" xfId="18328" xr:uid="{61FCA57D-0791-40CB-A7C1-2F6773A91ACD}"/>
    <cellStyle name="Normal 5 2 6 3 5" xfId="9222" xr:uid="{363889B0-7398-481E-AC45-037C96D14E5E}"/>
    <cellStyle name="Normal 5 2 6 3 5 2" xfId="18329" xr:uid="{F6C99658-4C2F-4F77-9C17-A81BDF36E4A7}"/>
    <cellStyle name="Normal 5 2 6 3 6" xfId="18323" xr:uid="{90167957-49E7-40AA-9764-2527FF9C465B}"/>
    <cellStyle name="Normal 5 2 6 4" xfId="9223" xr:uid="{0665F19B-55DE-455B-9ABB-349C44006A4F}"/>
    <cellStyle name="Normal 5 2 6 4 2" xfId="9224" xr:uid="{ED105E6F-3BE8-431B-A232-C232F2ECCBC9}"/>
    <cellStyle name="Normal 5 2 6 4 2 2" xfId="18331" xr:uid="{C24B6C8B-42ED-4ADB-89DD-C45B88A98A10}"/>
    <cellStyle name="Normal 5 2 6 4 3" xfId="9225" xr:uid="{D7298BBE-3349-44ED-B34B-779A92EAAC7F}"/>
    <cellStyle name="Normal 5 2 6 4 3 2" xfId="18332" xr:uid="{0063063C-CB37-408B-9CA0-C0C64061B05D}"/>
    <cellStyle name="Normal 5 2 6 4 4" xfId="18330" xr:uid="{E404BC47-ECFB-4458-BA9A-05B92BECD182}"/>
    <cellStyle name="Normal 5 2 6 5" xfId="9226" xr:uid="{6053B799-FF55-47EF-8FAE-A51B29B5BEAF}"/>
    <cellStyle name="Normal 5 2 6 5 2" xfId="18333" xr:uid="{1FFA93A0-10CA-4839-951F-88A774CF47E2}"/>
    <cellStyle name="Normal 5 2 6 6" xfId="9227" xr:uid="{F35646EF-ED2F-4785-9BB7-3510F7A90519}"/>
    <cellStyle name="Normal 5 2 6 6 2" xfId="18334" xr:uid="{88F7CA8E-FAC5-4412-80E8-5BCCE63112EB}"/>
    <cellStyle name="Normal 5 2 6 7" xfId="9228" xr:uid="{8FC4372A-E2DA-405A-B463-93D853ACC4B7}"/>
    <cellStyle name="Normal 5 2 6 7 2" xfId="18335" xr:uid="{AD8E7388-BBCF-43FF-A8EA-EAD375D3FC47}"/>
    <cellStyle name="Normal 5 2 6 8" xfId="18315" xr:uid="{A2636C92-8CC2-4642-BBBB-A47C69F18873}"/>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2 2" xfId="18339" xr:uid="{33EBAD82-9725-4AE4-81DA-9C66A37F9C37}"/>
    <cellStyle name="Normal 5 2 7 2 2 3" xfId="9233" xr:uid="{32DCF33A-AB29-41FC-B989-D55EED0DB885}"/>
    <cellStyle name="Normal 5 2 7 2 2 3 2" xfId="18340" xr:uid="{1630FCB1-BA5C-42FE-A574-96DFFB5A5BA3}"/>
    <cellStyle name="Normal 5 2 7 2 2 4" xfId="18338" xr:uid="{99B43392-E547-42EF-A405-3FC113D3D2A1}"/>
    <cellStyle name="Normal 5 2 7 2 3" xfId="9234" xr:uid="{75E94E92-C14C-4C0D-8D7C-76EF18475D12}"/>
    <cellStyle name="Normal 5 2 7 2 3 2" xfId="18341" xr:uid="{DE33A71D-9520-4782-A202-867B3176819B}"/>
    <cellStyle name="Normal 5 2 7 2 4" xfId="9235" xr:uid="{7AEA4958-0FF5-42AA-BA14-8DF1FCE2B873}"/>
    <cellStyle name="Normal 5 2 7 2 4 2" xfId="18342" xr:uid="{C79B3A27-B4FA-4E18-9CCE-97039FA16DDC}"/>
    <cellStyle name="Normal 5 2 7 2 5" xfId="9236" xr:uid="{A29AE5EA-DCB7-4733-A6B4-358495BB3C1F}"/>
    <cellStyle name="Normal 5 2 7 2 5 2" xfId="18343" xr:uid="{A1598C3E-8D9D-4302-9753-21BB2EAB565C}"/>
    <cellStyle name="Normal 5 2 7 2 6" xfId="18337" xr:uid="{D3559D4C-50B4-49FA-9C1A-26E70A8A7F23}"/>
    <cellStyle name="Normal 5 2 7 3" xfId="9237" xr:uid="{C70E4A57-A986-4802-B3BA-D11ED7E72C56}"/>
    <cellStyle name="Normal 5 2 7 3 2" xfId="9238" xr:uid="{996FD2FC-5EE2-46B3-B75C-F06970793258}"/>
    <cellStyle name="Normal 5 2 7 3 2 2" xfId="9239" xr:uid="{3D216D5B-2325-4D06-B1C9-E2D03E879549}"/>
    <cellStyle name="Normal 5 2 7 3 2 2 2" xfId="18346" xr:uid="{B4ACC451-5AA7-44CA-B6C7-8F062622B934}"/>
    <cellStyle name="Normal 5 2 7 3 2 3" xfId="9240" xr:uid="{47A3B587-E6E4-4A62-A3A8-5E0BFAE2FE13}"/>
    <cellStyle name="Normal 5 2 7 3 2 3 2" xfId="18347" xr:uid="{9751A493-1FFB-4C9F-A570-C5C8640C9CDF}"/>
    <cellStyle name="Normal 5 2 7 3 2 4" xfId="18345" xr:uid="{6EB0F669-0EAC-4000-9AC1-C5D8E901C2DA}"/>
    <cellStyle name="Normal 5 2 7 3 3" xfId="9241" xr:uid="{818B2EE4-771E-4AE8-A457-0ACC72C04B2D}"/>
    <cellStyle name="Normal 5 2 7 3 3 2" xfId="18348" xr:uid="{FC183E5A-706B-4014-844F-C804AE555AC3}"/>
    <cellStyle name="Normal 5 2 7 3 4" xfId="9242" xr:uid="{60E04400-A104-48E0-B01E-4E1442C5B5FE}"/>
    <cellStyle name="Normal 5 2 7 3 4 2" xfId="18349" xr:uid="{8382F155-9713-4921-9D63-8694C1F9142D}"/>
    <cellStyle name="Normal 5 2 7 3 5" xfId="9243" xr:uid="{D4F1EDBA-3A13-4CE3-855F-F891EBD981E6}"/>
    <cellStyle name="Normal 5 2 7 3 5 2" xfId="18350" xr:uid="{DFBB158C-87BF-4B48-8434-8A856041B217}"/>
    <cellStyle name="Normal 5 2 7 3 6" xfId="18344" xr:uid="{E1C05A83-A77B-460C-8825-B751F2E4CAFC}"/>
    <cellStyle name="Normal 5 2 7 4" xfId="9244" xr:uid="{23FF7C89-72FB-4AE9-9C81-2389A6499C82}"/>
    <cellStyle name="Normal 5 2 7 4 2" xfId="9245" xr:uid="{A140CA96-87CD-4F3D-A3E5-C2A7D6C53D1B}"/>
    <cellStyle name="Normal 5 2 7 4 2 2" xfId="18352" xr:uid="{02BBB737-1E27-49CB-80EF-5CC20794BF5E}"/>
    <cellStyle name="Normal 5 2 7 4 3" xfId="9246" xr:uid="{A9C170A6-D4EF-468C-852B-34385805E7AB}"/>
    <cellStyle name="Normal 5 2 7 4 3 2" xfId="18353" xr:uid="{ED5BEA5E-7BCB-48CC-9264-D9E2F2B1E867}"/>
    <cellStyle name="Normal 5 2 7 4 4" xfId="18351" xr:uid="{42908A37-A87B-41DD-AED5-11DA7D644DD5}"/>
    <cellStyle name="Normal 5 2 7 5" xfId="9247" xr:uid="{707FF72A-CF1B-4A22-B1FD-BCD73C50C6B9}"/>
    <cellStyle name="Normal 5 2 7 5 2" xfId="18354" xr:uid="{E1FE95A3-41DD-417A-96D0-93837105B021}"/>
    <cellStyle name="Normal 5 2 7 6" xfId="9248" xr:uid="{90C94E40-9DD6-4F96-B152-816970777B17}"/>
    <cellStyle name="Normal 5 2 7 6 2" xfId="18355" xr:uid="{9B1CFD96-B1D9-4ACC-87F5-32760FEAA1DF}"/>
    <cellStyle name="Normal 5 2 7 7" xfId="9249" xr:uid="{FE2543B9-25FC-4F1F-A093-F20E2A3C0F7D}"/>
    <cellStyle name="Normal 5 2 7 7 2" xfId="18356" xr:uid="{2785DF1F-EC56-41B8-B52B-8D5CBD458815}"/>
    <cellStyle name="Normal 5 2 7 8" xfId="18336" xr:uid="{3D876074-3DD4-4CF4-957C-6DE42F131147}"/>
    <cellStyle name="Normal 5 2 8" xfId="9250" xr:uid="{73B4578D-56BA-4266-AACC-AD6CD80E210B}"/>
    <cellStyle name="Normal 5 2 8 2" xfId="9251" xr:uid="{FF39D098-F25E-4D40-B173-71FBB95B90BB}"/>
    <cellStyle name="Normal 5 2 8 2 2" xfId="9252" xr:uid="{B70AB6D3-2CCF-4400-9206-CA3191AF7998}"/>
    <cellStyle name="Normal 5 2 8 2 2 2" xfId="18359" xr:uid="{B272A6A9-099A-40BB-B4B6-F08C549D4C28}"/>
    <cellStyle name="Normal 5 2 8 2 3" xfId="9253" xr:uid="{78C46D35-009F-4AC3-ADD6-40897DA2E192}"/>
    <cellStyle name="Normal 5 2 8 2 3 2" xfId="18360" xr:uid="{57FF31ED-1293-4C3C-A6D2-FCB414D7DB59}"/>
    <cellStyle name="Normal 5 2 8 2 4" xfId="18358" xr:uid="{22A51D5B-727D-43AD-9880-6F7495C56FA3}"/>
    <cellStyle name="Normal 5 2 8 3" xfId="9254" xr:uid="{EF54F45E-15DE-48EF-99F0-EFF9D98218F8}"/>
    <cellStyle name="Normal 5 2 8 3 2" xfId="18361" xr:uid="{27AF8058-E3F2-4055-BD93-4844B4F8B8B7}"/>
    <cellStyle name="Normal 5 2 8 4" xfId="9255" xr:uid="{AC9858BD-5558-4D76-B40F-DD25989BB841}"/>
    <cellStyle name="Normal 5 2 8 4 2" xfId="18362" xr:uid="{CFBBBF47-1AB9-4401-AB4F-B147ED6FC368}"/>
    <cellStyle name="Normal 5 2 8 5" xfId="9256" xr:uid="{E961D099-2C71-49F9-BBCD-DBA3EA5FBB9E}"/>
    <cellStyle name="Normal 5 2 8 5 2" xfId="18363" xr:uid="{AAB7E3F9-DC45-4F93-B7A2-E68E970582A6}"/>
    <cellStyle name="Normal 5 2 8 6" xfId="18357" xr:uid="{DDA9B3B0-4580-494F-9529-CBDEF529B30D}"/>
    <cellStyle name="Normal 5 2 9" xfId="9257" xr:uid="{22F4EEC1-619F-4C20-AC22-BDD28A495B40}"/>
    <cellStyle name="Normal 5 2 9 2" xfId="9258" xr:uid="{7CD4BCFD-99DB-4A1B-92DF-5C649EC0F34B}"/>
    <cellStyle name="Normal 5 2 9 2 2" xfId="9259" xr:uid="{22E39063-EEE3-485B-B0DF-9BDA1912AE53}"/>
    <cellStyle name="Normal 5 2 9 2 2 2" xfId="18366" xr:uid="{237E4C7A-E8CC-4A7F-B6B4-E74D00B69E0F}"/>
    <cellStyle name="Normal 5 2 9 2 3" xfId="9260" xr:uid="{C839F2BD-8E4C-4CB5-8E76-903A25040A2C}"/>
    <cellStyle name="Normal 5 2 9 2 3 2" xfId="18367" xr:uid="{798F5DAF-CEB9-4589-8A7B-049E7FF375AA}"/>
    <cellStyle name="Normal 5 2 9 2 4" xfId="18365" xr:uid="{EB7B974A-62F9-438C-899B-EE96B5B64B63}"/>
    <cellStyle name="Normal 5 2 9 3" xfId="9261" xr:uid="{25C6647C-15FE-46BB-968E-760BBCB6A40A}"/>
    <cellStyle name="Normal 5 2 9 3 2" xfId="18368" xr:uid="{BC34FC81-C160-4A43-8200-6F3D8E8FCA08}"/>
    <cellStyle name="Normal 5 2 9 4" xfId="9262" xr:uid="{66F8C8F7-DCC9-4775-A878-5C4C2E1823A0}"/>
    <cellStyle name="Normal 5 2 9 4 2" xfId="18369" xr:uid="{668D2F76-3031-4FBE-B4B6-A471F6664A29}"/>
    <cellStyle name="Normal 5 2 9 5" xfId="9263" xr:uid="{291741A6-9764-469E-BCFC-73C30C4DD8A5}"/>
    <cellStyle name="Normal 5 2 9 5 2" xfId="18370" xr:uid="{D4B55170-55CC-4CE1-96DF-42606255C753}"/>
    <cellStyle name="Normal 5 2 9 6" xfId="18364" xr:uid="{86FEBA71-4C95-45AF-9AC8-54DA499214D0}"/>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10 2" xfId="18371" xr:uid="{4C6FD10F-7BD8-45C6-9079-91161A7DD4B8}"/>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2 2" xfId="18376" xr:uid="{955D773B-9CE4-4F63-A8DF-7FBE42A20693}"/>
    <cellStyle name="Normal 5 3 2 2 2 2 3" xfId="9272" xr:uid="{88DA7D91-6BE8-46E5-A8FD-F2321FEE28A0}"/>
    <cellStyle name="Normal 5 3 2 2 2 2 3 2" xfId="18377" xr:uid="{96BB08E4-7CB9-4931-BB1A-C5AAC6A5EAA8}"/>
    <cellStyle name="Normal 5 3 2 2 2 2 4" xfId="18375" xr:uid="{33F83E18-5E8D-4575-BED7-0209EC204FE5}"/>
    <cellStyle name="Normal 5 3 2 2 2 3" xfId="9273" xr:uid="{EF5F63A7-1395-4097-9951-550A4DC58B0A}"/>
    <cellStyle name="Normal 5 3 2 2 2 3 2" xfId="18378" xr:uid="{0DF845A7-8CCE-48AD-AF3F-25C6A7F8120F}"/>
    <cellStyle name="Normal 5 3 2 2 2 4" xfId="9274" xr:uid="{148C0BF1-07DB-4BA3-8C0D-46434F0E580F}"/>
    <cellStyle name="Normal 5 3 2 2 2 4 2" xfId="18379" xr:uid="{0DA65622-B2A3-4D26-A752-95DCE60DD229}"/>
    <cellStyle name="Normal 5 3 2 2 2 5" xfId="9275" xr:uid="{AC26CEBA-B46A-4C6C-9D8B-78C17AFB6719}"/>
    <cellStyle name="Normal 5 3 2 2 2 5 2" xfId="18380" xr:uid="{08C9A27D-68F3-4408-B504-75034BF6A487}"/>
    <cellStyle name="Normal 5 3 2 2 2 6" xfId="18374" xr:uid="{1C1B6A6F-D724-40BD-85D2-020708621D17}"/>
    <cellStyle name="Normal 5 3 2 2 3" xfId="9276" xr:uid="{4C7521BE-EF44-4297-960D-420E145D82EB}"/>
    <cellStyle name="Normal 5 3 2 2 3 2" xfId="9277" xr:uid="{707416DC-06E7-44E4-A732-1E195D09CF37}"/>
    <cellStyle name="Normal 5 3 2 2 3 2 2" xfId="9278" xr:uid="{F0F6CCC4-56CC-4C91-A491-63D842BE6231}"/>
    <cellStyle name="Normal 5 3 2 2 3 2 2 2" xfId="18383" xr:uid="{4D6AD299-3F7D-44D2-8986-8B93DD2B6296}"/>
    <cellStyle name="Normal 5 3 2 2 3 2 3" xfId="9279" xr:uid="{FE8E00FD-B8A4-4253-9281-BB8EA7F9E103}"/>
    <cellStyle name="Normal 5 3 2 2 3 2 3 2" xfId="18384" xr:uid="{59FB360A-9631-4B91-A978-6ECA3F3E62BE}"/>
    <cellStyle name="Normal 5 3 2 2 3 2 4" xfId="18382" xr:uid="{7F4AFAE6-9261-4133-86B4-ABEAC408E7C1}"/>
    <cellStyle name="Normal 5 3 2 2 3 3" xfId="9280" xr:uid="{405719E3-C04A-4BB7-A807-9B9F7201811F}"/>
    <cellStyle name="Normal 5 3 2 2 3 3 2" xfId="18385" xr:uid="{1C93F6D7-47A8-449B-B5B0-1B86AF3A02B2}"/>
    <cellStyle name="Normal 5 3 2 2 3 4" xfId="9281" xr:uid="{452AAF77-A113-4E0B-8C15-50711C6AB2B3}"/>
    <cellStyle name="Normal 5 3 2 2 3 4 2" xfId="18386" xr:uid="{E5742B34-C6C1-4CEE-B12E-84F77E44B913}"/>
    <cellStyle name="Normal 5 3 2 2 3 5" xfId="9282" xr:uid="{01BA4C99-E3F1-4019-95C6-DDA031AA385C}"/>
    <cellStyle name="Normal 5 3 2 2 3 5 2" xfId="18387" xr:uid="{B9FB4692-C6D3-47FB-9F4D-A985A87734C6}"/>
    <cellStyle name="Normal 5 3 2 2 3 6" xfId="18381" xr:uid="{812D33D2-1942-4DB2-82A9-EE70379C44E8}"/>
    <cellStyle name="Normal 5 3 2 2 4" xfId="9283" xr:uid="{378AC291-9BF0-4641-ADEB-7D7178881AC3}"/>
    <cellStyle name="Normal 5 3 2 2 4 2" xfId="9284" xr:uid="{59DC9EEB-BE29-4EFE-A2D1-CFAD506E7F88}"/>
    <cellStyle name="Normal 5 3 2 2 4 2 2" xfId="18389" xr:uid="{50FECDB3-DDDC-4924-B0D5-110FF34FB0D7}"/>
    <cellStyle name="Normal 5 3 2 2 4 3" xfId="9285" xr:uid="{844E50DB-28A5-413F-853B-1F728C8F34AA}"/>
    <cellStyle name="Normal 5 3 2 2 4 3 2" xfId="18390" xr:uid="{8319F9F6-3F0D-45E9-9ACB-5E80180D0433}"/>
    <cellStyle name="Normal 5 3 2 2 4 4" xfId="18388" xr:uid="{286E11A5-273D-4137-87AC-8736238F4ADB}"/>
    <cellStyle name="Normal 5 3 2 2 5" xfId="9286" xr:uid="{235C2790-4DE8-4B0E-B1FF-52B1E7D341B0}"/>
    <cellStyle name="Normal 5 3 2 2 5 2" xfId="18391" xr:uid="{7024E925-1F44-4BE0-AAB3-52D9770D112E}"/>
    <cellStyle name="Normal 5 3 2 2 6" xfId="9287" xr:uid="{5CCBA7FB-3A1A-472C-9705-D7A7650986AB}"/>
    <cellStyle name="Normal 5 3 2 2 6 2" xfId="18392" xr:uid="{206583D2-FB3A-4416-A09F-F1CBBDCE4A82}"/>
    <cellStyle name="Normal 5 3 2 2 7" xfId="9288" xr:uid="{6E8EADF6-9B69-4B03-9E41-408C407F5A16}"/>
    <cellStyle name="Normal 5 3 2 2 7 2" xfId="18393" xr:uid="{8D4813BE-E51D-4C7F-B409-57BB1F8A0846}"/>
    <cellStyle name="Normal 5 3 2 2 8" xfId="18373" xr:uid="{FF27534B-A163-416A-8997-194931D8900D}"/>
    <cellStyle name="Normal 5 3 2 3" xfId="9289" xr:uid="{2BB7674C-FDC6-47CA-A0B6-546916F074A7}"/>
    <cellStyle name="Normal 5 3 2 3 2" xfId="9290" xr:uid="{C63D9ACF-6A18-4678-AD9F-28BFBD91E720}"/>
    <cellStyle name="Normal 5 3 2 3 2 2" xfId="9291" xr:uid="{2EF01033-A6D7-4ED1-8130-1638FA324A89}"/>
    <cellStyle name="Normal 5 3 2 3 2 2 2" xfId="18396" xr:uid="{3FF75E6A-6167-4A6E-8FAA-49DBDB6DBD6B}"/>
    <cellStyle name="Normal 5 3 2 3 2 3" xfId="9292" xr:uid="{06BEE766-1F47-49C0-A89A-93C03C555FAD}"/>
    <cellStyle name="Normal 5 3 2 3 2 3 2" xfId="18397" xr:uid="{B3B33E77-4A7E-458D-ACDD-03B2F780B7B9}"/>
    <cellStyle name="Normal 5 3 2 3 2 4" xfId="18395" xr:uid="{BC95386E-34F7-47FD-BB02-B37F103B04EA}"/>
    <cellStyle name="Normal 5 3 2 3 3" xfId="9293" xr:uid="{AB8B17F9-473F-4A0B-A9D2-FD9EF0A0DEC4}"/>
    <cellStyle name="Normal 5 3 2 3 3 2" xfId="18398" xr:uid="{9950A486-3827-4522-9DFF-D3A87CDB8FAF}"/>
    <cellStyle name="Normal 5 3 2 3 4" xfId="9294" xr:uid="{4F286186-383D-4250-AC96-7C764F48AA56}"/>
    <cellStyle name="Normal 5 3 2 3 4 2" xfId="18399" xr:uid="{DCBA71B3-3D86-4FEA-ABA8-29B081AD32B8}"/>
    <cellStyle name="Normal 5 3 2 3 5" xfId="9295" xr:uid="{242B45BA-7285-4CBC-8771-81CEBAFFF713}"/>
    <cellStyle name="Normal 5 3 2 3 5 2" xfId="18400" xr:uid="{705E0E64-47B5-4444-9570-940ADA58AF13}"/>
    <cellStyle name="Normal 5 3 2 3 6" xfId="18394" xr:uid="{CF390EA0-A382-4488-BBDD-132EF8573FF5}"/>
    <cellStyle name="Normal 5 3 2 4" xfId="9296" xr:uid="{E1A88D64-AA17-4ADC-BAF6-F2AD7C4F3D54}"/>
    <cellStyle name="Normal 5 3 2 4 2" xfId="9297" xr:uid="{D291891F-6685-4F9B-9983-353233163D86}"/>
    <cellStyle name="Normal 5 3 2 4 2 2" xfId="9298" xr:uid="{3167D525-F8BA-4E63-B0F6-BB8CA27DB85A}"/>
    <cellStyle name="Normal 5 3 2 4 2 2 2" xfId="18403" xr:uid="{8D2D8953-DE23-4329-ABF1-98F93E9FBCE5}"/>
    <cellStyle name="Normal 5 3 2 4 2 3" xfId="9299" xr:uid="{BB1B3F51-FD4B-4A23-A632-077A45EB8057}"/>
    <cellStyle name="Normal 5 3 2 4 2 3 2" xfId="18404" xr:uid="{69F7F339-D6A9-4E1D-B0E6-8EF2533E9724}"/>
    <cellStyle name="Normal 5 3 2 4 2 4" xfId="18402" xr:uid="{172F523A-399B-41AC-A570-37D58A2E30A2}"/>
    <cellStyle name="Normal 5 3 2 4 3" xfId="9300" xr:uid="{7BE3407F-2A98-47AE-AA35-8D7C763201D6}"/>
    <cellStyle name="Normal 5 3 2 4 3 2" xfId="18405" xr:uid="{D1BEC371-4CC5-43C0-9303-68B28D2DDFBC}"/>
    <cellStyle name="Normal 5 3 2 4 4" xfId="9301" xr:uid="{D278F13D-B807-4A17-8A1D-F1C883F7A706}"/>
    <cellStyle name="Normal 5 3 2 4 4 2" xfId="18406" xr:uid="{8CA1CBDF-55DE-4606-85E6-55C2BB7A20D7}"/>
    <cellStyle name="Normal 5 3 2 4 5" xfId="9302" xr:uid="{313EE871-9307-4215-B321-BE4E7E572F2C}"/>
    <cellStyle name="Normal 5 3 2 4 5 2" xfId="18407" xr:uid="{D65FB15D-6DF4-4C8B-B7F8-9AB9C0D4D35C}"/>
    <cellStyle name="Normal 5 3 2 4 6" xfId="18401" xr:uid="{100AACD3-2076-4D43-A09F-9558804A2C97}"/>
    <cellStyle name="Normal 5 3 2 5" xfId="9303" xr:uid="{51D46BAB-7246-42BE-B1DB-D57A2032B881}"/>
    <cellStyle name="Normal 5 3 2 5 2" xfId="9304" xr:uid="{E7E1ED94-5B9B-478F-B852-BDEC50FBD027}"/>
    <cellStyle name="Normal 5 3 2 5 2 2" xfId="18409" xr:uid="{C5CE4AB5-6F7D-4FB8-90B3-441EDBF86EE8}"/>
    <cellStyle name="Normal 5 3 2 5 3" xfId="9305" xr:uid="{7CE90BD2-F624-4F82-8EC4-75D44C7ED86F}"/>
    <cellStyle name="Normal 5 3 2 5 3 2" xfId="18410" xr:uid="{0CD66F40-E1E2-4A09-B1F2-EEE8BD61CF1C}"/>
    <cellStyle name="Normal 5 3 2 5 4" xfId="18408" xr:uid="{7B8955BB-C6AF-45B2-B6DA-72D136413ED0}"/>
    <cellStyle name="Normal 5 3 2 6" xfId="9306" xr:uid="{2973C992-472A-4CF2-B48A-917BEDFC6207}"/>
    <cellStyle name="Normal 5 3 2 6 2" xfId="18411" xr:uid="{59A86107-CDC8-43BD-8A07-F664C56B33F0}"/>
    <cellStyle name="Normal 5 3 2 7" xfId="9307" xr:uid="{2EFBF7E6-62A3-4EA9-82DF-7025DC2EA8CE}"/>
    <cellStyle name="Normal 5 3 2 7 2" xfId="18412" xr:uid="{B2A354F7-FBFD-4878-9AF5-9BB22859AFAB}"/>
    <cellStyle name="Normal 5 3 2 8" xfId="9308" xr:uid="{ABE76E2F-A9BF-4CCA-8E45-918907FFFF32}"/>
    <cellStyle name="Normal 5 3 2 8 2" xfId="18413" xr:uid="{E52E6A00-F142-4512-A276-2A87FFF92F9F}"/>
    <cellStyle name="Normal 5 3 2 9" xfId="18372" xr:uid="{E72C112F-E1C6-4AE6-BB34-86F322B05E60}"/>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2 2" xfId="18417" xr:uid="{F0BE2F9D-0DED-4100-886A-B967C5780328}"/>
    <cellStyle name="Normal 5 3 3 2 2 3" xfId="9313" xr:uid="{D54DCE74-8232-4A6C-84C4-16AAFCB925E9}"/>
    <cellStyle name="Normal 5 3 3 2 2 3 2" xfId="18418" xr:uid="{D046BD06-79FD-40BC-9C64-5727E8DB41DA}"/>
    <cellStyle name="Normal 5 3 3 2 2 4" xfId="18416" xr:uid="{CC08F10C-B301-405B-9DAA-A445C6A9B428}"/>
    <cellStyle name="Normal 5 3 3 2 3" xfId="9314" xr:uid="{C782AC5D-1383-44EB-BCA6-90D402D17CA0}"/>
    <cellStyle name="Normal 5 3 3 2 3 2" xfId="18419" xr:uid="{917B7A5D-A3E5-4C6F-BCF2-A899914C6BB0}"/>
    <cellStyle name="Normal 5 3 3 2 4" xfId="9315" xr:uid="{16A67BF0-5854-4C29-8B84-A65FA392A949}"/>
    <cellStyle name="Normal 5 3 3 2 4 2" xfId="18420" xr:uid="{35F2758E-05E5-42C6-B7BE-B4742F65BE54}"/>
    <cellStyle name="Normal 5 3 3 2 5" xfId="9316" xr:uid="{0A05E711-A64E-4950-AA84-F59E8C342ECF}"/>
    <cellStyle name="Normal 5 3 3 2 5 2" xfId="18421" xr:uid="{695D154F-4126-4BF6-903F-69E1EF4CB14F}"/>
    <cellStyle name="Normal 5 3 3 2 6" xfId="18415" xr:uid="{B4D5DFD3-3EF0-41E6-82F5-7B82B5C623D1}"/>
    <cellStyle name="Normal 5 3 3 3" xfId="9317" xr:uid="{589015EA-53E0-416C-A143-68F90F50A6EA}"/>
    <cellStyle name="Normal 5 3 3 3 2" xfId="9318" xr:uid="{C86DEC90-BEE6-4B3F-881A-24BB30C958CB}"/>
    <cellStyle name="Normal 5 3 3 3 2 2" xfId="9319" xr:uid="{02A16619-306B-484F-A34F-19CEB809AC07}"/>
    <cellStyle name="Normal 5 3 3 3 2 2 2" xfId="18424" xr:uid="{631A0749-6CDA-496E-ADB8-7DB0616BB167}"/>
    <cellStyle name="Normal 5 3 3 3 2 3" xfId="9320" xr:uid="{98339359-1A95-4DAA-BBFD-3CB451774F51}"/>
    <cellStyle name="Normal 5 3 3 3 2 3 2" xfId="18425" xr:uid="{4A1A0D62-23F6-4BBE-90B6-82C1360B1444}"/>
    <cellStyle name="Normal 5 3 3 3 2 4" xfId="18423" xr:uid="{8EC558BE-EB7E-4C95-AEB6-BAC79BB1AE1D}"/>
    <cellStyle name="Normal 5 3 3 3 3" xfId="9321" xr:uid="{F1FE52E5-024B-49EF-911A-EBBCC53AEC4C}"/>
    <cellStyle name="Normal 5 3 3 3 3 2" xfId="18426" xr:uid="{5A8871D3-B96A-4FF7-8C8F-C8A4677D031B}"/>
    <cellStyle name="Normal 5 3 3 3 4" xfId="9322" xr:uid="{80888152-0356-4EB5-9459-79C83CA2EF8F}"/>
    <cellStyle name="Normal 5 3 3 3 4 2" xfId="18427" xr:uid="{38B76546-19E3-4780-9129-25CF5DE7D2F8}"/>
    <cellStyle name="Normal 5 3 3 3 5" xfId="9323" xr:uid="{17C56309-CAA5-4933-8F68-4F4D212E3D5C}"/>
    <cellStyle name="Normal 5 3 3 3 5 2" xfId="18428" xr:uid="{4AF01395-3B17-47E1-A3CB-BE7953C25838}"/>
    <cellStyle name="Normal 5 3 3 3 6" xfId="18422" xr:uid="{8F25C2A1-36BC-4C04-804E-14230301E787}"/>
    <cellStyle name="Normal 5 3 3 4" xfId="9324" xr:uid="{A4922B45-2676-48AB-8EF3-E54F3DA48C42}"/>
    <cellStyle name="Normal 5 3 3 4 2" xfId="9325" xr:uid="{CE8CBD95-2C73-432C-9BEC-190792BF8CA7}"/>
    <cellStyle name="Normal 5 3 3 4 2 2" xfId="18430" xr:uid="{FABB2AD0-9093-4029-A92E-3F5EF71BFC60}"/>
    <cellStyle name="Normal 5 3 3 4 3" xfId="9326" xr:uid="{2937152E-526F-4008-91EA-9045BF7D4B3D}"/>
    <cellStyle name="Normal 5 3 3 4 3 2" xfId="18431" xr:uid="{15A05510-E98B-4A57-B447-7E7BA003FA1C}"/>
    <cellStyle name="Normal 5 3 3 4 4" xfId="18429" xr:uid="{826FF162-36C8-49C4-9C24-D3ADFCC82A18}"/>
    <cellStyle name="Normal 5 3 3 5" xfId="9327" xr:uid="{123BC9F5-B61E-4A65-B496-AD8D89FED22D}"/>
    <cellStyle name="Normal 5 3 3 5 2" xfId="18432" xr:uid="{D1FB48A7-E732-4531-B9B6-5E38F3BFBD17}"/>
    <cellStyle name="Normal 5 3 3 6" xfId="9328" xr:uid="{E9B5DF84-42AC-4FB4-9668-8C899E397E30}"/>
    <cellStyle name="Normal 5 3 3 6 2" xfId="18433" xr:uid="{D139B1D7-12FC-4ACA-8E43-75DD14C97E4B}"/>
    <cellStyle name="Normal 5 3 3 7" xfId="9329" xr:uid="{096175E3-CB89-4204-BF1C-1F6A8C34080C}"/>
    <cellStyle name="Normal 5 3 3 7 2" xfId="18434" xr:uid="{2C52EAF6-8D66-43BA-8790-2AA332D063F9}"/>
    <cellStyle name="Normal 5 3 3 8" xfId="18414" xr:uid="{4641A5F7-1D48-4B2B-8EA1-942B887D1472}"/>
    <cellStyle name="Normal 5 3 4" xfId="9330" xr:uid="{9E213C85-0116-4745-B4D5-097E1444C7F3}"/>
    <cellStyle name="Normal 5 3 4 2" xfId="9331" xr:uid="{1D89FADF-B8E5-41D9-BDA5-6F7F11110EAC}"/>
    <cellStyle name="Normal 5 3 4 2 2" xfId="9332" xr:uid="{DE2F16D4-7C35-48BD-B93F-3E1D77CCDCA0}"/>
    <cellStyle name="Normal 5 3 4 2 2 2" xfId="18437" xr:uid="{A38952A2-80DA-4288-B195-12BD6D4A5EE5}"/>
    <cellStyle name="Normal 5 3 4 2 3" xfId="9333" xr:uid="{94781054-D6D9-4B54-B4EC-C244CDD7F57B}"/>
    <cellStyle name="Normal 5 3 4 2 3 2" xfId="18438" xr:uid="{DF046ABD-087A-4E6E-A468-BA31B6149BBF}"/>
    <cellStyle name="Normal 5 3 4 2 4" xfId="18436" xr:uid="{EED999C4-33BD-4626-9262-9ADB81C6C35D}"/>
    <cellStyle name="Normal 5 3 4 3" xfId="9334" xr:uid="{B727E3D5-1E7C-4681-9922-FEE98F3470FC}"/>
    <cellStyle name="Normal 5 3 4 3 2" xfId="18439" xr:uid="{B58EE0ED-8B19-46DD-B456-C9020DC83009}"/>
    <cellStyle name="Normal 5 3 4 4" xfId="9335" xr:uid="{0148FA84-AD5E-4ECD-96D6-0FF619F122B2}"/>
    <cellStyle name="Normal 5 3 4 4 2" xfId="18440" xr:uid="{4EFEF611-F59D-432A-AFFE-C5F2149587A0}"/>
    <cellStyle name="Normal 5 3 4 5" xfId="9336" xr:uid="{4FC8B618-3EE4-4C46-B2F4-BD399B0488D8}"/>
    <cellStyle name="Normal 5 3 4 5 2" xfId="18441" xr:uid="{7CAA39F8-17C3-49B9-A9E4-87255A786579}"/>
    <cellStyle name="Normal 5 3 4 6" xfId="18435" xr:uid="{79627FEF-84C5-44A8-9EE7-04AEC1D75DA5}"/>
    <cellStyle name="Normal 5 3 5" xfId="9337" xr:uid="{3DAF02E0-6427-408B-8E91-CC26CC0FCD84}"/>
    <cellStyle name="Normal 5 3 5 2" xfId="9338" xr:uid="{22910518-A90C-40E3-BFCF-5AEE37CA4687}"/>
    <cellStyle name="Normal 5 3 5 2 2" xfId="9339" xr:uid="{40E95B31-EAE5-4EB2-9B3B-CE84805D0D60}"/>
    <cellStyle name="Normal 5 3 5 2 2 2" xfId="18444" xr:uid="{1562154C-DA1E-4B19-B044-19C825BD0792}"/>
    <cellStyle name="Normal 5 3 5 2 3" xfId="9340" xr:uid="{1EEF3B41-E076-4B54-BF17-F418B90B6911}"/>
    <cellStyle name="Normal 5 3 5 2 3 2" xfId="18445" xr:uid="{E94A7FA8-5CA6-4415-A25E-D1D80691C259}"/>
    <cellStyle name="Normal 5 3 5 2 4" xfId="18443" xr:uid="{4140FB6B-9F84-4D80-A4C7-0F2D156D320F}"/>
    <cellStyle name="Normal 5 3 5 3" xfId="9341" xr:uid="{73B7F4E3-EC2A-4F43-9F91-44FB67ED2E8E}"/>
    <cellStyle name="Normal 5 3 5 3 2" xfId="18446" xr:uid="{BCF9D119-F52E-4AFA-90D8-2A98BA4C2079}"/>
    <cellStyle name="Normal 5 3 5 4" xfId="9342" xr:uid="{84B0A912-D838-496B-9061-4A3EE545CCCD}"/>
    <cellStyle name="Normal 5 3 5 4 2" xfId="18447" xr:uid="{892E2053-EC21-4CB6-BA52-0EC93E7841FF}"/>
    <cellStyle name="Normal 5 3 5 5" xfId="9343" xr:uid="{EF58C140-E360-4CBC-8329-7B3374034EB8}"/>
    <cellStyle name="Normal 5 3 5 5 2" xfId="18448" xr:uid="{BCDCC957-2723-4627-A8E3-E713B4230100}"/>
    <cellStyle name="Normal 5 3 5 6" xfId="18442" xr:uid="{DFD54E4B-AA13-469A-96B5-940AFC252499}"/>
    <cellStyle name="Normal 5 3 6" xfId="9344" xr:uid="{A70981B3-795A-4718-A98A-4F3205DBFBD3}"/>
    <cellStyle name="Normal 5 3 6 2" xfId="9345" xr:uid="{6D3FF0DE-F6D3-4049-8EF8-53E6330F2F3D}"/>
    <cellStyle name="Normal 5 3 6 2 2" xfId="18450" xr:uid="{E85C780C-9932-4ADF-BD01-1EF8DF29B65E}"/>
    <cellStyle name="Normal 5 3 6 3" xfId="9346" xr:uid="{37DF3B0E-8AAA-4C79-A2D2-EA0BF775F7D6}"/>
    <cellStyle name="Normal 5 3 6 3 2" xfId="18451" xr:uid="{B5F3A772-14C0-4F3F-9ACB-868486881AF2}"/>
    <cellStyle name="Normal 5 3 6 4" xfId="18449" xr:uid="{68510BC5-A1AC-42AE-AB17-948B5C6D9FD6}"/>
    <cellStyle name="Normal 5 3 7" xfId="9347" xr:uid="{F9D56463-D4D0-43EC-B403-C905117160A0}"/>
    <cellStyle name="Normal 5 3 7 2" xfId="18452" xr:uid="{BA5C2399-0A53-4E9A-9E27-B6D988399FD8}"/>
    <cellStyle name="Normal 5 3 8" xfId="9348" xr:uid="{233476C9-B233-4920-AAE8-AAB1A92CA1AC}"/>
    <cellStyle name="Normal 5 3 8 2" xfId="18453" xr:uid="{7F56DE0F-E29C-4459-8A11-63E7EBA5B912}"/>
    <cellStyle name="Normal 5 3 9" xfId="9349" xr:uid="{AF313CA7-520A-4070-98AE-96C307675712}"/>
    <cellStyle name="Normal 5 3 9 2" xfId="18454" xr:uid="{7A00D68B-C22E-46E5-B8FD-8E8900A695B7}"/>
    <cellStyle name="Normal 5 4" xfId="443" xr:uid="{00000000-0005-0000-0000-0000B2010000}"/>
    <cellStyle name="Normal 5 4 10" xfId="9350" xr:uid="{A136B1CE-6F46-4FB1-B6D7-A644E1339A85}"/>
    <cellStyle name="Normal 5 4 10 2" xfId="18455" xr:uid="{B2A10F21-F5D3-4A7A-ACCF-75F34F1A1856}"/>
    <cellStyle name="Normal 5 4 11" xfId="10425" xr:uid="{A74B53CE-0AFC-41A5-A15B-2B2DA9A41BBC}"/>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2 2" xfId="18460" xr:uid="{0B5758DB-07EC-434C-A836-457BBFA5B15E}"/>
    <cellStyle name="Normal 5 4 2 2 2 2 3" xfId="9356" xr:uid="{93CB3E13-4E25-4984-A741-12A24C1BE3C9}"/>
    <cellStyle name="Normal 5 4 2 2 2 2 3 2" xfId="18461" xr:uid="{0D3D62C2-2738-417B-8449-B5F540C752CA}"/>
    <cellStyle name="Normal 5 4 2 2 2 2 4" xfId="18459" xr:uid="{32DDA984-5EEF-4388-B9F6-8EF85C2803D8}"/>
    <cellStyle name="Normal 5 4 2 2 2 3" xfId="9357" xr:uid="{4BA9C66D-4D81-4AE3-8466-42F0490D8054}"/>
    <cellStyle name="Normal 5 4 2 2 2 3 2" xfId="18462" xr:uid="{64355DE3-90B8-4F6A-AD32-67655C5F85AA}"/>
    <cellStyle name="Normal 5 4 2 2 2 4" xfId="9358" xr:uid="{75172EED-E54A-423A-B125-22E9994F9EAE}"/>
    <cellStyle name="Normal 5 4 2 2 2 4 2" xfId="18463" xr:uid="{6A5571B5-DF7E-40AC-86DE-9F62E8DEAE8A}"/>
    <cellStyle name="Normal 5 4 2 2 2 5" xfId="9359" xr:uid="{451B43B7-FA80-485B-8EAA-B80E0B5FC912}"/>
    <cellStyle name="Normal 5 4 2 2 2 5 2" xfId="18464" xr:uid="{DAA04618-5920-419C-A3D6-8541114DAD6E}"/>
    <cellStyle name="Normal 5 4 2 2 2 6" xfId="18458" xr:uid="{5A1B3954-F866-450D-A86E-975C2342BFB3}"/>
    <cellStyle name="Normal 5 4 2 2 3" xfId="9360" xr:uid="{6696370B-02FE-444B-9985-57466EB37D64}"/>
    <cellStyle name="Normal 5 4 2 2 3 2" xfId="9361" xr:uid="{3E0EF59F-3C91-4525-9CDE-ABE0EC51B723}"/>
    <cellStyle name="Normal 5 4 2 2 3 2 2" xfId="9362" xr:uid="{1B9A61B9-676D-4F9C-B0DF-0C30E8B5BF00}"/>
    <cellStyle name="Normal 5 4 2 2 3 2 2 2" xfId="18467" xr:uid="{1DF15B70-155C-4BA9-A913-5D62D27DACD1}"/>
    <cellStyle name="Normal 5 4 2 2 3 2 3" xfId="9363" xr:uid="{242A23BD-3E0F-4130-A259-C8DE1AD1DEBD}"/>
    <cellStyle name="Normal 5 4 2 2 3 2 3 2" xfId="18468" xr:uid="{68D1EB2D-CAEE-4727-B8AC-24B4319BDD42}"/>
    <cellStyle name="Normal 5 4 2 2 3 2 4" xfId="18466" xr:uid="{33291F0F-9240-4077-8853-34D63B37A2F2}"/>
    <cellStyle name="Normal 5 4 2 2 3 3" xfId="9364" xr:uid="{3A030331-CD4B-45D8-BC49-069CED55B220}"/>
    <cellStyle name="Normal 5 4 2 2 3 3 2" xfId="18469" xr:uid="{BA48E7B0-8F55-489F-953C-9FC82FB2845C}"/>
    <cellStyle name="Normal 5 4 2 2 3 4" xfId="9365" xr:uid="{ECF4CCEB-AC16-4DCF-85F0-1379F550F75A}"/>
    <cellStyle name="Normal 5 4 2 2 3 4 2" xfId="18470" xr:uid="{6E77DCCE-A9DE-46C4-893D-6304A82B5446}"/>
    <cellStyle name="Normal 5 4 2 2 3 5" xfId="9366" xr:uid="{45DBECE9-E6FF-4331-BB3D-C35AEB9A3432}"/>
    <cellStyle name="Normal 5 4 2 2 3 5 2" xfId="18471" xr:uid="{E0D1C776-6118-455B-BAD4-2959C71781CB}"/>
    <cellStyle name="Normal 5 4 2 2 3 6" xfId="18465" xr:uid="{2F6BEEAF-4F22-4755-8682-C4B49B75A909}"/>
    <cellStyle name="Normal 5 4 2 2 4" xfId="9367" xr:uid="{1034A1F9-9429-4A6B-9EA1-0081D8C2E33B}"/>
    <cellStyle name="Normal 5 4 2 2 4 2" xfId="9368" xr:uid="{9356FC5F-106D-4CEF-A771-08936035CC52}"/>
    <cellStyle name="Normal 5 4 2 2 4 2 2" xfId="18473" xr:uid="{F1EFCC2F-9815-4B15-BF07-23134F6E960B}"/>
    <cellStyle name="Normal 5 4 2 2 4 3" xfId="9369" xr:uid="{DF1BD1E7-79FC-4657-A69A-30CBDD498340}"/>
    <cellStyle name="Normal 5 4 2 2 4 3 2" xfId="18474" xr:uid="{A64A8C6E-3F07-4125-91DE-F6FB452ECBD8}"/>
    <cellStyle name="Normal 5 4 2 2 4 4" xfId="18472" xr:uid="{7F8F86F0-FAEC-48ED-97ED-60DCEC661DCB}"/>
    <cellStyle name="Normal 5 4 2 2 5" xfId="9370" xr:uid="{9E1F2465-0E92-4936-B01F-23596DEE5E4B}"/>
    <cellStyle name="Normal 5 4 2 2 5 2" xfId="18475" xr:uid="{588FA691-BCCA-406D-8DDC-113C46B56B5E}"/>
    <cellStyle name="Normal 5 4 2 2 6" xfId="9371" xr:uid="{13787E3E-DFC6-45CE-9E32-0388D937FF64}"/>
    <cellStyle name="Normal 5 4 2 2 6 2" xfId="18476" xr:uid="{E6E54085-C88F-4D1B-BDB3-762557E61305}"/>
    <cellStyle name="Normal 5 4 2 2 7" xfId="9372" xr:uid="{16200B33-709B-4210-BE07-943FAB66FACC}"/>
    <cellStyle name="Normal 5 4 2 2 7 2" xfId="18477" xr:uid="{CF3D2E6E-0966-4980-B556-6DC9024E71D6}"/>
    <cellStyle name="Normal 5 4 2 2 8" xfId="18457" xr:uid="{2CA51B80-D67F-4F3F-8D18-0E5EC3B2E91E}"/>
    <cellStyle name="Normal 5 4 2 3" xfId="9373" xr:uid="{8A1816CA-98C4-4406-9D5A-BC740DE63923}"/>
    <cellStyle name="Normal 5 4 2 3 2" xfId="9374" xr:uid="{37E7872E-4533-40D4-AB75-34DBB53CCCAB}"/>
    <cellStyle name="Normal 5 4 2 3 2 2" xfId="9375" xr:uid="{57518275-1861-46A8-BEFC-311686CE4495}"/>
    <cellStyle name="Normal 5 4 2 3 2 2 2" xfId="18480" xr:uid="{511E083C-CCFB-4A88-B9A8-C91A90FCB119}"/>
    <cellStyle name="Normal 5 4 2 3 2 3" xfId="9376" xr:uid="{605CE8B0-0EE3-424B-8997-F460BB397246}"/>
    <cellStyle name="Normal 5 4 2 3 2 3 2" xfId="18481" xr:uid="{65A29690-08C0-4D9C-8D76-5197C4D35676}"/>
    <cellStyle name="Normal 5 4 2 3 2 4" xfId="18479" xr:uid="{0925395A-3C30-4B48-9A8C-E90DD4425763}"/>
    <cellStyle name="Normal 5 4 2 3 3" xfId="9377" xr:uid="{00933FD7-1795-4C2B-B874-65101FB301EC}"/>
    <cellStyle name="Normal 5 4 2 3 3 2" xfId="18482" xr:uid="{FE737072-2062-4F6D-AD36-EF49FF22B063}"/>
    <cellStyle name="Normal 5 4 2 3 4" xfId="9378" xr:uid="{46590CCB-C27C-43FC-8827-9239CB2D3FEE}"/>
    <cellStyle name="Normal 5 4 2 3 4 2" xfId="18483" xr:uid="{6111E6C6-360C-4780-9DE6-73E0C9479814}"/>
    <cellStyle name="Normal 5 4 2 3 5" xfId="9379" xr:uid="{DA40C29D-B761-4B02-B6CC-727FBF843E96}"/>
    <cellStyle name="Normal 5 4 2 3 5 2" xfId="18484" xr:uid="{86D09652-2BCA-4B5E-AA95-B79A046437AA}"/>
    <cellStyle name="Normal 5 4 2 3 6" xfId="18478" xr:uid="{AB4459D2-C1FC-4849-9208-77D70904E6CA}"/>
    <cellStyle name="Normal 5 4 2 4" xfId="9380" xr:uid="{BCF144F2-1049-4933-9D64-4F4E213AE1B0}"/>
    <cellStyle name="Normal 5 4 2 4 2" xfId="9381" xr:uid="{4CB33322-2F17-46EF-A956-FE6D63303A5B}"/>
    <cellStyle name="Normal 5 4 2 4 2 2" xfId="9382" xr:uid="{A0C93FE0-1E38-41FA-8F5C-579DB17573B7}"/>
    <cellStyle name="Normal 5 4 2 4 2 2 2" xfId="18487" xr:uid="{B7867CF3-D607-4A50-957F-C98F5763BE28}"/>
    <cellStyle name="Normal 5 4 2 4 2 3" xfId="9383" xr:uid="{55B21DF8-673C-4594-B195-2C86F5818E76}"/>
    <cellStyle name="Normal 5 4 2 4 2 3 2" xfId="18488" xr:uid="{157962BA-45F6-481A-A44E-72078F762BEE}"/>
    <cellStyle name="Normal 5 4 2 4 2 4" xfId="18486" xr:uid="{0E25D405-3707-4EF0-AE57-8BC757099A34}"/>
    <cellStyle name="Normal 5 4 2 4 3" xfId="9384" xr:uid="{DBC6E736-3483-4952-BEB0-C6049D948318}"/>
    <cellStyle name="Normal 5 4 2 4 3 2" xfId="18489" xr:uid="{5C018214-A601-40A5-90F7-2B8A8790F437}"/>
    <cellStyle name="Normal 5 4 2 4 4" xfId="9385" xr:uid="{B7FB69E8-AFC1-4A7A-BD9C-D44229909C5D}"/>
    <cellStyle name="Normal 5 4 2 4 4 2" xfId="18490" xr:uid="{82F2FE5E-BEFB-4C18-9D54-566B73911C5A}"/>
    <cellStyle name="Normal 5 4 2 4 5" xfId="9386" xr:uid="{AACC031C-34B7-4519-88B5-AE7D237291D7}"/>
    <cellStyle name="Normal 5 4 2 4 5 2" xfId="18491" xr:uid="{4475D15F-34CD-43C1-AF0E-C57B3DB2331E}"/>
    <cellStyle name="Normal 5 4 2 4 6" xfId="18485" xr:uid="{75D24F09-CB04-4354-952D-25935C5774D2}"/>
    <cellStyle name="Normal 5 4 2 5" xfId="9387" xr:uid="{F164AC6B-D64C-44C4-9943-D72FF0CAB7CD}"/>
    <cellStyle name="Normal 5 4 2 5 2" xfId="9388" xr:uid="{2A589E39-DED8-48F5-B467-94CFA934F9B3}"/>
    <cellStyle name="Normal 5 4 2 5 2 2" xfId="18493" xr:uid="{C235BF7D-11A2-400C-BD72-85BA2553A830}"/>
    <cellStyle name="Normal 5 4 2 5 3" xfId="9389" xr:uid="{BED506C2-10BC-401A-AD37-8BD49132ADB3}"/>
    <cellStyle name="Normal 5 4 2 5 3 2" xfId="18494" xr:uid="{3FAFD7B5-D825-4D94-829F-A4DBA39F5AE9}"/>
    <cellStyle name="Normal 5 4 2 5 4" xfId="18492" xr:uid="{8ED0344A-BB21-4657-B7AF-4CFE3F2F17B4}"/>
    <cellStyle name="Normal 5 4 2 6" xfId="9390" xr:uid="{E30549AF-FC99-45FC-8E47-67BDC1A3422E}"/>
    <cellStyle name="Normal 5 4 2 6 2" xfId="18495" xr:uid="{EFA12B72-7B99-4A7F-ABEF-28D9984237E6}"/>
    <cellStyle name="Normal 5 4 2 7" xfId="9391" xr:uid="{469C8A60-344A-40FC-84E4-1EF84931BE83}"/>
    <cellStyle name="Normal 5 4 2 7 2" xfId="18496" xr:uid="{E996B940-4B5B-4B9E-8523-1E5A3F3BF4D5}"/>
    <cellStyle name="Normal 5 4 2 8" xfId="9392" xr:uid="{B442BCA3-0ECD-460A-8F73-0735700C5B74}"/>
    <cellStyle name="Normal 5 4 2 8 2" xfId="18497" xr:uid="{ADF51EBA-C86E-404F-BF40-ACDEAF72EF06}"/>
    <cellStyle name="Normal 5 4 2 9" xfId="18456" xr:uid="{4424F0FB-8A93-48E2-A649-59353A10CC2C}"/>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2 2" xfId="18501" xr:uid="{F283232F-F8FE-49B1-B684-05158EED7203}"/>
    <cellStyle name="Normal 5 4 3 2 2 3" xfId="9397" xr:uid="{A849AA0F-F414-4651-88FA-22DD5CD55852}"/>
    <cellStyle name="Normal 5 4 3 2 2 3 2" xfId="18502" xr:uid="{FEEBDDFC-2467-4046-A8A7-F702CEE4542F}"/>
    <cellStyle name="Normal 5 4 3 2 2 4" xfId="18500" xr:uid="{93F4FF4D-2145-4733-8116-7B99D159D40D}"/>
    <cellStyle name="Normal 5 4 3 2 3" xfId="9398" xr:uid="{DE0B9431-0354-4098-925D-9788BBED74B0}"/>
    <cellStyle name="Normal 5 4 3 2 3 2" xfId="18503" xr:uid="{5A77A737-34F2-4FDB-AA76-501730813FC3}"/>
    <cellStyle name="Normal 5 4 3 2 4" xfId="9399" xr:uid="{AD31BDB9-83FC-4982-BC22-B7FE2549826A}"/>
    <cellStyle name="Normal 5 4 3 2 4 2" xfId="18504" xr:uid="{C2560729-A3A6-4C4D-9FF4-2A60526DA290}"/>
    <cellStyle name="Normal 5 4 3 2 5" xfId="9400" xr:uid="{D03921E8-1082-4A00-8FE9-75D6B5A45709}"/>
    <cellStyle name="Normal 5 4 3 2 5 2" xfId="18505" xr:uid="{3AECDA05-CEEE-4CD9-B61C-1CCF23C4267C}"/>
    <cellStyle name="Normal 5 4 3 2 6" xfId="18499" xr:uid="{36AB91B7-8B89-40D8-9E14-6631782081BD}"/>
    <cellStyle name="Normal 5 4 3 3" xfId="9401" xr:uid="{58BDCFCF-8C0D-4D0F-82F4-71F9B537DB00}"/>
    <cellStyle name="Normal 5 4 3 3 2" xfId="9402" xr:uid="{1985BA5A-BAA7-4A52-9B7D-580FE7AD8F12}"/>
    <cellStyle name="Normal 5 4 3 3 2 2" xfId="9403" xr:uid="{DE498D87-C8A2-4CE0-BBF5-BA1269EAB380}"/>
    <cellStyle name="Normal 5 4 3 3 2 2 2" xfId="18508" xr:uid="{9C07FD7D-30E1-4E4E-9DC9-BE6BEB78E598}"/>
    <cellStyle name="Normal 5 4 3 3 2 3" xfId="9404" xr:uid="{F9105AAC-18D9-44EA-8B1A-0CF9E23A72D1}"/>
    <cellStyle name="Normal 5 4 3 3 2 3 2" xfId="18509" xr:uid="{ECBEDF99-BD6A-4511-8BEB-48B6951EFE09}"/>
    <cellStyle name="Normal 5 4 3 3 2 4" xfId="18507" xr:uid="{9B051602-7DB0-45B8-95FE-E18EA56AB70F}"/>
    <cellStyle name="Normal 5 4 3 3 3" xfId="9405" xr:uid="{02E5B528-6D0A-4784-BC87-D83E26B2389B}"/>
    <cellStyle name="Normal 5 4 3 3 3 2" xfId="18510" xr:uid="{D4DB8EF2-AD92-4642-B776-A9D537A225B2}"/>
    <cellStyle name="Normal 5 4 3 3 4" xfId="9406" xr:uid="{F6B89B43-D493-479B-AC89-8884AC024F16}"/>
    <cellStyle name="Normal 5 4 3 3 4 2" xfId="18511" xr:uid="{54F78A3A-F89A-4CAD-A08A-5D7A81E2F6FA}"/>
    <cellStyle name="Normal 5 4 3 3 5" xfId="9407" xr:uid="{13E384D6-C344-4308-A6E4-84D115B88D48}"/>
    <cellStyle name="Normal 5 4 3 3 5 2" xfId="18512" xr:uid="{B060DB42-0D29-4009-AB60-2B29E1C8D956}"/>
    <cellStyle name="Normal 5 4 3 3 6" xfId="18506" xr:uid="{412D59BB-E620-429A-8104-0BF167A059E2}"/>
    <cellStyle name="Normal 5 4 3 4" xfId="9408" xr:uid="{D7C3AD11-9F35-4A0F-8E29-016798E0B8CB}"/>
    <cellStyle name="Normal 5 4 3 4 2" xfId="9409" xr:uid="{9D6921EB-2B1A-4F57-B3C4-012D633511C6}"/>
    <cellStyle name="Normal 5 4 3 4 2 2" xfId="18514" xr:uid="{DEE588FB-1D1C-4142-A42B-1B9F16FA76B6}"/>
    <cellStyle name="Normal 5 4 3 4 3" xfId="9410" xr:uid="{E68BC714-13B6-488F-B5E0-ABC95705E52E}"/>
    <cellStyle name="Normal 5 4 3 4 3 2" xfId="18515" xr:uid="{35740D69-BC91-4C71-8C3D-1090ACEC4DD3}"/>
    <cellStyle name="Normal 5 4 3 4 4" xfId="18513" xr:uid="{88D537C9-9C89-41B2-884B-3105AEB238DE}"/>
    <cellStyle name="Normal 5 4 3 5" xfId="9411" xr:uid="{02F250F6-710C-4F70-9CD0-EDE7E5F76677}"/>
    <cellStyle name="Normal 5 4 3 5 2" xfId="18516" xr:uid="{8ED3DFEB-3AF7-4BA4-8C50-EB6CEF616EC5}"/>
    <cellStyle name="Normal 5 4 3 6" xfId="9412" xr:uid="{8BAF0A43-AB42-41E0-AC99-66F723E85E89}"/>
    <cellStyle name="Normal 5 4 3 6 2" xfId="18517" xr:uid="{E9410446-CDB0-435F-A7D6-D8F3A55AF0EB}"/>
    <cellStyle name="Normal 5 4 3 7" xfId="9413" xr:uid="{6DBE8D76-8C2D-4409-BE2F-D83F45B9AA66}"/>
    <cellStyle name="Normal 5 4 3 7 2" xfId="18518" xr:uid="{2751961F-E3BA-44F3-987F-0BC03A32F0DB}"/>
    <cellStyle name="Normal 5 4 3 8" xfId="18498" xr:uid="{E67E5A9E-419E-45DB-9579-D1880B8F7FAF}"/>
    <cellStyle name="Normal 5 4 4" xfId="9414" xr:uid="{E8824BD0-63D2-46BC-A3C4-9044B18D4575}"/>
    <cellStyle name="Normal 5 4 4 2" xfId="9415" xr:uid="{240F17BB-F572-4620-9665-7F0681346E1D}"/>
    <cellStyle name="Normal 5 4 4 2 2" xfId="9416" xr:uid="{E3A83E52-663B-4EF6-8A84-FE115F0F9840}"/>
    <cellStyle name="Normal 5 4 4 2 2 2" xfId="18521" xr:uid="{F0D95CFA-F93F-4D52-A5E5-8769F00C8635}"/>
    <cellStyle name="Normal 5 4 4 2 3" xfId="9417" xr:uid="{9AFA7130-F75C-4D4A-8076-28923A2CEB2F}"/>
    <cellStyle name="Normal 5 4 4 2 3 2" xfId="18522" xr:uid="{38D369C0-D8F2-4435-9D0C-A8EB66D682B1}"/>
    <cellStyle name="Normal 5 4 4 2 4" xfId="18520" xr:uid="{D6935FD0-3F58-42B8-9357-987BC19DFBA2}"/>
    <cellStyle name="Normal 5 4 4 3" xfId="9418" xr:uid="{C08C9F21-E2A1-4BFD-9FFD-4FF3366E2B5F}"/>
    <cellStyle name="Normal 5 4 4 3 2" xfId="18523" xr:uid="{8B235977-C12B-4F41-9EDB-2BB95D784758}"/>
    <cellStyle name="Normal 5 4 4 4" xfId="9419" xr:uid="{017E7FC5-FC05-4B1A-BCA0-359E957774B7}"/>
    <cellStyle name="Normal 5 4 4 4 2" xfId="18524" xr:uid="{D689987F-310B-4FCF-99D3-DDCC45D6DAE4}"/>
    <cellStyle name="Normal 5 4 4 5" xfId="9420" xr:uid="{EDCFE6DB-9A8A-48BE-B88E-02045D6B4DEE}"/>
    <cellStyle name="Normal 5 4 4 5 2" xfId="18525" xr:uid="{71A1F7CE-A766-4E47-ACA1-C3CEAFE93F04}"/>
    <cellStyle name="Normal 5 4 4 6" xfId="18519" xr:uid="{87ED9AA5-223E-4247-B2C1-A5D79FB1E446}"/>
    <cellStyle name="Normal 5 4 5" xfId="9421" xr:uid="{A6E1FEA7-E88A-4A0A-8180-C447B25BCCC2}"/>
    <cellStyle name="Normal 5 4 5 2" xfId="9422" xr:uid="{D309BB70-FBCB-4157-874C-F8E06A02B075}"/>
    <cellStyle name="Normal 5 4 5 2 2" xfId="9423" xr:uid="{65C784E0-F48A-4676-B96A-23E57113A362}"/>
    <cellStyle name="Normal 5 4 5 2 2 2" xfId="18528" xr:uid="{AE632F59-1641-449D-9C10-9D2E61D49FF0}"/>
    <cellStyle name="Normal 5 4 5 2 3" xfId="9424" xr:uid="{1F8AC298-0F3C-4100-A08C-23B040F74F66}"/>
    <cellStyle name="Normal 5 4 5 2 3 2" xfId="18529" xr:uid="{FD268409-1F37-4978-A158-A5402FE6D3FA}"/>
    <cellStyle name="Normal 5 4 5 2 4" xfId="18527" xr:uid="{DACBB578-7E8D-445B-9B06-4FEE68E39218}"/>
    <cellStyle name="Normal 5 4 5 3" xfId="9425" xr:uid="{8D22F0BF-6AD1-4C13-9ED5-FBB34F20B1CF}"/>
    <cellStyle name="Normal 5 4 5 3 2" xfId="18530" xr:uid="{AD4605EE-95FA-4500-BF8E-1AA870718BBC}"/>
    <cellStyle name="Normal 5 4 5 4" xfId="9426" xr:uid="{4B59B361-CCD7-4C35-98BF-293356CB7B44}"/>
    <cellStyle name="Normal 5 4 5 4 2" xfId="18531" xr:uid="{E3A2FF02-16AB-489E-8D77-CBB3201628F7}"/>
    <cellStyle name="Normal 5 4 5 5" xfId="9427" xr:uid="{B604B3E0-2B5E-496B-8971-FC5BDFA6476E}"/>
    <cellStyle name="Normal 5 4 5 5 2" xfId="18532" xr:uid="{8ED8CA5C-8211-46F2-AF23-C4345D91CFA3}"/>
    <cellStyle name="Normal 5 4 5 6" xfId="18526" xr:uid="{7EA947FC-5859-472D-BA53-DC52F87E9C39}"/>
    <cellStyle name="Normal 5 4 6" xfId="9428" xr:uid="{309C6284-A161-4EEF-BEED-4FAFA5FA32F0}"/>
    <cellStyle name="Normal 5 4 6 2" xfId="9429" xr:uid="{EE8D47EE-FA8F-4FFF-A2A8-BBE020866AB9}"/>
    <cellStyle name="Normal 5 4 6 2 2" xfId="18534" xr:uid="{B1C94404-8C00-4CDC-831A-DBA7489BAE10}"/>
    <cellStyle name="Normal 5 4 6 3" xfId="9430" xr:uid="{47616270-3CA5-4F73-BE8C-A17CA14AC7BF}"/>
    <cellStyle name="Normal 5 4 6 3 2" xfId="18535" xr:uid="{EB9FD568-7853-4D71-A000-3FE77700E2EE}"/>
    <cellStyle name="Normal 5 4 6 4" xfId="18533" xr:uid="{835B1EB4-74F8-4CDA-9BB6-895615466CC7}"/>
    <cellStyle name="Normal 5 4 7" xfId="9431" xr:uid="{7C32CAB6-934C-4BD8-B2E7-BADE255B0FA3}"/>
    <cellStyle name="Normal 5 4 7 2" xfId="18536" xr:uid="{70A7A331-B97B-4D85-A064-C235595C0A62}"/>
    <cellStyle name="Normal 5 4 8" xfId="9432" xr:uid="{4DD0F476-FC9E-459B-83E1-69947918EDDD}"/>
    <cellStyle name="Normal 5 4 8 2" xfId="18537" xr:uid="{C27C0EDC-4BAE-487D-82B7-65674E0C925E}"/>
    <cellStyle name="Normal 5 4 9" xfId="9433" xr:uid="{48A3103F-ADD3-45F5-B16A-23C5F475CFDB}"/>
    <cellStyle name="Normal 5 4 9 2" xfId="18538" xr:uid="{732810D6-7CC7-4683-945D-C53906554D68}"/>
    <cellStyle name="Normal 5 5" xfId="550" xr:uid="{85952549-EE6D-4D0C-877B-446DF8240BE5}"/>
    <cellStyle name="Normal 5 5 10" xfId="9434" xr:uid="{6B871BEE-7A74-462B-83D2-DB156F0F8F56}"/>
    <cellStyle name="Normal 5 5 10 2" xfId="18539" xr:uid="{1B5463FC-D3CD-43BB-9420-4312C74CAC53}"/>
    <cellStyle name="Normal 5 5 11" xfId="10517" xr:uid="{62E90F57-C22E-4EB4-9089-9D95FD17030B}"/>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2 2" xfId="18544" xr:uid="{EF483D2F-745B-444B-B111-E8DD6BC5AB6B}"/>
    <cellStyle name="Normal 5 5 2 2 2 2 3" xfId="9440" xr:uid="{F1B60010-B06B-485F-9A7B-4525675F0200}"/>
    <cellStyle name="Normal 5 5 2 2 2 2 3 2" xfId="18545" xr:uid="{D59DC21F-E23F-49C6-9C39-063C01C5EC81}"/>
    <cellStyle name="Normal 5 5 2 2 2 2 4" xfId="18543" xr:uid="{EE0B3A8F-0B31-4F13-B73E-7CE7F6CEDB29}"/>
    <cellStyle name="Normal 5 5 2 2 2 3" xfId="9441" xr:uid="{3A88E838-27D4-4A75-A332-7F9BF483F1F3}"/>
    <cellStyle name="Normal 5 5 2 2 2 3 2" xfId="18546" xr:uid="{B5D8C440-A999-4288-973F-161EAF06BAD3}"/>
    <cellStyle name="Normal 5 5 2 2 2 4" xfId="9442" xr:uid="{FB355A5C-0B51-444F-8C11-1332FE462636}"/>
    <cellStyle name="Normal 5 5 2 2 2 4 2" xfId="18547" xr:uid="{65880F7F-5182-4963-9163-7A3FD9A5B14A}"/>
    <cellStyle name="Normal 5 5 2 2 2 5" xfId="9443" xr:uid="{A331BD19-C3AE-4F76-A4A3-A8A074F4A7A3}"/>
    <cellStyle name="Normal 5 5 2 2 2 5 2" xfId="18548" xr:uid="{8B7C021B-AA4A-4233-856B-0C26460EC997}"/>
    <cellStyle name="Normal 5 5 2 2 2 6" xfId="18542" xr:uid="{C1B3BCA6-B19D-4B30-A684-6D57DD32C090}"/>
    <cellStyle name="Normal 5 5 2 2 3" xfId="9444" xr:uid="{AC5E6347-3EEC-4530-8F73-036E630A5B64}"/>
    <cellStyle name="Normal 5 5 2 2 3 2" xfId="9445" xr:uid="{00CC3A79-2F9A-4B41-8D93-BD8E8B039EE2}"/>
    <cellStyle name="Normal 5 5 2 2 3 2 2" xfId="9446" xr:uid="{7EEC6F44-A0E5-4028-AF6A-03E9EDA6B89B}"/>
    <cellStyle name="Normal 5 5 2 2 3 2 2 2" xfId="18551" xr:uid="{42385111-DF45-499C-AC19-030FCD8AB66C}"/>
    <cellStyle name="Normal 5 5 2 2 3 2 3" xfId="9447" xr:uid="{27793F63-EA6D-40E1-A039-2154F0E8DD38}"/>
    <cellStyle name="Normal 5 5 2 2 3 2 3 2" xfId="18552" xr:uid="{B3952E0F-69A0-40CF-B62D-A5F4C8B60F08}"/>
    <cellStyle name="Normal 5 5 2 2 3 2 4" xfId="18550" xr:uid="{F2EECA95-9801-4C21-AD8A-4643B57C95B2}"/>
    <cellStyle name="Normal 5 5 2 2 3 3" xfId="9448" xr:uid="{7AB64E6D-A383-4434-A1F7-E316B014036C}"/>
    <cellStyle name="Normal 5 5 2 2 3 3 2" xfId="18553" xr:uid="{C5850C26-E0CC-488D-9E92-3CFE619DFF46}"/>
    <cellStyle name="Normal 5 5 2 2 3 4" xfId="9449" xr:uid="{2DC86161-3A44-492D-A437-6AA29766FC7D}"/>
    <cellStyle name="Normal 5 5 2 2 3 4 2" xfId="18554" xr:uid="{70D2990C-46D0-42C4-9D2E-99B8EB43976C}"/>
    <cellStyle name="Normal 5 5 2 2 3 5" xfId="9450" xr:uid="{3584B8CB-7E67-4443-853D-A1E8CC76573A}"/>
    <cellStyle name="Normal 5 5 2 2 3 5 2" xfId="18555" xr:uid="{FF097F82-0601-4E07-B0CE-2B3F86C362C0}"/>
    <cellStyle name="Normal 5 5 2 2 3 6" xfId="18549" xr:uid="{182ADE3E-5BFA-4D85-AA10-01489E96B4AC}"/>
    <cellStyle name="Normal 5 5 2 2 4" xfId="9451" xr:uid="{03C25FC8-7EC0-409B-BFE5-EFCA2C438FBA}"/>
    <cellStyle name="Normal 5 5 2 2 4 2" xfId="9452" xr:uid="{2FCD2F7C-9C56-47E0-BD5B-55642D09D4E8}"/>
    <cellStyle name="Normal 5 5 2 2 4 2 2" xfId="18557" xr:uid="{9CABEA17-135B-47FD-8DF0-95BE29811F28}"/>
    <cellStyle name="Normal 5 5 2 2 4 3" xfId="9453" xr:uid="{79EE2275-A64C-414C-B14F-8DEAB612D5BD}"/>
    <cellStyle name="Normal 5 5 2 2 4 3 2" xfId="18558" xr:uid="{440D15B1-F4B3-45E5-9071-CC30BFC6F099}"/>
    <cellStyle name="Normal 5 5 2 2 4 4" xfId="18556" xr:uid="{73E5998A-DB5A-4AED-BCF7-4CEF4000960D}"/>
    <cellStyle name="Normal 5 5 2 2 5" xfId="9454" xr:uid="{F1955DA1-9334-4D05-B380-7AEFDCF92AD8}"/>
    <cellStyle name="Normal 5 5 2 2 5 2" xfId="18559" xr:uid="{ECF94507-FF09-40BC-B43B-2CE58179FA65}"/>
    <cellStyle name="Normal 5 5 2 2 6" xfId="9455" xr:uid="{BCDE1B29-6707-44A2-8028-3DB4C5909DCF}"/>
    <cellStyle name="Normal 5 5 2 2 6 2" xfId="18560" xr:uid="{4C5D9195-92B2-4544-9C24-4AA0BFC35B05}"/>
    <cellStyle name="Normal 5 5 2 2 7" xfId="9456" xr:uid="{E435091D-6080-48F0-A485-07F84B7C9206}"/>
    <cellStyle name="Normal 5 5 2 2 7 2" xfId="18561" xr:uid="{0EE68AA5-7C19-4D21-9C96-C9A2135C87EA}"/>
    <cellStyle name="Normal 5 5 2 2 8" xfId="18541" xr:uid="{4CE8CDF9-D22D-4724-AB20-F0C11F317456}"/>
    <cellStyle name="Normal 5 5 2 3" xfId="9457" xr:uid="{B4DC4918-E216-4B11-9F6F-4FBFE5D07AE9}"/>
    <cellStyle name="Normal 5 5 2 3 2" xfId="9458" xr:uid="{E8CCDE2E-C131-4EC6-82BE-905196EDDB21}"/>
    <cellStyle name="Normal 5 5 2 3 2 2" xfId="9459" xr:uid="{0B43C203-6310-4E33-9A1A-165334526CE2}"/>
    <cellStyle name="Normal 5 5 2 3 2 2 2" xfId="18564" xr:uid="{8D12F32C-0719-4737-B00B-2CBD39E0FB7F}"/>
    <cellStyle name="Normal 5 5 2 3 2 3" xfId="9460" xr:uid="{B1BDFFD9-5997-42F5-98F4-33E0B75306B4}"/>
    <cellStyle name="Normal 5 5 2 3 2 3 2" xfId="18565" xr:uid="{D4E40647-BD59-4AF7-B9CF-4B5ACF800E3A}"/>
    <cellStyle name="Normal 5 5 2 3 2 4" xfId="18563" xr:uid="{C59AF1CC-9B24-4DC7-85CC-F4E447FAA227}"/>
    <cellStyle name="Normal 5 5 2 3 3" xfId="9461" xr:uid="{BE4D99E0-2CA8-45A0-A341-E9B30D228568}"/>
    <cellStyle name="Normal 5 5 2 3 3 2" xfId="18566" xr:uid="{5A035BFB-242A-4D62-9B79-3F28764C8D76}"/>
    <cellStyle name="Normal 5 5 2 3 4" xfId="9462" xr:uid="{54A52EFF-31E8-413B-BEBC-66DA3BB51500}"/>
    <cellStyle name="Normal 5 5 2 3 4 2" xfId="18567" xr:uid="{5D0F0F80-2F29-4255-95DC-ECEC0E716EC4}"/>
    <cellStyle name="Normal 5 5 2 3 5" xfId="9463" xr:uid="{6204843E-AF1C-4FFE-9A08-516B7A136056}"/>
    <cellStyle name="Normal 5 5 2 3 5 2" xfId="18568" xr:uid="{1FB7FD11-5750-449A-97CA-C2678E0995D4}"/>
    <cellStyle name="Normal 5 5 2 3 6" xfId="18562" xr:uid="{28A5930C-D32B-4FDE-B608-72485C74B298}"/>
    <cellStyle name="Normal 5 5 2 4" xfId="9464" xr:uid="{72199F7E-3590-40BC-B2CB-4EDE71C6016A}"/>
    <cellStyle name="Normal 5 5 2 4 2" xfId="9465" xr:uid="{3A095DC4-3271-425D-9B43-4E935D46A1A7}"/>
    <cellStyle name="Normal 5 5 2 4 2 2" xfId="9466" xr:uid="{1235CB5D-615A-4ADF-8A3D-B66A08A644B2}"/>
    <cellStyle name="Normal 5 5 2 4 2 2 2" xfId="18571" xr:uid="{9417CFD6-5245-46C2-A0C1-7DDD4F150FC6}"/>
    <cellStyle name="Normal 5 5 2 4 2 3" xfId="9467" xr:uid="{05D51146-DC27-4957-8721-21A3889B0BC6}"/>
    <cellStyle name="Normal 5 5 2 4 2 3 2" xfId="18572" xr:uid="{E37E4522-F0E7-4E6C-A9D1-670CFF972CC2}"/>
    <cellStyle name="Normal 5 5 2 4 2 4" xfId="18570" xr:uid="{C0F58F75-D797-4525-9DC0-19F90F0B4B6C}"/>
    <cellStyle name="Normal 5 5 2 4 3" xfId="9468" xr:uid="{A726C496-C4A4-49A7-9E13-F606092CC298}"/>
    <cellStyle name="Normal 5 5 2 4 3 2" xfId="18573" xr:uid="{89D4B0BE-BBF7-4198-9969-7AB35D1A16CC}"/>
    <cellStyle name="Normal 5 5 2 4 4" xfId="9469" xr:uid="{5BF6FFE8-D1A8-4606-A187-B212E736A33A}"/>
    <cellStyle name="Normal 5 5 2 4 4 2" xfId="18574" xr:uid="{9A262288-4069-49D7-A38F-1BA2F951B30E}"/>
    <cellStyle name="Normal 5 5 2 4 5" xfId="9470" xr:uid="{2F5BC20F-55D1-4813-A011-4FA7C1CC5C5E}"/>
    <cellStyle name="Normal 5 5 2 4 5 2" xfId="18575" xr:uid="{705B508B-534C-4CF2-90D6-B834BD327F23}"/>
    <cellStyle name="Normal 5 5 2 4 6" xfId="18569" xr:uid="{2EBD71F3-DF55-436C-B290-91BC6DE8A435}"/>
    <cellStyle name="Normal 5 5 2 5" xfId="9471" xr:uid="{C4D95CDC-C2A9-4CC6-9AD2-B7A26FAC37AE}"/>
    <cellStyle name="Normal 5 5 2 5 2" xfId="9472" xr:uid="{8319C613-C9A8-45BE-AEF0-F84FEEF35A32}"/>
    <cellStyle name="Normal 5 5 2 5 2 2" xfId="18577" xr:uid="{4F98801E-8CA2-4484-9F47-831948A6A0D9}"/>
    <cellStyle name="Normal 5 5 2 5 3" xfId="9473" xr:uid="{18F0630E-2596-47E7-964E-7CEEA4D30139}"/>
    <cellStyle name="Normal 5 5 2 5 3 2" xfId="18578" xr:uid="{157C8B0D-C510-40EF-9028-CBB360A4FB8E}"/>
    <cellStyle name="Normal 5 5 2 5 4" xfId="18576" xr:uid="{25C33020-B3A1-4224-893B-46A9EDE35BE6}"/>
    <cellStyle name="Normal 5 5 2 6" xfId="9474" xr:uid="{BBEEE526-2278-4926-ACD1-85137F242354}"/>
    <cellStyle name="Normal 5 5 2 6 2" xfId="18579" xr:uid="{12F80A72-825D-4E85-9639-F50B95031A07}"/>
    <cellStyle name="Normal 5 5 2 7" xfId="9475" xr:uid="{42B25966-8854-4F78-86A2-12E0C17EFC5A}"/>
    <cellStyle name="Normal 5 5 2 7 2" xfId="18580" xr:uid="{7FF4CFB1-0106-49AA-B147-CDAEE4EC8BA5}"/>
    <cellStyle name="Normal 5 5 2 8" xfId="9476" xr:uid="{B4913F4C-5A40-489A-8374-205A7E212D2A}"/>
    <cellStyle name="Normal 5 5 2 8 2" xfId="18581" xr:uid="{06EB7455-D4A1-401D-9BC5-C67A52330CD0}"/>
    <cellStyle name="Normal 5 5 2 9" xfId="18540" xr:uid="{0B9F23F7-75C7-4429-A149-A80D6E11A446}"/>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2 2" xfId="18585" xr:uid="{FB45C03A-8F57-45D1-B5CF-BB8B9D70747E}"/>
    <cellStyle name="Normal 5 5 3 2 2 3" xfId="9481" xr:uid="{86565B35-D440-4A0C-ABCB-5477A26D9FF5}"/>
    <cellStyle name="Normal 5 5 3 2 2 3 2" xfId="18586" xr:uid="{B604E466-542B-454B-8ECF-6065F371CADB}"/>
    <cellStyle name="Normal 5 5 3 2 2 4" xfId="18584" xr:uid="{3EE7E2B5-E177-4E5E-B9D5-85A252A22822}"/>
    <cellStyle name="Normal 5 5 3 2 3" xfId="9482" xr:uid="{552241E3-8D34-4EC1-A071-10E09A02052B}"/>
    <cellStyle name="Normal 5 5 3 2 3 2" xfId="18587" xr:uid="{CEB7F49D-E7C6-4651-B1F8-6C257053F012}"/>
    <cellStyle name="Normal 5 5 3 2 4" xfId="9483" xr:uid="{E133BA5B-9BC9-4899-BB49-9C9C04E0F26E}"/>
    <cellStyle name="Normal 5 5 3 2 4 2" xfId="18588" xr:uid="{AD0CD232-B991-48E3-A373-151767B2775A}"/>
    <cellStyle name="Normal 5 5 3 2 5" xfId="9484" xr:uid="{455B48D1-C2AE-490F-8BAF-E572929D1B47}"/>
    <cellStyle name="Normal 5 5 3 2 5 2" xfId="18589" xr:uid="{770E259A-C198-479A-B6C5-CE50B9F19324}"/>
    <cellStyle name="Normal 5 5 3 2 6" xfId="18583" xr:uid="{E663AD08-4B13-4243-99CB-55E741696254}"/>
    <cellStyle name="Normal 5 5 3 3" xfId="9485" xr:uid="{5FA1365A-0481-4DA1-A1A7-1367C3A3B721}"/>
    <cellStyle name="Normal 5 5 3 3 2" xfId="9486" xr:uid="{FB60F4DA-06BA-479C-9EE2-E4C1649D8CC0}"/>
    <cellStyle name="Normal 5 5 3 3 2 2" xfId="9487" xr:uid="{12895553-6A4D-488D-BC08-25D50C20EE3A}"/>
    <cellStyle name="Normal 5 5 3 3 2 2 2" xfId="18592" xr:uid="{011B8D1B-D698-47B6-A5C7-0D169BA10219}"/>
    <cellStyle name="Normal 5 5 3 3 2 3" xfId="9488" xr:uid="{8A877DE8-3B81-4716-A60E-CBB0106F25A1}"/>
    <cellStyle name="Normal 5 5 3 3 2 3 2" xfId="18593" xr:uid="{87344924-A0CD-49EE-A957-0F21946956DA}"/>
    <cellStyle name="Normal 5 5 3 3 2 4" xfId="18591" xr:uid="{547BF41A-1DDB-4F47-9FCE-89A2211263E1}"/>
    <cellStyle name="Normal 5 5 3 3 3" xfId="9489" xr:uid="{41813C1C-727B-41E7-8FCA-CEA40E3B0C2A}"/>
    <cellStyle name="Normal 5 5 3 3 3 2" xfId="18594" xr:uid="{8A862238-15D7-417D-BBF4-24B5AAE36BA5}"/>
    <cellStyle name="Normal 5 5 3 3 4" xfId="9490" xr:uid="{ABF679D3-D3AF-4795-AEF0-FFE0EEB6CB9A}"/>
    <cellStyle name="Normal 5 5 3 3 4 2" xfId="18595" xr:uid="{A4E54E41-0A6C-4501-8F87-740832040DA5}"/>
    <cellStyle name="Normal 5 5 3 3 5" xfId="9491" xr:uid="{58B98369-0DDD-480B-8D25-6C0A4F6BD973}"/>
    <cellStyle name="Normal 5 5 3 3 5 2" xfId="18596" xr:uid="{7509F6F9-7EEA-4DE6-A74B-C88936294B2A}"/>
    <cellStyle name="Normal 5 5 3 3 6" xfId="18590" xr:uid="{0CD5518A-8B19-40B4-A196-969429B01218}"/>
    <cellStyle name="Normal 5 5 3 4" xfId="9492" xr:uid="{4176BC48-8858-4AD5-82D3-812114621082}"/>
    <cellStyle name="Normal 5 5 3 4 2" xfId="9493" xr:uid="{C5246AA6-BD52-4B06-BBC2-D82DD2D030E8}"/>
    <cellStyle name="Normal 5 5 3 4 2 2" xfId="18598" xr:uid="{83D4EA31-0512-425A-9526-FD1BDB8B2D85}"/>
    <cellStyle name="Normal 5 5 3 4 3" xfId="9494" xr:uid="{EDF38FEB-747D-45F4-A16E-65B0370A1338}"/>
    <cellStyle name="Normal 5 5 3 4 3 2" xfId="18599" xr:uid="{643563DA-14BF-4076-8FD2-8BC5FFE3D070}"/>
    <cellStyle name="Normal 5 5 3 4 4" xfId="18597" xr:uid="{72D0E7B4-7A12-4376-9312-29FBE042BEA1}"/>
    <cellStyle name="Normal 5 5 3 5" xfId="9495" xr:uid="{B651BA70-2BCD-4B3D-A51D-3D193B18F74E}"/>
    <cellStyle name="Normal 5 5 3 5 2" xfId="18600" xr:uid="{76B61C20-8F0A-4627-918D-582AA4C33761}"/>
    <cellStyle name="Normal 5 5 3 6" xfId="9496" xr:uid="{483CB60F-E8F0-4AA9-8FF6-DCECB53E1327}"/>
    <cellStyle name="Normal 5 5 3 6 2" xfId="18601" xr:uid="{A41ED664-AE90-4DBE-B7D6-D505A7BFBDBB}"/>
    <cellStyle name="Normal 5 5 3 7" xfId="9497" xr:uid="{761DAC1C-F607-4C2A-8B5E-BDDE8E19EBD8}"/>
    <cellStyle name="Normal 5 5 3 7 2" xfId="18602" xr:uid="{A0876119-5C3A-4F85-AD55-9F1E77668F60}"/>
    <cellStyle name="Normal 5 5 3 8" xfId="18582" xr:uid="{DA4B18BE-B668-46EE-ADA7-DE8CFD91212A}"/>
    <cellStyle name="Normal 5 5 4" xfId="9498" xr:uid="{8CD4EC5C-6786-4125-84A0-31FD58A4E139}"/>
    <cellStyle name="Normal 5 5 4 2" xfId="9499" xr:uid="{7AB5D475-45E5-4B86-BB1B-D925A79DD96F}"/>
    <cellStyle name="Normal 5 5 4 2 2" xfId="9500" xr:uid="{B0B9FBF3-6898-497B-BDF7-FFEB16F5A01B}"/>
    <cellStyle name="Normal 5 5 4 2 2 2" xfId="18605" xr:uid="{140AAD96-D6F0-4D9B-B69D-AAABD1E2ED94}"/>
    <cellStyle name="Normal 5 5 4 2 3" xfId="9501" xr:uid="{7FFDA275-6DDE-496B-A0CF-994E5B85AE15}"/>
    <cellStyle name="Normal 5 5 4 2 3 2" xfId="18606" xr:uid="{91339FC7-EE9B-4573-8CEB-83827022E962}"/>
    <cellStyle name="Normal 5 5 4 2 4" xfId="18604" xr:uid="{80A24023-EB4B-428C-A44B-8F30CD58896D}"/>
    <cellStyle name="Normal 5 5 4 3" xfId="9502" xr:uid="{13F1E9C8-E485-4BE1-B8F1-AA133E5CAEC9}"/>
    <cellStyle name="Normal 5 5 4 3 2" xfId="18607" xr:uid="{D48C121A-86CD-412B-A7C7-1B33DDA0D50F}"/>
    <cellStyle name="Normal 5 5 4 4" xfId="9503" xr:uid="{07BB239E-531F-4136-B534-285C256ECBBF}"/>
    <cellStyle name="Normal 5 5 4 4 2" xfId="18608" xr:uid="{E7035C19-9CF0-4FF1-82AD-59E7800C8B00}"/>
    <cellStyle name="Normal 5 5 4 5" xfId="9504" xr:uid="{02C1BECD-214B-4C94-A6C7-9EC441558BE0}"/>
    <cellStyle name="Normal 5 5 4 5 2" xfId="18609" xr:uid="{7B4709BE-4899-4BB7-884B-01470833249D}"/>
    <cellStyle name="Normal 5 5 4 6" xfId="18603" xr:uid="{394673F0-FB33-41B7-9EBC-D9DA156C96A7}"/>
    <cellStyle name="Normal 5 5 5" xfId="9505" xr:uid="{07E6E9FF-949C-48B1-B54E-8DEC1B9CD57B}"/>
    <cellStyle name="Normal 5 5 5 2" xfId="9506" xr:uid="{7F88C24B-CD97-4ECD-8A69-C3E9E3A9C826}"/>
    <cellStyle name="Normal 5 5 5 2 2" xfId="9507" xr:uid="{AB26E4BD-08EA-4ECA-93B6-157975F4B31C}"/>
    <cellStyle name="Normal 5 5 5 2 2 2" xfId="18612" xr:uid="{FA16BEB2-D025-414D-B438-DC64EDEE2F3B}"/>
    <cellStyle name="Normal 5 5 5 2 3" xfId="9508" xr:uid="{49EBFAE7-076E-4259-8D08-448FB2EE3723}"/>
    <cellStyle name="Normal 5 5 5 2 3 2" xfId="18613" xr:uid="{68687672-2B22-440D-A0CC-CCEB1494CB26}"/>
    <cellStyle name="Normal 5 5 5 2 4" xfId="18611" xr:uid="{6C5BD126-D80A-45C8-A650-F930DDD7D1E5}"/>
    <cellStyle name="Normal 5 5 5 3" xfId="9509" xr:uid="{C4EFDA26-D669-4E98-BC8C-A3C0C47C838C}"/>
    <cellStyle name="Normal 5 5 5 3 2" xfId="18614" xr:uid="{A21D2FA8-B5A7-423E-AB6D-DB8B022B97B6}"/>
    <cellStyle name="Normal 5 5 5 4" xfId="9510" xr:uid="{C2805A9D-05EB-4376-807F-F29562AEC5AE}"/>
    <cellStyle name="Normal 5 5 5 4 2" xfId="18615" xr:uid="{3F806A25-1064-45E4-B9A6-AB85BAB12C8C}"/>
    <cellStyle name="Normal 5 5 5 5" xfId="9511" xr:uid="{43474371-64FD-4752-B323-017BA390F830}"/>
    <cellStyle name="Normal 5 5 5 5 2" xfId="18616" xr:uid="{85031F77-3168-4212-AB4A-5B5AAA7DF5FB}"/>
    <cellStyle name="Normal 5 5 5 6" xfId="18610" xr:uid="{E1A4458B-8CBA-4D1B-96E8-9530290201C8}"/>
    <cellStyle name="Normal 5 5 6" xfId="9512" xr:uid="{FCC9C861-8A79-41F8-A0CD-D4040D0685A0}"/>
    <cellStyle name="Normal 5 5 6 2" xfId="9513" xr:uid="{F9EC1A6B-8C0A-4432-8988-46AF8B2CF085}"/>
    <cellStyle name="Normal 5 5 6 2 2" xfId="18618" xr:uid="{B7C06E07-9CD4-4208-9700-9D63D91BFDE2}"/>
    <cellStyle name="Normal 5 5 6 3" xfId="9514" xr:uid="{32C03927-C6C9-421F-85F7-80E2F8CAEB09}"/>
    <cellStyle name="Normal 5 5 6 3 2" xfId="18619" xr:uid="{FA3D32BD-5A30-448D-B169-FE9A80C9131F}"/>
    <cellStyle name="Normal 5 5 6 4" xfId="18617" xr:uid="{403C14F3-99F5-4A87-B596-4F381A23C9C2}"/>
    <cellStyle name="Normal 5 5 7" xfId="9515" xr:uid="{0E977A80-18FB-4155-BE43-32083D93FB2B}"/>
    <cellStyle name="Normal 5 5 7 2" xfId="18620" xr:uid="{783F8FA2-96A8-4ADD-B592-66FF774D9451}"/>
    <cellStyle name="Normal 5 5 8" xfId="9516" xr:uid="{CA6BA2A1-83D5-4BAA-BA99-5471A9F15286}"/>
    <cellStyle name="Normal 5 5 8 2" xfId="18621" xr:uid="{562FB901-FC97-4444-BEE0-49846D1640AF}"/>
    <cellStyle name="Normal 5 5 9" xfId="9517" xr:uid="{98DF1456-B31B-4053-803B-7942B501246C}"/>
    <cellStyle name="Normal 5 5 9 2" xfId="18622" xr:uid="{D3214B5C-7DF3-4CF4-A047-67136F084D5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2 2" xfId="18627" xr:uid="{3ACFE688-D1FC-44F6-ADC6-654640026D8C}"/>
    <cellStyle name="Normal 5 6 2 2 2 3" xfId="9523" xr:uid="{4EFB3302-C26E-4BE9-9FEE-17D2C8093113}"/>
    <cellStyle name="Normal 5 6 2 2 2 3 2" xfId="18628" xr:uid="{87489788-195A-4663-A90B-FFAFE454EA49}"/>
    <cellStyle name="Normal 5 6 2 2 2 4" xfId="18626" xr:uid="{58981CD6-CBB9-4124-9A96-C5F5222C9B59}"/>
    <cellStyle name="Normal 5 6 2 2 3" xfId="9524" xr:uid="{A8F03A32-3EB9-42BE-9CF0-4BA486AB2104}"/>
    <cellStyle name="Normal 5 6 2 2 3 2" xfId="18629" xr:uid="{1E51270D-B2DE-4D6C-ADF1-95C6D7A17157}"/>
    <cellStyle name="Normal 5 6 2 2 4" xfId="9525" xr:uid="{244C1B71-04B8-4039-9724-5B38B8883597}"/>
    <cellStyle name="Normal 5 6 2 2 4 2" xfId="18630" xr:uid="{D3DB1166-6722-480E-8FCA-545D33B69A8E}"/>
    <cellStyle name="Normal 5 6 2 2 5" xfId="9526" xr:uid="{551756E1-28A3-48FB-90E5-99D0EDA56B54}"/>
    <cellStyle name="Normal 5 6 2 2 5 2" xfId="18631" xr:uid="{12F939B2-8E82-477F-BEC7-7BE72958B8DD}"/>
    <cellStyle name="Normal 5 6 2 2 6" xfId="18625" xr:uid="{707D880C-67ED-4F79-8F51-1A5FAF874248}"/>
    <cellStyle name="Normal 5 6 2 3" xfId="9527" xr:uid="{D0935E10-5781-4BEA-B96E-E35E2102653B}"/>
    <cellStyle name="Normal 5 6 2 3 2" xfId="9528" xr:uid="{A0E4A9FA-C4AA-48E2-BC15-E1BD0FC0D4C5}"/>
    <cellStyle name="Normal 5 6 2 3 2 2" xfId="9529" xr:uid="{9E980E0B-7587-429C-9A43-0D1422AACE36}"/>
    <cellStyle name="Normal 5 6 2 3 2 2 2" xfId="18634" xr:uid="{05298B63-3298-4DC5-A921-616AEBAAE07C}"/>
    <cellStyle name="Normal 5 6 2 3 2 3" xfId="9530" xr:uid="{F1F26AC5-FD5C-47B6-A844-FD564899519E}"/>
    <cellStyle name="Normal 5 6 2 3 2 3 2" xfId="18635" xr:uid="{F90E0ACB-0B1E-4569-9AAE-A0976842BC22}"/>
    <cellStyle name="Normal 5 6 2 3 2 4" xfId="18633" xr:uid="{6BED7CC0-7B14-4D5A-A738-031E43BF9A9E}"/>
    <cellStyle name="Normal 5 6 2 3 3" xfId="9531" xr:uid="{3AE6D190-9996-4D4F-8239-74A36536523D}"/>
    <cellStyle name="Normal 5 6 2 3 3 2" xfId="18636" xr:uid="{CEC3FD04-68E0-4E72-8509-7950BB1F48A6}"/>
    <cellStyle name="Normal 5 6 2 3 4" xfId="9532" xr:uid="{8D9AA315-E00E-4F7A-B1E0-B9977E109ED5}"/>
    <cellStyle name="Normal 5 6 2 3 4 2" xfId="18637" xr:uid="{9B6F92BF-12E2-44A3-AD4F-CD3AD1FD32B8}"/>
    <cellStyle name="Normal 5 6 2 3 5" xfId="9533" xr:uid="{53EB8094-8C27-48D2-9BE0-B34023CBA7C8}"/>
    <cellStyle name="Normal 5 6 2 3 5 2" xfId="18638" xr:uid="{8AC5EE93-E5CC-48C0-AEDC-89215337C05D}"/>
    <cellStyle name="Normal 5 6 2 3 6" xfId="18632" xr:uid="{EE8AB9EC-55ED-47B9-A985-E12C586316C3}"/>
    <cellStyle name="Normal 5 6 2 4" xfId="9534" xr:uid="{106EC044-533E-45CF-9C6B-C80B047D3D96}"/>
    <cellStyle name="Normal 5 6 2 4 2" xfId="9535" xr:uid="{E261E775-6C09-4046-9825-0E489A92EAEA}"/>
    <cellStyle name="Normal 5 6 2 4 2 2" xfId="18640" xr:uid="{E1A98EDC-9F90-4056-BA4A-3C527CF0ED73}"/>
    <cellStyle name="Normal 5 6 2 4 3" xfId="9536" xr:uid="{FF1F8D9E-899C-46DF-A144-3A0B115C9C0D}"/>
    <cellStyle name="Normal 5 6 2 4 3 2" xfId="18641" xr:uid="{0BE49BE4-A570-4324-8DAA-48DE5184502F}"/>
    <cellStyle name="Normal 5 6 2 4 4" xfId="18639" xr:uid="{5F1616FC-B050-437B-804D-D21463A86C1E}"/>
    <cellStyle name="Normal 5 6 2 5" xfId="9537" xr:uid="{04C41506-F922-4E32-B13D-D6C6837D98E9}"/>
    <cellStyle name="Normal 5 6 2 5 2" xfId="18642" xr:uid="{37D38A97-B33C-4EF3-9A7B-8213B99F0CF4}"/>
    <cellStyle name="Normal 5 6 2 6" xfId="9538" xr:uid="{74379E7B-8FB2-40BD-917D-E58BE8855C30}"/>
    <cellStyle name="Normal 5 6 2 6 2" xfId="18643" xr:uid="{FC15815C-5DB8-4C2D-BAD6-AFE9C82B5F4C}"/>
    <cellStyle name="Normal 5 6 2 7" xfId="9539" xr:uid="{484C45E1-52CE-48E4-A119-37524D7F5FB1}"/>
    <cellStyle name="Normal 5 6 2 7 2" xfId="18644" xr:uid="{D299CE29-4B3E-4D3B-8951-5CA7C4FB5B6D}"/>
    <cellStyle name="Normal 5 6 2 8" xfId="18624" xr:uid="{0413D3E9-1AA3-42B9-AFDA-1B0ED9DE0C80}"/>
    <cellStyle name="Normal 5 6 3" xfId="9540" xr:uid="{2780AB0A-AA44-457A-8236-E351019C2AE5}"/>
    <cellStyle name="Normal 5 6 3 2" xfId="9541" xr:uid="{CEAB3CA2-B8F6-47B1-AA96-C88CC3933F38}"/>
    <cellStyle name="Normal 5 6 3 2 2" xfId="9542" xr:uid="{0BE4E2BF-C624-4E60-847B-BDE2F30E2D88}"/>
    <cellStyle name="Normal 5 6 3 2 2 2" xfId="18647" xr:uid="{425F09A3-DBAA-4FD5-B7AB-9B80B511D4DD}"/>
    <cellStyle name="Normal 5 6 3 2 3" xfId="9543" xr:uid="{4B0D8098-01E5-4F56-B2C0-EAB9A4B8A29F}"/>
    <cellStyle name="Normal 5 6 3 2 3 2" xfId="18648" xr:uid="{C6301CCA-C2C3-41EF-94CF-85863244B448}"/>
    <cellStyle name="Normal 5 6 3 2 4" xfId="18646" xr:uid="{C8E22271-5104-45A7-85BB-F4E1464BC56C}"/>
    <cellStyle name="Normal 5 6 3 3" xfId="9544" xr:uid="{7B56AF41-A0B6-4DC0-A4E6-714BB0ABECB8}"/>
    <cellStyle name="Normal 5 6 3 3 2" xfId="18649" xr:uid="{85BDC600-70D6-4505-95E3-355D4A0AC093}"/>
    <cellStyle name="Normal 5 6 3 4" xfId="9545" xr:uid="{C993B026-6F9B-474B-8A88-C346D6071AEB}"/>
    <cellStyle name="Normal 5 6 3 4 2" xfId="18650" xr:uid="{6349644D-5380-4788-9FB8-5C8E0CEE1FEF}"/>
    <cellStyle name="Normal 5 6 3 5" xfId="9546" xr:uid="{464E60C0-BE45-4285-A114-930AE3F7BCCC}"/>
    <cellStyle name="Normal 5 6 3 5 2" xfId="18651" xr:uid="{0177A839-818D-4967-ACC6-0C5BFAAF65B3}"/>
    <cellStyle name="Normal 5 6 3 6" xfId="18645" xr:uid="{FF0E048A-3916-407C-8B8F-F8017C32E3EB}"/>
    <cellStyle name="Normal 5 6 4" xfId="9547" xr:uid="{4C2F5A4D-C997-4CA3-A27F-A1E6CC4E0204}"/>
    <cellStyle name="Normal 5 6 4 2" xfId="9548" xr:uid="{D1E15AB6-D2AB-43B5-A4DF-72A77B24AC47}"/>
    <cellStyle name="Normal 5 6 4 2 2" xfId="9549" xr:uid="{9109722E-9E61-4A86-B370-8402F7AA4029}"/>
    <cellStyle name="Normal 5 6 4 2 2 2" xfId="18654" xr:uid="{1D962187-9E43-4713-B894-1873387966D4}"/>
    <cellStyle name="Normal 5 6 4 2 3" xfId="9550" xr:uid="{34D306AF-6534-48AF-B3B8-F104022912C0}"/>
    <cellStyle name="Normal 5 6 4 2 3 2" xfId="18655" xr:uid="{A0F21567-60D6-45B5-9C87-44EBCEEF967D}"/>
    <cellStyle name="Normal 5 6 4 2 4" xfId="18653" xr:uid="{1DA75AC8-48B8-45D4-BA1C-2E3FDF457644}"/>
    <cellStyle name="Normal 5 6 4 3" xfId="9551" xr:uid="{22B759AD-D557-4568-A7DF-4ECD824CBD80}"/>
    <cellStyle name="Normal 5 6 4 3 2" xfId="18656" xr:uid="{B6833340-3213-4D5A-8376-31BBAC821760}"/>
    <cellStyle name="Normal 5 6 4 4" xfId="9552" xr:uid="{4CB98C66-74E9-4C2F-BAB7-0EE9DE7FD255}"/>
    <cellStyle name="Normal 5 6 4 4 2" xfId="18657" xr:uid="{18BB599B-1D2A-4E03-BE9E-8DB116E9DBB6}"/>
    <cellStyle name="Normal 5 6 4 5" xfId="9553" xr:uid="{63BA7329-A1A4-40E1-8E79-39F390600528}"/>
    <cellStyle name="Normal 5 6 4 5 2" xfId="18658" xr:uid="{18C00352-C3EB-438E-B829-296FD446A783}"/>
    <cellStyle name="Normal 5 6 4 6" xfId="18652" xr:uid="{E445212D-E152-4342-AD27-AB47F9FD32F1}"/>
    <cellStyle name="Normal 5 6 5" xfId="9554" xr:uid="{7B46C73C-A75A-4133-8673-078D47879D3E}"/>
    <cellStyle name="Normal 5 6 5 2" xfId="9555" xr:uid="{095CE48F-1886-4B0E-B420-044CEFD9B594}"/>
    <cellStyle name="Normal 5 6 5 2 2" xfId="18660" xr:uid="{7260DE68-BD77-4B2A-B5BD-8742F058EED6}"/>
    <cellStyle name="Normal 5 6 5 3" xfId="9556" xr:uid="{ED32FADE-E3C0-4E1A-9B26-6DEF794FDAE2}"/>
    <cellStyle name="Normal 5 6 5 3 2" xfId="18661" xr:uid="{DAB7D193-E298-42F2-89A8-110CCD0F7EDD}"/>
    <cellStyle name="Normal 5 6 5 4" xfId="18659" xr:uid="{A0C311F4-8134-45C5-BC78-379E3DE26556}"/>
    <cellStyle name="Normal 5 6 6" xfId="9557" xr:uid="{9D8DA0B7-0A67-4C75-95B8-1DD9F8B855C9}"/>
    <cellStyle name="Normal 5 6 6 2" xfId="18662" xr:uid="{F203ED52-28CC-4208-919D-47DE8287AF50}"/>
    <cellStyle name="Normal 5 6 7" xfId="9558" xr:uid="{59F3C129-2E45-4B0E-8F64-E930143BD675}"/>
    <cellStyle name="Normal 5 6 7 2" xfId="18663" xr:uid="{06E76B62-F5F6-40FB-B1E2-C4DEF5117E0C}"/>
    <cellStyle name="Normal 5 6 8" xfId="9559" xr:uid="{2DD61C1F-1493-4CA0-949C-21E780727B8A}"/>
    <cellStyle name="Normal 5 6 8 2" xfId="18664" xr:uid="{E0DBC50B-90C0-4E7F-8564-6AE6FFD6DE01}"/>
    <cellStyle name="Normal 5 6 9" xfId="18623" xr:uid="{4DE69223-8E53-4C8F-A4CC-7F9D9AA92B38}"/>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2 2" xfId="18667" xr:uid="{341C1367-5D4F-4C3B-AD2A-E0EA164DE354}"/>
    <cellStyle name="Normal 5 7 2 2 3" xfId="9564" xr:uid="{0DAA84B5-D7B8-4BB0-8626-681075CC4234}"/>
    <cellStyle name="Normal 5 7 2 2 3 2" xfId="18668" xr:uid="{8642EA48-781B-43BF-91A5-528F0E46FD3D}"/>
    <cellStyle name="Normal 5 7 2 2 4" xfId="18666" xr:uid="{3727DF2A-2D01-464E-BDED-54285220C24D}"/>
    <cellStyle name="Normal 5 7 2 3" xfId="9565" xr:uid="{F8B19549-4830-4CE2-8B36-1F7AC444D117}"/>
    <cellStyle name="Normal 5 7 2 3 2" xfId="18669" xr:uid="{64D3A0D3-7275-4120-A80A-E4D5AE72FD9F}"/>
    <cellStyle name="Normal 5 7 2 4" xfId="9566" xr:uid="{06E6D3B4-92C6-429D-84EA-997106DB07BD}"/>
    <cellStyle name="Normal 5 7 2 4 2" xfId="18670" xr:uid="{7C3D5699-5943-4DFE-97D0-E9D6EFDBA38B}"/>
    <cellStyle name="Normal 5 7 2 5" xfId="9567" xr:uid="{32DDDF62-FB6F-4819-9206-E095C8B2A063}"/>
    <cellStyle name="Normal 5 7 2 5 2" xfId="18671" xr:uid="{017C18E0-E9D6-4E80-B788-D910094DF286}"/>
    <cellStyle name="Normal 5 7 2 6" xfId="18665" xr:uid="{C974653D-8385-443F-94CE-935DC1B80C89}"/>
    <cellStyle name="Normal 5 7 3" xfId="9568" xr:uid="{622B387F-D20B-4442-B6D8-D85DFA6C09E9}"/>
    <cellStyle name="Normal 5 7 3 2" xfId="9569" xr:uid="{9DEE0C90-77E5-4A9C-8473-58D95BCB6A7B}"/>
    <cellStyle name="Normal 5 7 3 2 2" xfId="9570" xr:uid="{C420263C-F6B8-4659-A6BF-1FDB5989D0B1}"/>
    <cellStyle name="Normal 5 7 3 2 2 2" xfId="18674" xr:uid="{C18DC6BB-3772-4C45-898B-A2BA0753955C}"/>
    <cellStyle name="Normal 5 7 3 2 3" xfId="9571" xr:uid="{4A11A503-8B12-4242-883B-3896EC1D7665}"/>
    <cellStyle name="Normal 5 7 3 2 3 2" xfId="18675" xr:uid="{065DB8A4-6C5C-4C31-AFF1-993E4A2432F1}"/>
    <cellStyle name="Normal 5 7 3 2 4" xfId="18673" xr:uid="{00B94307-6182-4DC9-B6F3-ED965FC0B7CE}"/>
    <cellStyle name="Normal 5 7 3 3" xfId="9572" xr:uid="{1860C570-F120-47A9-9705-FFC53496B05C}"/>
    <cellStyle name="Normal 5 7 3 3 2" xfId="18676" xr:uid="{C5E4843A-73A3-4133-A3E2-8097063843FF}"/>
    <cellStyle name="Normal 5 7 3 4" xfId="9573" xr:uid="{D63237F0-D6A4-4B3B-AD42-0258FDE51FC4}"/>
    <cellStyle name="Normal 5 7 3 4 2" xfId="18677" xr:uid="{762E2849-9272-4480-A46B-B4354D4925A5}"/>
    <cellStyle name="Normal 5 7 3 5" xfId="9574" xr:uid="{AAA332B3-0D34-40FA-BD47-93EDD4F844D6}"/>
    <cellStyle name="Normal 5 7 3 5 2" xfId="18678" xr:uid="{F6F52159-C3FE-46BE-BA12-3BC8C80A129E}"/>
    <cellStyle name="Normal 5 7 3 6" xfId="18672" xr:uid="{6B2BF80D-375B-4935-9D1C-B94153005B79}"/>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2 2" xfId="18682" xr:uid="{28195D42-9D51-45F3-B496-211D11D753F0}"/>
    <cellStyle name="Normal 5 8 2 2 3" xfId="9579" xr:uid="{328BBE6C-CB8D-46A4-A5F8-C1FCA0CA31A9}"/>
    <cellStyle name="Normal 5 8 2 2 3 2" xfId="18683" xr:uid="{A91C3D7C-1ACA-4B46-A541-FC4241769621}"/>
    <cellStyle name="Normal 5 8 2 2 4" xfId="18681" xr:uid="{6356F472-429B-4605-8F4F-78359B6470DC}"/>
    <cellStyle name="Normal 5 8 2 3" xfId="9580" xr:uid="{7DAB9B5C-F0FE-4B09-B1DF-FB1DDBE09712}"/>
    <cellStyle name="Normal 5 8 2 3 2" xfId="18684" xr:uid="{7C1467EE-79A9-41B5-8BC1-9F4B6A691D53}"/>
    <cellStyle name="Normal 5 8 2 4" xfId="9581" xr:uid="{3C8A36B6-9EE6-456B-A866-0B7678944F76}"/>
    <cellStyle name="Normal 5 8 2 4 2" xfId="18685" xr:uid="{0B6150DE-A3BA-4FF7-B995-DCC3791CBDA7}"/>
    <cellStyle name="Normal 5 8 2 5" xfId="9582" xr:uid="{A4F821C9-2173-409A-B51C-F8965553C5A3}"/>
    <cellStyle name="Normal 5 8 2 5 2" xfId="18686" xr:uid="{41BB67A2-8C48-4064-8EE0-02BDA6E7F0E5}"/>
    <cellStyle name="Normal 5 8 2 6" xfId="18680" xr:uid="{9D04AD79-3635-4679-B9F5-032A9CFC237E}"/>
    <cellStyle name="Normal 5 8 3" xfId="9583" xr:uid="{95000AFC-4090-41FB-8A20-6578A9FD6C2B}"/>
    <cellStyle name="Normal 5 8 3 2" xfId="9584" xr:uid="{A7C10275-1C96-449D-9051-DBC1BADBD16D}"/>
    <cellStyle name="Normal 5 8 3 2 2" xfId="9585" xr:uid="{B2A81CB1-0E0E-461D-9E98-1679538C1E82}"/>
    <cellStyle name="Normal 5 8 3 2 2 2" xfId="18689" xr:uid="{BDC08ABE-5F6E-4B1D-95B2-F85825BA94E7}"/>
    <cellStyle name="Normal 5 8 3 2 3" xfId="9586" xr:uid="{F25EEB76-616B-4707-AE3E-DCC58534DEB8}"/>
    <cellStyle name="Normal 5 8 3 2 3 2" xfId="18690" xr:uid="{9C664E15-1703-4408-8083-CB5615DB7566}"/>
    <cellStyle name="Normal 5 8 3 2 4" xfId="18688" xr:uid="{E79F7610-AA00-45FB-9AD1-152B0937A439}"/>
    <cellStyle name="Normal 5 8 3 3" xfId="9587" xr:uid="{E31F99CC-516B-42A9-A14D-D4005879FFA2}"/>
    <cellStyle name="Normal 5 8 3 3 2" xfId="18691" xr:uid="{55424C83-99AB-4391-9589-9106412DB797}"/>
    <cellStyle name="Normal 5 8 3 4" xfId="9588" xr:uid="{3CEA9408-FA78-4CBE-AC2F-A01FEDA6FDB6}"/>
    <cellStyle name="Normal 5 8 3 4 2" xfId="18692" xr:uid="{076F1A64-0241-46F5-9879-C143C4094FA4}"/>
    <cellStyle name="Normal 5 8 3 5" xfId="9589" xr:uid="{979F9341-98F4-46DA-A53B-D60FCD930FBF}"/>
    <cellStyle name="Normal 5 8 3 5 2" xfId="18693" xr:uid="{61DD6106-B6E0-4B31-86DD-14470F63ACD3}"/>
    <cellStyle name="Normal 5 8 3 6" xfId="18687" xr:uid="{B6C0AA6B-4C80-40A2-BFE1-4D2D8274D682}"/>
    <cellStyle name="Normal 5 8 4" xfId="9590" xr:uid="{C765996A-9871-4D01-B6DB-4C273C393982}"/>
    <cellStyle name="Normal 5 8 4 2" xfId="9591" xr:uid="{7BDA8F1A-C388-4AD1-88B4-4D439F5109D4}"/>
    <cellStyle name="Normal 5 8 4 2 2" xfId="18695" xr:uid="{A55531A6-97EA-4DBE-BC17-385DCAC4293A}"/>
    <cellStyle name="Normal 5 8 4 3" xfId="9592" xr:uid="{03425AAE-327B-4571-A492-D659F62F53F2}"/>
    <cellStyle name="Normal 5 8 4 3 2" xfId="18696" xr:uid="{CF078B97-4106-4D59-96DB-5D39E8810225}"/>
    <cellStyle name="Normal 5 8 4 4" xfId="18694" xr:uid="{B06AC2E5-0BFF-44C7-9269-C4F9F5AF3C4B}"/>
    <cellStyle name="Normal 5 8 5" xfId="9593" xr:uid="{809A4D8E-CAE9-40FA-A485-B850EEB03A6A}"/>
    <cellStyle name="Normal 5 8 5 2" xfId="18697" xr:uid="{14B92919-FD06-4415-A596-11CDF07C4F09}"/>
    <cellStyle name="Normal 5 8 6" xfId="9594" xr:uid="{D581AEF7-64E7-4BA0-8570-3788BB44686D}"/>
    <cellStyle name="Normal 5 8 6 2" xfId="18698" xr:uid="{082DF326-C70A-4658-AD1D-59CD4004F3B8}"/>
    <cellStyle name="Normal 5 8 7" xfId="9595" xr:uid="{284179C2-F228-4277-9821-D24A8FBC43A1}"/>
    <cellStyle name="Normal 5 8 7 2" xfId="18699" xr:uid="{09CE2B0E-7A33-46BB-839E-7DF5856DBA85}"/>
    <cellStyle name="Normal 5 8 8" xfId="18679" xr:uid="{F55F5C5C-D7A1-4A5C-B35E-FB433741EDEE}"/>
    <cellStyle name="Normal 5 9" xfId="9596" xr:uid="{288F593B-176E-424D-AE64-1896051FAD81}"/>
    <cellStyle name="Normal 5 9 2" xfId="9597" xr:uid="{360528ED-24C5-42E6-ADC6-2707788073FF}"/>
    <cellStyle name="Normal 5 9 2 2" xfId="9598" xr:uid="{FB0ADAC4-9C58-4EDF-941E-3E3F6A47056A}"/>
    <cellStyle name="Normal 5 9 2 2 2" xfId="18702" xr:uid="{FE915778-2843-430C-9DFA-48DB86DCBA29}"/>
    <cellStyle name="Normal 5 9 2 3" xfId="9599" xr:uid="{9BB324D6-36DF-417F-AC2C-2F0B3D23EC09}"/>
    <cellStyle name="Normal 5 9 2 3 2" xfId="18703" xr:uid="{E5C06275-32FA-4673-8EE8-1EC7E1EAF3E4}"/>
    <cellStyle name="Normal 5 9 2 4" xfId="18701" xr:uid="{64F94F88-BAEC-4B94-A37C-7A0142CAB7B9}"/>
    <cellStyle name="Normal 5 9 3" xfId="9600" xr:uid="{C734D116-2A59-4CC5-89D2-4D5C3617AADE}"/>
    <cellStyle name="Normal 5 9 3 2" xfId="18704" xr:uid="{154C06E1-5711-4CEA-82E9-6396CEF7D8F6}"/>
    <cellStyle name="Normal 5 9 4" xfId="9601" xr:uid="{71A912C4-6A51-4730-ABB1-25AC2EB819B2}"/>
    <cellStyle name="Normal 5 9 4 2" xfId="18705" xr:uid="{15FE3143-CD1A-455B-8CA0-6127A7627785}"/>
    <cellStyle name="Normal 5 9 5" xfId="9602" xr:uid="{DDF4ED0B-3409-42A6-8D02-CCDFC5999754}"/>
    <cellStyle name="Normal 5 9 5 2" xfId="18706" xr:uid="{218DCFCB-5FCF-4C8F-8FA0-0333B0908BA1}"/>
    <cellStyle name="Normal 5 9 6" xfId="18700" xr:uid="{56702C90-9CC5-481D-9DA2-3BB9F80EDF92}"/>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4 2" xfId="19168" xr:uid="{82A0A3A2-5CDE-4387-9A5B-E7B7CF43C96F}"/>
    <cellStyle name="Normal 55" xfId="10335" xr:uid="{3B17D609-B6BD-4FCF-AA0F-F11D00E4AE0B}"/>
    <cellStyle name="Normal 55 2" xfId="19170" xr:uid="{E68BF724-0F19-4D12-9DFD-0F84486F16F7}"/>
    <cellStyle name="Normal 56" xfId="10337" xr:uid="{B112433B-97E8-4FDE-8622-29A106EA3183}"/>
    <cellStyle name="Normal 57" xfId="10537" xr:uid="{52267D76-BBF8-4857-BB03-B3D8DD31D0CD}"/>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2 2 2" xfId="19095" xr:uid="{A9614C6F-FF16-4B85-BA64-65DC9CB1FEFA}"/>
    <cellStyle name="Normal 6 10 2 3" xfId="10886" xr:uid="{2DA4C744-2B8F-4B65-B389-141A8B2737BB}"/>
    <cellStyle name="Normal 6 10 3" xfId="10005" xr:uid="{677787EF-FC63-4A06-A19E-7B30C812E3D1}"/>
    <cellStyle name="Normal 6 10 3 2" xfId="18879" xr:uid="{1092105E-10D7-427C-9134-2D2335A1487F}"/>
    <cellStyle name="Normal 6 10 4" xfId="10670" xr:uid="{67A17E83-C698-4744-90DB-3C6E37C96062}"/>
    <cellStyle name="Normal 6 11" xfId="1343" xr:uid="{025B9046-770C-4711-864E-5986A395BBC6}"/>
    <cellStyle name="Normal 6 11 2" xfId="10077" xr:uid="{A72F2200-6F31-4A1A-ABCE-9B01ABB6917F}"/>
    <cellStyle name="Normal 6 11 2 2" xfId="18951" xr:uid="{05DF844D-15FF-412A-915C-B487CB9D3E31}"/>
    <cellStyle name="Normal 6 11 3" xfId="10742" xr:uid="{00354EEC-BF34-44B9-B17B-64A28CA24F6B}"/>
    <cellStyle name="Normal 6 12" xfId="9859" xr:uid="{5FE848D4-8A3F-4E72-840D-45D02CDE8A61}"/>
    <cellStyle name="Normal 6 12 2" xfId="18735" xr:uid="{2C07B028-1860-443C-B940-C027F1217E04}"/>
    <cellStyle name="Normal 6 13" xfId="735" xr:uid="{CA88E99C-6075-442F-A745-840A448037D2}"/>
    <cellStyle name="Normal 6 13 2" xfId="10525" xr:uid="{F431B123-2487-4030-8F44-CBEE13031C1D}"/>
    <cellStyle name="Normal 6 2" xfId="559" xr:uid="{A3D886A9-A5D7-48B0-82D0-104A38B76D05}"/>
    <cellStyle name="Normal 6 2 10" xfId="9860" xr:uid="{52E13C10-6C56-4239-91FA-6414406ED41B}"/>
    <cellStyle name="Normal 6 2 10 2" xfId="18736" xr:uid="{B8D75D79-4D1C-44B2-9110-21719EC3DC26}"/>
    <cellStyle name="Normal 6 2 11" xfId="736" xr:uid="{075B86F8-ABF2-47FF-BFA1-2820EDAC1C50}"/>
    <cellStyle name="Normal 6 2 11 2" xfId="10526" xr:uid="{CCFEAE89-C766-4EB9-9438-C8A54410251F}"/>
    <cellStyle name="Normal 6 2 12" xfId="10523" xr:uid="{0AC724BE-9C45-45CF-B935-4F7AFA0E1AA1}"/>
    <cellStyle name="Normal 6 2 2" xfId="737" xr:uid="{758C354F-9A3B-49C5-841D-332DFFCE5B4A}"/>
    <cellStyle name="Normal 6 2 2 10" xfId="10527" xr:uid="{160BB389-5F09-4D88-96E1-E747FBF3C5A3}"/>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2 2 2" xfId="19039" xr:uid="{F6DD364A-5C47-40C6-9D61-D390D424DE1E}"/>
    <cellStyle name="Normal 6 2 2 2 2 2 2 3" xfId="10830" xr:uid="{8365AD66-18E3-4883-970F-0E9F2F931975}"/>
    <cellStyle name="Normal 6 2 2 2 2 2 3" xfId="9949" xr:uid="{838321A3-F162-48A6-8E01-4BDEDCACAC31}"/>
    <cellStyle name="Normal 6 2 2 2 2 2 3 2" xfId="18823" xr:uid="{93354FA3-CB08-4161-9448-1041BD96940B}"/>
    <cellStyle name="Normal 6 2 2 2 2 2 4" xfId="10614" xr:uid="{6DC20F74-34DB-4E79-8331-AAB027003A4C}"/>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2 2 2" xfId="19111" xr:uid="{D568702B-685E-476C-9F55-35CEE236D567}"/>
    <cellStyle name="Normal 6 2 2 2 2 3 2 3" xfId="10902" xr:uid="{28F4AFC0-B2E7-4AE3-B099-2AA4E37B6E94}"/>
    <cellStyle name="Normal 6 2 2 2 2 3 3" xfId="10021" xr:uid="{64EB4ABD-D69F-4A63-9989-D2B49DCFD0FF}"/>
    <cellStyle name="Normal 6 2 2 2 2 3 3 2" xfId="18895" xr:uid="{2BA9EE2D-5D25-4AEE-8925-EBD0476B3F90}"/>
    <cellStyle name="Normal 6 2 2 2 2 3 4" xfId="10686" xr:uid="{73225AA7-9DBF-4683-BBED-E1DA12AAADF9}"/>
    <cellStyle name="Normal 6 2 2 2 2 4" xfId="1359" xr:uid="{62066ED2-A254-4E45-9555-9961B822F749}"/>
    <cellStyle name="Normal 6 2 2 2 2 4 2" xfId="10093" xr:uid="{6E9A04B7-1B3B-4868-BB63-3DE9F9B1A0E5}"/>
    <cellStyle name="Normal 6 2 2 2 2 4 2 2" xfId="18967" xr:uid="{50D64FE6-D2D9-434E-92A5-476E3EF60503}"/>
    <cellStyle name="Normal 6 2 2 2 2 4 3" xfId="10758" xr:uid="{CA2541BB-5C29-44A1-8DD7-AE096CF5305D}"/>
    <cellStyle name="Normal 6 2 2 2 2 5" xfId="9877" xr:uid="{1498393F-8D70-4A75-93FD-CB785C6E3C54}"/>
    <cellStyle name="Normal 6 2 2 2 2 5 2" xfId="18751" xr:uid="{812375B4-72A9-48BC-B83B-CED40BFB70CF}"/>
    <cellStyle name="Normal 6 2 2 2 2 6" xfId="10542" xr:uid="{04903C28-4467-45E1-924E-4B0D718904E6}"/>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2 2 2" xfId="19052" xr:uid="{E93E9CB0-E46C-4C87-A17C-C3D813B3F23C}"/>
    <cellStyle name="Normal 6 2 2 2 3 2 2 3" xfId="10843" xr:uid="{8E969A13-5946-43CC-991C-4185A9943385}"/>
    <cellStyle name="Normal 6 2 2 2 3 2 3" xfId="9962" xr:uid="{125CF202-515E-42E7-980E-DC020A998B13}"/>
    <cellStyle name="Normal 6 2 2 2 3 2 3 2" xfId="18836" xr:uid="{2148202E-ADA8-40E9-874B-D4A153EFE3F4}"/>
    <cellStyle name="Normal 6 2 2 2 3 2 4" xfId="10627" xr:uid="{D0DF6A47-2DB7-45FA-A15E-E9CC6878A17C}"/>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2 2 2" xfId="19124" xr:uid="{6F12DCF0-783A-468E-BAF0-0C452E73BB7A}"/>
    <cellStyle name="Normal 6 2 2 2 3 3 2 3" xfId="10915" xr:uid="{25EDA48C-66D3-472A-8244-1564B502939D}"/>
    <cellStyle name="Normal 6 2 2 2 3 3 3" xfId="10034" xr:uid="{503EAA00-3BD2-4953-B337-3BFEDCD9DDFB}"/>
    <cellStyle name="Normal 6 2 2 2 3 3 3 2" xfId="18908" xr:uid="{A2A4281E-DFBF-4224-BAE2-35E81A1A54A7}"/>
    <cellStyle name="Normal 6 2 2 2 3 3 4" xfId="10699" xr:uid="{D6AC5C54-4576-46BF-AB19-E4D89763EC3F}"/>
    <cellStyle name="Normal 6 2 2 2 3 4" xfId="1372" xr:uid="{06FBD0AC-CDF2-4DA5-96C4-0DA0112482C1}"/>
    <cellStyle name="Normal 6 2 2 2 3 4 2" xfId="10106" xr:uid="{2296A04E-6675-4C53-9759-D352A9A0C6D5}"/>
    <cellStyle name="Normal 6 2 2 2 3 4 2 2" xfId="18980" xr:uid="{B018D22C-3184-4D64-933F-9532476B232F}"/>
    <cellStyle name="Normal 6 2 2 2 3 4 3" xfId="10771" xr:uid="{A2615A5E-A027-4215-82AB-61338730CE2A}"/>
    <cellStyle name="Normal 6 2 2 2 3 5" xfId="9890" xr:uid="{489D2521-BABB-40EC-A438-064872F57E67}"/>
    <cellStyle name="Normal 6 2 2 2 3 5 2" xfId="18764" xr:uid="{C7AA7B77-AD73-4154-910D-7116D542A9B6}"/>
    <cellStyle name="Normal 6 2 2 2 3 6" xfId="10555" xr:uid="{6A6E4673-D17D-4E60-B753-5671864C2D95}"/>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2 2 2" xfId="19079" xr:uid="{1B28BA05-4D67-448E-8F36-455371C648E8}"/>
    <cellStyle name="Normal 6 2 2 2 4 2 2 3" xfId="10870" xr:uid="{FDC3D4A3-260A-435F-8484-948BF3C7CFF9}"/>
    <cellStyle name="Normal 6 2 2 2 4 2 3" xfId="9989" xr:uid="{74F561A2-DADE-452D-A056-A21800B149CF}"/>
    <cellStyle name="Normal 6 2 2 2 4 2 3 2" xfId="18863" xr:uid="{DEB9201B-7FE2-451D-8548-DAD6239F8FC1}"/>
    <cellStyle name="Normal 6 2 2 2 4 2 4" xfId="10654" xr:uid="{CF0AC65F-CBFA-4885-8F00-BCE3CE70D5B0}"/>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2 2 2" xfId="19151" xr:uid="{B8A24931-8C05-4BC2-A77F-0BC04CE6F798}"/>
    <cellStyle name="Normal 6 2 2 2 4 3 2 3" xfId="10942" xr:uid="{3544A1CC-B902-4F12-BE57-53766AF09DA2}"/>
    <cellStyle name="Normal 6 2 2 2 4 3 3" xfId="10061" xr:uid="{3E3B4942-16E2-456C-BBE7-F9939E55813E}"/>
    <cellStyle name="Normal 6 2 2 2 4 3 3 2" xfId="18935" xr:uid="{9127A35F-A5EA-422D-9640-694DB39DF63B}"/>
    <cellStyle name="Normal 6 2 2 2 4 3 4" xfId="10726" xr:uid="{6D298CE8-E79A-4CA2-9632-D583D4800BB4}"/>
    <cellStyle name="Normal 6 2 2 2 4 4" xfId="1399" xr:uid="{303B7A6E-3B48-4A3E-A438-65FC3E2E7C35}"/>
    <cellStyle name="Normal 6 2 2 2 4 4 2" xfId="10133" xr:uid="{8063088E-1EA1-459B-85E8-860CE00C102E}"/>
    <cellStyle name="Normal 6 2 2 2 4 4 2 2" xfId="19007" xr:uid="{5CC4BC01-AED0-488E-B75A-14710734AE89}"/>
    <cellStyle name="Normal 6 2 2 2 4 4 3" xfId="10798" xr:uid="{83B002F7-419D-4A21-8BD7-A373888EDF3B}"/>
    <cellStyle name="Normal 6 2 2 2 4 5" xfId="9917" xr:uid="{0CC6FD84-B0E2-4AB7-A50F-92D457F4178E}"/>
    <cellStyle name="Normal 6 2 2 2 4 5 2" xfId="18791" xr:uid="{7675D530-09E7-4132-A0F8-45713F234DB1}"/>
    <cellStyle name="Normal 6 2 2 2 4 6" xfId="10582" xr:uid="{F790D32D-9097-482A-8CCD-E06E4C31FBF0}"/>
    <cellStyle name="Normal 6 2 2 2 5" xfId="1191" xr:uid="{EDBAE491-731B-4D27-90E0-666A8CB9CE80}"/>
    <cellStyle name="Normal 6 2 2 2 5 2" xfId="1418" xr:uid="{1CAD0307-2B86-4AEF-9552-72F764FFE6A3}"/>
    <cellStyle name="Normal 6 2 2 2 5 2 2" xfId="10152" xr:uid="{4AA3376F-183F-4D0E-A6CA-5226CF106986}"/>
    <cellStyle name="Normal 6 2 2 2 5 2 2 2" xfId="19026" xr:uid="{BCBB93B1-0A68-498B-9394-3533BEC2FA1D}"/>
    <cellStyle name="Normal 6 2 2 2 5 2 3" xfId="10817" xr:uid="{B85E9914-0633-4221-89F0-DD588D7A862B}"/>
    <cellStyle name="Normal 6 2 2 2 5 3" xfId="9936" xr:uid="{1013327C-B0D7-4B01-AAFB-1EF2F82EA745}"/>
    <cellStyle name="Normal 6 2 2 2 5 3 2" xfId="18810" xr:uid="{0D6CA8DB-A994-4536-8E66-57EB6BC76022}"/>
    <cellStyle name="Normal 6 2 2 2 5 4" xfId="10601" xr:uid="{206EC171-38F7-411D-9927-2415A034F481}"/>
    <cellStyle name="Normal 6 2 2 2 6" xfId="1274" xr:uid="{6B779A71-4A10-461B-A016-29F127C6AB97}"/>
    <cellStyle name="Normal 6 2 2 2 6 2" xfId="1490" xr:uid="{F0286EE9-5C19-4EAC-8E4B-8804DBC05189}"/>
    <cellStyle name="Normal 6 2 2 2 6 2 2" xfId="10224" xr:uid="{5F0D9F60-2F2D-4171-8A2E-D16556A99BC8}"/>
    <cellStyle name="Normal 6 2 2 2 6 2 2 2" xfId="19098" xr:uid="{0A719343-02D5-4698-835A-4ED533093695}"/>
    <cellStyle name="Normal 6 2 2 2 6 2 3" xfId="10889" xr:uid="{7D97DA52-D5D8-47F3-BC54-03F7EB8BF368}"/>
    <cellStyle name="Normal 6 2 2 2 6 3" xfId="10008" xr:uid="{A829E5DA-A97D-4BC3-A7B6-CAB2FB4B5A70}"/>
    <cellStyle name="Normal 6 2 2 2 6 3 2" xfId="18882" xr:uid="{21E83B1B-11FD-4C9E-BD1F-BB14051D29BE}"/>
    <cellStyle name="Normal 6 2 2 2 6 4" xfId="10673" xr:uid="{871D4335-90FD-45E3-BE63-2015CA03611F}"/>
    <cellStyle name="Normal 6 2 2 2 7" xfId="1346" xr:uid="{9BABF437-F8DF-4640-A515-3D5BC6A73C21}"/>
    <cellStyle name="Normal 6 2 2 2 7 2" xfId="10080" xr:uid="{CEF8EBF1-7EAB-4D71-9A24-EC9988EC7024}"/>
    <cellStyle name="Normal 6 2 2 2 7 2 2" xfId="18954" xr:uid="{6C49C8A1-CA40-4FA4-926F-DA70DD0CC2B2}"/>
    <cellStyle name="Normal 6 2 2 2 7 3" xfId="10745" xr:uid="{5F0F9FFE-B370-4892-8FD5-B8FD2DBDFAB8}"/>
    <cellStyle name="Normal 6 2 2 2 8" xfId="9862" xr:uid="{E6699BD9-E65B-47B1-A96A-C46DD25BC0FD}"/>
    <cellStyle name="Normal 6 2 2 2 8 2" xfId="18738" xr:uid="{EB0CFFA3-0889-4469-9E4A-BD236B12DD97}"/>
    <cellStyle name="Normal 6 2 2 2 9" xfId="10528" xr:uid="{CBA32A72-3246-465C-8668-DC861B3CD8B7}"/>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2 2 2" xfId="19038" xr:uid="{4E098A34-1E0D-42C0-BE84-1708D54BD7B9}"/>
    <cellStyle name="Normal 6 2 2 3 2 2 3" xfId="10829" xr:uid="{7287A90D-0255-4E78-9AD5-820F133FFBF5}"/>
    <cellStyle name="Normal 6 2 2 3 2 3" xfId="9948" xr:uid="{93676402-3367-42FC-AF8F-EBB32B183833}"/>
    <cellStyle name="Normal 6 2 2 3 2 3 2" xfId="18822" xr:uid="{5CDB57A6-E22E-4DA8-8641-A56FE3A00A87}"/>
    <cellStyle name="Normal 6 2 2 3 2 4" xfId="10613" xr:uid="{2C835E92-2056-481C-AEB9-2B738E0CA639}"/>
    <cellStyle name="Normal 6 2 2 3 3" xfId="1286" xr:uid="{0408CE2E-9AF3-4075-8CE9-DC9B7B6F3BFB}"/>
    <cellStyle name="Normal 6 2 2 3 3 2" xfId="1502" xr:uid="{776190E7-F205-474F-A891-DC4EC1CAFBBB}"/>
    <cellStyle name="Normal 6 2 2 3 3 2 2" xfId="10236" xr:uid="{912F4C5A-B7FE-471D-B9F9-1A1CAE0EB7F6}"/>
    <cellStyle name="Normal 6 2 2 3 3 2 2 2" xfId="19110" xr:uid="{15C9BE72-3773-4BD0-BDAF-C97DCE50205F}"/>
    <cellStyle name="Normal 6 2 2 3 3 2 3" xfId="10901" xr:uid="{F234155D-DBBF-4A26-8316-4DF19FB37B25}"/>
    <cellStyle name="Normal 6 2 2 3 3 3" xfId="10020" xr:uid="{E71E998D-FF66-42E2-862B-26F415A1F812}"/>
    <cellStyle name="Normal 6 2 2 3 3 3 2" xfId="18894" xr:uid="{E34FE8D6-646A-4C7E-8422-1F27FCAA6668}"/>
    <cellStyle name="Normal 6 2 2 3 3 4" xfId="10685" xr:uid="{2BF74E66-7B5F-4C25-B726-14D0571B0098}"/>
    <cellStyle name="Normal 6 2 2 3 4" xfId="1358" xr:uid="{3520AB37-BD67-4DDA-A24C-5ADAB8A32B2B}"/>
    <cellStyle name="Normal 6 2 2 3 4 2" xfId="10092" xr:uid="{F7997C32-F025-4202-899D-9C6250AB62F5}"/>
    <cellStyle name="Normal 6 2 2 3 4 2 2" xfId="18966" xr:uid="{A1EF3D70-3095-40A0-9959-25AB9FF12646}"/>
    <cellStyle name="Normal 6 2 2 3 4 3" xfId="10757" xr:uid="{2F6C7D87-01DE-47AD-B56A-BB62B04FF0C9}"/>
    <cellStyle name="Normal 6 2 2 3 5" xfId="9876" xr:uid="{2DC6C6D6-7A69-4F98-816F-3A357E244815}"/>
    <cellStyle name="Normal 6 2 2 3 5 2" xfId="18750" xr:uid="{9960049D-F93C-4890-B5C0-D2DF5683D0EC}"/>
    <cellStyle name="Normal 6 2 2 3 6" xfId="10541" xr:uid="{1F6A4E22-65E5-46E4-B975-9D9B3B74E5E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2 2 2" xfId="19051" xr:uid="{0A11E8D3-2E61-475D-9F26-3E90CB741866}"/>
    <cellStyle name="Normal 6 2 2 4 2 2 3" xfId="10842" xr:uid="{198ACC56-EC01-400B-9A8F-12AD463CFA8A}"/>
    <cellStyle name="Normal 6 2 2 4 2 3" xfId="9961" xr:uid="{98F05206-1EF4-4140-BBD0-D4A6B3E6F2A7}"/>
    <cellStyle name="Normal 6 2 2 4 2 3 2" xfId="18835" xr:uid="{8A15ADF3-4FD9-41D6-A94E-868F82CFBD40}"/>
    <cellStyle name="Normal 6 2 2 4 2 4" xfId="10626" xr:uid="{FA75DBBA-553A-40B8-89FF-6DD3D606C415}"/>
    <cellStyle name="Normal 6 2 2 4 3" xfId="1299" xr:uid="{D4BC9B03-3DB4-4D3D-8573-B1C428A8B24A}"/>
    <cellStyle name="Normal 6 2 2 4 3 2" xfId="1515" xr:uid="{AA54A9BE-62F2-4975-887E-B2D69ED43058}"/>
    <cellStyle name="Normal 6 2 2 4 3 2 2" xfId="10249" xr:uid="{0A8B817C-ECCF-44A0-8F22-15F84014157C}"/>
    <cellStyle name="Normal 6 2 2 4 3 2 2 2" xfId="19123" xr:uid="{7927D886-25C3-4B86-AB37-ABEE0C5D0E85}"/>
    <cellStyle name="Normal 6 2 2 4 3 2 3" xfId="10914" xr:uid="{966C3330-D566-4032-8F0D-D096916985D9}"/>
    <cellStyle name="Normal 6 2 2 4 3 3" xfId="10033" xr:uid="{1092E5FF-B6E2-45BC-A34B-1BA55192FA9A}"/>
    <cellStyle name="Normal 6 2 2 4 3 3 2" xfId="18907" xr:uid="{C63DD994-5051-4F65-B469-5DD5B4E3B6C4}"/>
    <cellStyle name="Normal 6 2 2 4 3 4" xfId="10698" xr:uid="{174E077C-FE57-41D5-AA51-421CE61C34B5}"/>
    <cellStyle name="Normal 6 2 2 4 4" xfId="1371" xr:uid="{9BC767B0-0ED4-4883-B459-A8D31AF46636}"/>
    <cellStyle name="Normal 6 2 2 4 4 2" xfId="10105" xr:uid="{F25AAE39-D916-4F43-93E1-0FD915911E38}"/>
    <cellStyle name="Normal 6 2 2 4 4 2 2" xfId="18979" xr:uid="{7F856CA7-7F41-4D30-9BB3-1FAF7D605719}"/>
    <cellStyle name="Normal 6 2 2 4 4 3" xfId="10770" xr:uid="{236EB77B-4466-4ED7-961D-7064D1C7EE55}"/>
    <cellStyle name="Normal 6 2 2 4 5" xfId="9889" xr:uid="{3C004AAE-FA6B-46CA-98E4-D8AE379BE1ED}"/>
    <cellStyle name="Normal 6 2 2 4 5 2" xfId="18763" xr:uid="{9AD46EF4-468F-498F-B2C0-1F4F4E2CD95A}"/>
    <cellStyle name="Normal 6 2 2 4 6" xfId="10554" xr:uid="{FB364BE7-40F4-45F7-BA52-5453E466E1C9}"/>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2 2 2" xfId="19078" xr:uid="{4CDB2275-4FBC-49A8-A7D2-2E407890A754}"/>
    <cellStyle name="Normal 6 2 2 5 2 2 3" xfId="10869" xr:uid="{7DEF5329-115E-49ED-BA21-07B9CE37ABE1}"/>
    <cellStyle name="Normal 6 2 2 5 2 3" xfId="9988" xr:uid="{1FCA661E-C5AE-4855-AD9B-A85774F4CD4F}"/>
    <cellStyle name="Normal 6 2 2 5 2 3 2" xfId="18862" xr:uid="{6DFCB18B-B534-4B52-95E1-11EC1E8E2526}"/>
    <cellStyle name="Normal 6 2 2 5 2 4" xfId="10653" xr:uid="{DBD91647-D35A-4FE2-895F-C1E06185379F}"/>
    <cellStyle name="Normal 6 2 2 5 3" xfId="1326" xr:uid="{E9E278B6-FADC-4845-9DA6-5C6B0AE57885}"/>
    <cellStyle name="Normal 6 2 2 5 3 2" xfId="1542" xr:uid="{264192A5-1517-4D4E-AA8B-E9A3270B6CF6}"/>
    <cellStyle name="Normal 6 2 2 5 3 2 2" xfId="10276" xr:uid="{EA27B8F4-3E44-4BC8-9EBB-39654561FB91}"/>
    <cellStyle name="Normal 6 2 2 5 3 2 2 2" xfId="19150" xr:uid="{58E6BFA6-D7D3-40C0-ADE7-35A443D397FB}"/>
    <cellStyle name="Normal 6 2 2 5 3 2 3" xfId="10941" xr:uid="{71CF16D6-1F19-4722-8693-08FB24983426}"/>
    <cellStyle name="Normal 6 2 2 5 3 3" xfId="10060" xr:uid="{AB688565-3025-48FB-A005-71485192ECCD}"/>
    <cellStyle name="Normal 6 2 2 5 3 3 2" xfId="18934" xr:uid="{59C78751-C52D-4CBC-96F9-551A86F768EE}"/>
    <cellStyle name="Normal 6 2 2 5 3 4" xfId="10725" xr:uid="{F818226C-F430-4B77-8A68-9CE9C188C507}"/>
    <cellStyle name="Normal 6 2 2 5 4" xfId="1398" xr:uid="{E9B117E2-098E-4B80-878C-4D1AA00BBFB6}"/>
    <cellStyle name="Normal 6 2 2 5 4 2" xfId="10132" xr:uid="{28B2C9C3-2986-416E-BF9B-AC8B37B502F4}"/>
    <cellStyle name="Normal 6 2 2 5 4 2 2" xfId="19006" xr:uid="{116EC471-3298-4521-92B5-7B2A6C45020D}"/>
    <cellStyle name="Normal 6 2 2 5 4 3" xfId="10797" xr:uid="{2428AC76-A622-48FF-B202-4461B0C134A6}"/>
    <cellStyle name="Normal 6 2 2 5 5" xfId="9916" xr:uid="{FBED21F8-412F-4A99-83B9-3B741B2840A4}"/>
    <cellStyle name="Normal 6 2 2 5 5 2" xfId="18790" xr:uid="{AFFDA38C-DA1A-4B99-843D-86431285E5CE}"/>
    <cellStyle name="Normal 6 2 2 5 6" xfId="10581" xr:uid="{5717C56D-FB1A-4707-A365-0DB76B1711AC}"/>
    <cellStyle name="Normal 6 2 2 6" xfId="1190" xr:uid="{A97E82AF-1FBA-488F-BE45-70E489EC3E8E}"/>
    <cellStyle name="Normal 6 2 2 6 2" xfId="1417" xr:uid="{F14C5A74-3079-4C01-A88B-4C03E3D5D1DA}"/>
    <cellStyle name="Normal 6 2 2 6 2 2" xfId="10151" xr:uid="{A1ABCF3D-6B9C-4774-85B8-C036047FBB43}"/>
    <cellStyle name="Normal 6 2 2 6 2 2 2" xfId="19025" xr:uid="{F68B3A59-928F-4AD1-9772-0238A6D71DB9}"/>
    <cellStyle name="Normal 6 2 2 6 2 3" xfId="10816" xr:uid="{4CD723D9-D2DE-47B7-BF30-D86601655269}"/>
    <cellStyle name="Normal 6 2 2 6 3" xfId="9935" xr:uid="{C6D856E9-00D0-42C3-9E11-A1D9A573EEF9}"/>
    <cellStyle name="Normal 6 2 2 6 3 2" xfId="18809" xr:uid="{102FFB11-4F20-4E00-B717-39357E7619B5}"/>
    <cellStyle name="Normal 6 2 2 6 4" xfId="10600" xr:uid="{41610F90-428D-48D4-B8BF-956B504748AA}"/>
    <cellStyle name="Normal 6 2 2 7" xfId="1273" xr:uid="{17E2EDBA-6BB0-4E89-A603-27BFE07F3DA8}"/>
    <cellStyle name="Normal 6 2 2 7 2" xfId="1489" xr:uid="{354D7759-8978-472E-A373-B334EBEC17DE}"/>
    <cellStyle name="Normal 6 2 2 7 2 2" xfId="10223" xr:uid="{A3D57489-EFE7-4CAF-B2FC-30F07EF63E8A}"/>
    <cellStyle name="Normal 6 2 2 7 2 2 2" xfId="19097" xr:uid="{02DC54E0-764A-428D-83D3-EF62B3FF23BB}"/>
    <cellStyle name="Normal 6 2 2 7 2 3" xfId="10888" xr:uid="{02C3D41F-5794-44CC-B197-9E5C0E1D3DF1}"/>
    <cellStyle name="Normal 6 2 2 7 3" xfId="10007" xr:uid="{63D49A1F-AD4B-4915-8CA0-6485CE3811D9}"/>
    <cellStyle name="Normal 6 2 2 7 3 2" xfId="18881" xr:uid="{2B5418EE-CFFE-48A8-A892-D2AE0FD98023}"/>
    <cellStyle name="Normal 6 2 2 7 4" xfId="10672" xr:uid="{18BD22CB-10E5-4926-8E52-260359A78A80}"/>
    <cellStyle name="Normal 6 2 2 8" xfId="1345" xr:uid="{B32A3A9D-B061-4955-8294-15BBB22BDBFB}"/>
    <cellStyle name="Normal 6 2 2 8 2" xfId="10079" xr:uid="{DF580ECF-4C92-4C0B-B078-9B450D732E1F}"/>
    <cellStyle name="Normal 6 2 2 8 2 2" xfId="18953" xr:uid="{C2BD63AA-5959-46E7-8791-8CE63D00B038}"/>
    <cellStyle name="Normal 6 2 2 8 3" xfId="10744" xr:uid="{E3DD28FE-0C98-49C2-9109-FD0410670BF0}"/>
    <cellStyle name="Normal 6 2 2 9" xfId="9861" xr:uid="{1E1BDF24-8C21-497B-9D86-E6E2ED9F4C93}"/>
    <cellStyle name="Normal 6 2 2 9 2" xfId="18737" xr:uid="{2A9A0670-EAA3-4C94-AC0B-635F65CAFF1C}"/>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2 2 2" xfId="19040" xr:uid="{B2ADC3CD-364C-40E7-91C5-23E151AC6FCA}"/>
    <cellStyle name="Normal 6 2 3 2 2 2 3" xfId="10831" xr:uid="{542A34EA-821D-4FE2-8458-3F616835CC6E}"/>
    <cellStyle name="Normal 6 2 3 2 2 3" xfId="9950" xr:uid="{8B4A7658-4769-4186-B7B6-D665B7675388}"/>
    <cellStyle name="Normal 6 2 3 2 2 3 2" xfId="18824" xr:uid="{DE0DC881-423C-41AF-B675-D928498AB1D3}"/>
    <cellStyle name="Normal 6 2 3 2 2 4" xfId="10615" xr:uid="{066EBE25-E684-4256-A033-9C391AC73AB7}"/>
    <cellStyle name="Normal 6 2 3 2 3" xfId="1288" xr:uid="{994DB1C3-4366-4855-BD66-30F573BBB91F}"/>
    <cellStyle name="Normal 6 2 3 2 3 2" xfId="1504" xr:uid="{2238FE42-B63E-4BB9-8D1A-BEE9482BB5D0}"/>
    <cellStyle name="Normal 6 2 3 2 3 2 2" xfId="10238" xr:uid="{BCFEAC6D-5866-44FA-B0F5-36E73D8A835E}"/>
    <cellStyle name="Normal 6 2 3 2 3 2 2 2" xfId="19112" xr:uid="{E33E5AB5-67D3-405D-B0C2-B4731EDDC27C}"/>
    <cellStyle name="Normal 6 2 3 2 3 2 3" xfId="10903" xr:uid="{B3FEECF7-A143-414B-A134-B18D7FFE31E4}"/>
    <cellStyle name="Normal 6 2 3 2 3 3" xfId="10022" xr:uid="{0DBB4543-30DB-46CC-BF0B-CB457D87BD34}"/>
    <cellStyle name="Normal 6 2 3 2 3 3 2" xfId="18896" xr:uid="{CE89DE83-2200-4426-B40A-7A195F7D4520}"/>
    <cellStyle name="Normal 6 2 3 2 3 4" xfId="10687" xr:uid="{ACC07245-4A0A-4A7A-80E1-FEAB47B99235}"/>
    <cellStyle name="Normal 6 2 3 2 4" xfId="1360" xr:uid="{A0A18114-ADE9-4CEB-9765-A0501CB194EF}"/>
    <cellStyle name="Normal 6 2 3 2 4 2" xfId="10094" xr:uid="{F6C32EB0-7A4B-4FEA-A430-5C9DD5B1F525}"/>
    <cellStyle name="Normal 6 2 3 2 4 2 2" xfId="18968" xr:uid="{90C3E4FD-53AC-45A8-A6DB-D343E38FDA46}"/>
    <cellStyle name="Normal 6 2 3 2 4 3" xfId="10759" xr:uid="{A7AFAE15-4D59-4C84-88F1-0CD14BF63273}"/>
    <cellStyle name="Normal 6 2 3 2 5" xfId="9878" xr:uid="{7DAFDB70-DC84-4013-82D1-0CF35F1E087D}"/>
    <cellStyle name="Normal 6 2 3 2 5 2" xfId="18752" xr:uid="{B469C6FC-FFE2-45C6-900B-3722C2217A3D}"/>
    <cellStyle name="Normal 6 2 3 2 6" xfId="10543" xr:uid="{563F73AF-968F-4390-B13D-1A8EC4AEF337}"/>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2 2 2" xfId="19053" xr:uid="{38951E48-BF7B-447F-8B12-B0C52CB23B24}"/>
    <cellStyle name="Normal 6 2 3 3 2 2 3" xfId="10844" xr:uid="{B128D85A-2F1C-4F6D-BF8B-17566340EF98}"/>
    <cellStyle name="Normal 6 2 3 3 2 3" xfId="9963" xr:uid="{7744D207-FFAF-408B-BFFF-42AA888A35AC}"/>
    <cellStyle name="Normal 6 2 3 3 2 3 2" xfId="18837" xr:uid="{A91C5A42-048F-40FD-B3B4-995C9C50349B}"/>
    <cellStyle name="Normal 6 2 3 3 2 4" xfId="10628" xr:uid="{8546F3D4-D8CF-452F-B436-09F0D7A046A5}"/>
    <cellStyle name="Normal 6 2 3 3 3" xfId="1301" xr:uid="{2F8F9052-F3C4-49CE-98C6-01EBAC69F9B2}"/>
    <cellStyle name="Normal 6 2 3 3 3 2" xfId="1517" xr:uid="{1EA20AB5-8E77-404C-9003-34994E9DBA1B}"/>
    <cellStyle name="Normal 6 2 3 3 3 2 2" xfId="10251" xr:uid="{55B4B56A-9C6A-4614-B6A0-AE0EB2F45BAA}"/>
    <cellStyle name="Normal 6 2 3 3 3 2 2 2" xfId="19125" xr:uid="{44498558-E38D-4485-8564-3333F4F39837}"/>
    <cellStyle name="Normal 6 2 3 3 3 2 3" xfId="10916" xr:uid="{634F84FE-6B92-4A50-B37A-9BCC55F62848}"/>
    <cellStyle name="Normal 6 2 3 3 3 3" xfId="10035" xr:uid="{7441F735-4861-4C9E-A1B1-1A8E9C836736}"/>
    <cellStyle name="Normal 6 2 3 3 3 3 2" xfId="18909" xr:uid="{A96CD836-1A8C-4AD2-8756-36ED3B57B409}"/>
    <cellStyle name="Normal 6 2 3 3 3 4" xfId="10700" xr:uid="{F5155D8B-629B-4648-85B0-332A2A6A7C36}"/>
    <cellStyle name="Normal 6 2 3 3 4" xfId="1373" xr:uid="{28268F27-9E70-4B3B-AC97-AA9A0DE26839}"/>
    <cellStyle name="Normal 6 2 3 3 4 2" xfId="10107" xr:uid="{D3604DDE-33E9-43D2-B5E3-0F56DB341012}"/>
    <cellStyle name="Normal 6 2 3 3 4 2 2" xfId="18981" xr:uid="{06E9FE10-030A-49CD-9306-F7C393C06A00}"/>
    <cellStyle name="Normal 6 2 3 3 4 3" xfId="10772" xr:uid="{ED48BB27-46CE-461E-A85C-E28DECB72AEA}"/>
    <cellStyle name="Normal 6 2 3 3 5" xfId="9891" xr:uid="{71F7920B-C0F1-4410-A41A-ADE10B2617D8}"/>
    <cellStyle name="Normal 6 2 3 3 5 2" xfId="18765" xr:uid="{57C55785-FA5C-4226-96CC-DBB0A130451B}"/>
    <cellStyle name="Normal 6 2 3 3 6" xfId="10556" xr:uid="{29962A54-B6C0-4A4D-B163-91F574233281}"/>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2 2 2" xfId="19080" xr:uid="{4EF5B95E-EC97-45F0-BAA0-13103B6AD98A}"/>
    <cellStyle name="Normal 6 2 3 4 2 2 3" xfId="10871" xr:uid="{E0384175-0DEE-4F80-96B8-766B9C1EF2FD}"/>
    <cellStyle name="Normal 6 2 3 4 2 3" xfId="9990" xr:uid="{55D4054C-7717-4ED0-85A6-7FDD58D3043B}"/>
    <cellStyle name="Normal 6 2 3 4 2 3 2" xfId="18864" xr:uid="{3FA9DBF1-E2AD-4AA5-AC26-8E9AC95EB9B5}"/>
    <cellStyle name="Normal 6 2 3 4 2 4" xfId="10655" xr:uid="{1B069E1E-98A4-4F4D-A144-235296E750D4}"/>
    <cellStyle name="Normal 6 2 3 4 3" xfId="1328" xr:uid="{C1E9ED4B-14D4-4A6B-AFA9-DEE1C59E8C04}"/>
    <cellStyle name="Normal 6 2 3 4 3 2" xfId="1544" xr:uid="{C386E3F8-643C-4C9C-86D3-7B7579B867D5}"/>
    <cellStyle name="Normal 6 2 3 4 3 2 2" xfId="10278" xr:uid="{6204B8E4-6615-4AF8-9C58-05C73133112F}"/>
    <cellStyle name="Normal 6 2 3 4 3 2 2 2" xfId="19152" xr:uid="{21BE0918-67D8-410C-B568-0C31321016A2}"/>
    <cellStyle name="Normal 6 2 3 4 3 2 3" xfId="10943" xr:uid="{05746215-8F9D-428E-BC56-414F848DE8F5}"/>
    <cellStyle name="Normal 6 2 3 4 3 3" xfId="10062" xr:uid="{AC2EB45A-6B90-4533-B502-4812EF8E7925}"/>
    <cellStyle name="Normal 6 2 3 4 3 3 2" xfId="18936" xr:uid="{7C8F7F78-4635-4DCC-B625-49013D20865C}"/>
    <cellStyle name="Normal 6 2 3 4 3 4" xfId="10727" xr:uid="{3D0EC815-0EFC-49FA-8AF5-B4C5E25D20D8}"/>
    <cellStyle name="Normal 6 2 3 4 4" xfId="1400" xr:uid="{EFD82D3E-E041-436A-A110-0E0AA058AE98}"/>
    <cellStyle name="Normal 6 2 3 4 4 2" xfId="10134" xr:uid="{E16C7939-AD3D-491B-90B6-F83A212592BD}"/>
    <cellStyle name="Normal 6 2 3 4 4 2 2" xfId="19008" xr:uid="{52762473-C3F9-4F6E-9469-D0D54509BDB1}"/>
    <cellStyle name="Normal 6 2 3 4 4 3" xfId="10799" xr:uid="{A2A3181A-2FEB-4ED6-9496-E61361DDEBD7}"/>
    <cellStyle name="Normal 6 2 3 4 5" xfId="9918" xr:uid="{2C596E11-B39E-4C2E-B21C-D91623834D5B}"/>
    <cellStyle name="Normal 6 2 3 4 5 2" xfId="18792" xr:uid="{472137F6-DCE2-4BB6-AD40-0BD09E6E2F96}"/>
    <cellStyle name="Normal 6 2 3 4 6" xfId="10583" xr:uid="{AD78AC7B-C8A2-4859-A789-6CF1C133AC91}"/>
    <cellStyle name="Normal 6 2 3 5" xfId="1192" xr:uid="{28D8657A-227D-402E-AFA3-5545BA3A7A39}"/>
    <cellStyle name="Normal 6 2 3 5 2" xfId="1419" xr:uid="{CB6700B0-5BAF-4834-B7ED-C516E5DAE32C}"/>
    <cellStyle name="Normal 6 2 3 5 2 2" xfId="10153" xr:uid="{AFE2D1D2-BCE5-4070-8768-26710A774FCD}"/>
    <cellStyle name="Normal 6 2 3 5 2 2 2" xfId="19027" xr:uid="{4345462D-C0C9-4861-A0B9-14EE1C92BC00}"/>
    <cellStyle name="Normal 6 2 3 5 2 3" xfId="10818" xr:uid="{1B19511B-A619-4176-BC73-37493FD4D5EF}"/>
    <cellStyle name="Normal 6 2 3 5 3" xfId="9937" xr:uid="{E351D394-838E-4BFB-A199-6072C46B704B}"/>
    <cellStyle name="Normal 6 2 3 5 3 2" xfId="18811" xr:uid="{F4F39CD3-E737-4870-9343-43579FFEB847}"/>
    <cellStyle name="Normal 6 2 3 5 4" xfId="10602" xr:uid="{813DA43C-7E5A-4244-AD9A-F759C91333C5}"/>
    <cellStyle name="Normal 6 2 3 6" xfId="1275" xr:uid="{C593C4AF-1E38-4C2C-8450-44BD2E8388DE}"/>
    <cellStyle name="Normal 6 2 3 6 2" xfId="1491" xr:uid="{2360DF4D-0270-4974-8C21-C4398D31609D}"/>
    <cellStyle name="Normal 6 2 3 6 2 2" xfId="10225" xr:uid="{C5E2748B-055D-4C55-A74E-DA605C11F6A7}"/>
    <cellStyle name="Normal 6 2 3 6 2 2 2" xfId="19099" xr:uid="{875F3C79-647C-4FF0-91DB-3503D8D9EA8C}"/>
    <cellStyle name="Normal 6 2 3 6 2 3" xfId="10890" xr:uid="{531F2C1F-D848-4FA2-BC03-2AB9202518FA}"/>
    <cellStyle name="Normal 6 2 3 6 3" xfId="10009" xr:uid="{609AD08D-A9C0-45FE-ACFD-E3279AB1192E}"/>
    <cellStyle name="Normal 6 2 3 6 3 2" xfId="18883" xr:uid="{E2E8C2E2-4305-43FD-B2CA-1C25E85C2D2E}"/>
    <cellStyle name="Normal 6 2 3 6 4" xfId="10674" xr:uid="{496D13CC-F54D-4228-9A7E-57E9B5CD39C3}"/>
    <cellStyle name="Normal 6 2 3 7" xfId="1347" xr:uid="{9C7C8AA9-A5CD-40C2-B151-ADA469514F94}"/>
    <cellStyle name="Normal 6 2 3 7 2" xfId="10081" xr:uid="{BE35A9CF-875E-4EB7-8EBA-1D02FB273BA3}"/>
    <cellStyle name="Normal 6 2 3 7 2 2" xfId="18955" xr:uid="{5383CE3C-1CEC-4A3A-B7AE-1057C8C735CB}"/>
    <cellStyle name="Normal 6 2 3 7 3" xfId="10746" xr:uid="{4A8834E7-C63B-4C16-A00C-E291CF79E0A4}"/>
    <cellStyle name="Normal 6 2 3 8" xfId="9863" xr:uid="{7A5BFC5E-7122-49B3-95AE-4FEE6DA6FE55}"/>
    <cellStyle name="Normal 6 2 3 8 2" xfId="18739" xr:uid="{48C44CBD-4902-4053-A9D7-7AB1DE6DD254}"/>
    <cellStyle name="Normal 6 2 3 9" xfId="10529" xr:uid="{F33F80A4-83E0-4378-BD08-5DA9CB379D8D}"/>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2 2 2" xfId="19037" xr:uid="{D9A4CA04-D698-4CD7-A959-C1B6D816372B}"/>
    <cellStyle name="Normal 6 2 4 2 2 3" xfId="10828" xr:uid="{40F4B0E5-DEB2-48CB-A1A2-8B1C264C16C0}"/>
    <cellStyle name="Normal 6 2 4 2 3" xfId="9947" xr:uid="{2C2D693F-75DB-425C-9D63-BECB53671AD0}"/>
    <cellStyle name="Normal 6 2 4 2 3 2" xfId="18821" xr:uid="{8A48094C-BB79-4611-9CAF-5C3EBEAF9749}"/>
    <cellStyle name="Normal 6 2 4 2 4" xfId="10612" xr:uid="{E2FF1690-5679-4759-9F4F-A1B36EEF16EC}"/>
    <cellStyle name="Normal 6 2 4 3" xfId="1285" xr:uid="{B5C6159F-3AFF-44D9-AE93-1F4DCD638640}"/>
    <cellStyle name="Normal 6 2 4 3 2" xfId="1501" xr:uid="{9D319E90-3BF8-4C2E-ADDC-822AA72185A6}"/>
    <cellStyle name="Normal 6 2 4 3 2 2" xfId="10235" xr:uid="{4F209150-50C8-483F-BE91-73318E0BBE8D}"/>
    <cellStyle name="Normal 6 2 4 3 2 2 2" xfId="19109" xr:uid="{83F002BE-C9B8-4F1C-82AB-01CD1C29D8B1}"/>
    <cellStyle name="Normal 6 2 4 3 2 3" xfId="10900" xr:uid="{23135AF9-0BBB-4F8B-9580-F49B0D1F27AB}"/>
    <cellStyle name="Normal 6 2 4 3 3" xfId="10019" xr:uid="{0CB3E53D-DA91-46B4-B364-32ABCA5B8483}"/>
    <cellStyle name="Normal 6 2 4 3 3 2" xfId="18893" xr:uid="{7129587F-0BAE-4EC0-8130-E1DCA0C7A6A8}"/>
    <cellStyle name="Normal 6 2 4 3 4" xfId="10684" xr:uid="{FCCBF644-B4C4-4528-BC5C-C8A99058F4E6}"/>
    <cellStyle name="Normal 6 2 4 4" xfId="1357" xr:uid="{FDE2EDFC-3B8C-470A-8844-141535E5C4B8}"/>
    <cellStyle name="Normal 6 2 4 4 2" xfId="10091" xr:uid="{F620D255-B474-47E8-A6AA-A83FDEEF5AF7}"/>
    <cellStyle name="Normal 6 2 4 4 2 2" xfId="18965" xr:uid="{29F1DA5F-537D-4310-B09B-CFBA07E4E954}"/>
    <cellStyle name="Normal 6 2 4 4 3" xfId="10756" xr:uid="{9A7F9CA6-175B-4BA3-8CD3-0AF3B9049F89}"/>
    <cellStyle name="Normal 6 2 4 5" xfId="9875" xr:uid="{61154CA1-CA85-486E-A4D9-724BE262CC30}"/>
    <cellStyle name="Normal 6 2 4 5 2" xfId="18749" xr:uid="{79F62924-7AD4-4DAF-A2E4-1AD3FAFD14DE}"/>
    <cellStyle name="Normal 6 2 4 6" xfId="10540" xr:uid="{1EF62CEF-13C4-479B-B4D7-45482A2DFFE5}"/>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2 2 2" xfId="19050" xr:uid="{4D3F88A8-956D-40DD-9D60-5F36E84DA23F}"/>
    <cellStyle name="Normal 6 2 5 2 2 3" xfId="10841" xr:uid="{0AD27FF2-C8C3-40E2-B3FB-42325EEEE749}"/>
    <cellStyle name="Normal 6 2 5 2 3" xfId="9960" xr:uid="{7CE64FA1-F9C4-4D32-AB67-CCC3B6FD0720}"/>
    <cellStyle name="Normal 6 2 5 2 3 2" xfId="18834" xr:uid="{E7834A80-45BB-4889-82BF-604F0622A93C}"/>
    <cellStyle name="Normal 6 2 5 2 4" xfId="10625" xr:uid="{19397860-ABFE-4EE0-A3F6-53246B173CB2}"/>
    <cellStyle name="Normal 6 2 5 3" xfId="1298" xr:uid="{A7E0EB00-0525-4801-B5C8-C046DC5F2029}"/>
    <cellStyle name="Normal 6 2 5 3 2" xfId="1514" xr:uid="{28727300-72EF-4C41-B69A-D6D1EC8383B7}"/>
    <cellStyle name="Normal 6 2 5 3 2 2" xfId="10248" xr:uid="{B7F3C772-787B-4DE8-99DC-79546D30BE20}"/>
    <cellStyle name="Normal 6 2 5 3 2 2 2" xfId="19122" xr:uid="{FF8C5320-49CD-4F93-AB47-130EFB1E710D}"/>
    <cellStyle name="Normal 6 2 5 3 2 3" xfId="10913" xr:uid="{19B97AAB-2752-441D-B592-66225C9723D5}"/>
    <cellStyle name="Normal 6 2 5 3 3" xfId="10032" xr:uid="{91ECA976-BA2D-4135-9FCA-D6A990EEBE90}"/>
    <cellStyle name="Normal 6 2 5 3 3 2" xfId="18906" xr:uid="{ECA6AB41-7CEF-455A-83D6-EDA14DB5F4DC}"/>
    <cellStyle name="Normal 6 2 5 3 4" xfId="10697" xr:uid="{22BB305E-F2E2-4E54-A69E-AFABB3AB70F8}"/>
    <cellStyle name="Normal 6 2 5 4" xfId="1370" xr:uid="{24FECEAD-D739-435B-A005-01380A8AB786}"/>
    <cellStyle name="Normal 6 2 5 4 2" xfId="10104" xr:uid="{AC7DD523-E240-4F1E-A7E8-3BC9357B93C7}"/>
    <cellStyle name="Normal 6 2 5 4 2 2" xfId="18978" xr:uid="{F278114B-E2EA-40D9-8431-6542738B2A78}"/>
    <cellStyle name="Normal 6 2 5 4 3" xfId="10769" xr:uid="{91FEC2E8-9FD3-4B87-B37F-CF11B0E96FA5}"/>
    <cellStyle name="Normal 6 2 5 5" xfId="9888" xr:uid="{32EFA4D4-71A1-422B-887A-FFEBBCCCF4C4}"/>
    <cellStyle name="Normal 6 2 5 5 2" xfId="18762" xr:uid="{23006D9A-EE84-4080-9BF9-57C86B757A0F}"/>
    <cellStyle name="Normal 6 2 5 6" xfId="10553" xr:uid="{B67998A6-45D4-4863-84F3-0B6B7E355976}"/>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2 2 2" xfId="19077" xr:uid="{E8D1D2BB-25EE-4EAB-BB7D-C79B49BFCF89}"/>
    <cellStyle name="Normal 6 2 6 2 2 3" xfId="10868" xr:uid="{437E1295-D56B-4733-B26C-85C6ABC4B92E}"/>
    <cellStyle name="Normal 6 2 6 2 3" xfId="9987" xr:uid="{C75D7959-7818-47FD-A10E-262446A74B05}"/>
    <cellStyle name="Normal 6 2 6 2 3 2" xfId="18861" xr:uid="{02499C8E-058E-48BB-9ED3-394F89363ABF}"/>
    <cellStyle name="Normal 6 2 6 2 4" xfId="10652" xr:uid="{D6F59EA0-965E-4F83-914B-874A4877EC7B}"/>
    <cellStyle name="Normal 6 2 6 3" xfId="1325" xr:uid="{17DC23AB-BDC0-4DEB-8F45-75C6A1FDA255}"/>
    <cellStyle name="Normal 6 2 6 3 2" xfId="1541" xr:uid="{D2B98D68-128D-4343-A932-09D99E1BB74A}"/>
    <cellStyle name="Normal 6 2 6 3 2 2" xfId="10275" xr:uid="{D6FC9ACD-B24A-4599-A8D6-774AC7FDED3F}"/>
    <cellStyle name="Normal 6 2 6 3 2 2 2" xfId="19149" xr:uid="{6E94DB84-4A99-4C01-BF45-1312B5DAF64D}"/>
    <cellStyle name="Normal 6 2 6 3 2 3" xfId="10940" xr:uid="{816115E5-2321-4551-B070-88B4D9FDE708}"/>
    <cellStyle name="Normal 6 2 6 3 3" xfId="10059" xr:uid="{A99A35FF-1652-4663-AB50-1A2248D2D51E}"/>
    <cellStyle name="Normal 6 2 6 3 3 2" xfId="18933" xr:uid="{B3B4B948-C6F4-4E20-B7B9-222E1C547393}"/>
    <cellStyle name="Normal 6 2 6 3 4" xfId="10724" xr:uid="{24367F40-2EE9-424D-9CF4-1D5A0BAB7E46}"/>
    <cellStyle name="Normal 6 2 6 4" xfId="1397" xr:uid="{2E30D146-63D0-4AFD-8DD9-75A48C0973D8}"/>
    <cellStyle name="Normal 6 2 6 4 2" xfId="10131" xr:uid="{94A2E4FA-966E-4544-A205-A7473347DFFB}"/>
    <cellStyle name="Normal 6 2 6 4 2 2" xfId="19005" xr:uid="{BBB08A85-A47B-4745-9D37-7F11D841E519}"/>
    <cellStyle name="Normal 6 2 6 4 3" xfId="10796" xr:uid="{DEFFD506-C268-49DC-9427-B596CA30742B}"/>
    <cellStyle name="Normal 6 2 6 5" xfId="9915" xr:uid="{6F82CE88-D089-4EE8-A446-D3B99B05A60B}"/>
    <cellStyle name="Normal 6 2 6 5 2" xfId="18789" xr:uid="{327EAADA-6F7A-4214-860B-DDA4A1C6757F}"/>
    <cellStyle name="Normal 6 2 6 6" xfId="10580" xr:uid="{94DBD239-AFF4-44D6-9812-9255CBB2E764}"/>
    <cellStyle name="Normal 6 2 7" xfId="1189" xr:uid="{D7317FF6-5417-4B67-AF0F-8DD03C8D85B8}"/>
    <cellStyle name="Normal 6 2 7 2" xfId="1416" xr:uid="{46CFD2AF-108B-41C8-8818-6FEB8297C46D}"/>
    <cellStyle name="Normal 6 2 7 2 2" xfId="10150" xr:uid="{F5D4262F-51AB-44E9-A3DF-B3C40EBD228F}"/>
    <cellStyle name="Normal 6 2 7 2 2 2" xfId="19024" xr:uid="{1340A975-6279-4E74-A32B-E5FCA22FEE56}"/>
    <cellStyle name="Normal 6 2 7 2 3" xfId="10815" xr:uid="{984ED9CC-31B2-471D-81DE-8131F2DCD002}"/>
    <cellStyle name="Normal 6 2 7 3" xfId="9934" xr:uid="{FA3F5028-6C40-4CA7-B01F-808ED4F49D39}"/>
    <cellStyle name="Normal 6 2 7 3 2" xfId="18808" xr:uid="{721BFD9D-47EA-46D7-BC1D-75513F0DD44B}"/>
    <cellStyle name="Normal 6 2 7 4" xfId="10599" xr:uid="{B328DDB0-50D6-4BFF-81AB-FE25678DC181}"/>
    <cellStyle name="Normal 6 2 8" xfId="1272" xr:uid="{978DDD05-8F82-498A-903F-03B6D10A2F25}"/>
    <cellStyle name="Normal 6 2 8 2" xfId="1488" xr:uid="{D7203692-45C5-4967-9D98-6C9B99817F70}"/>
    <cellStyle name="Normal 6 2 8 2 2" xfId="10222" xr:uid="{A1AAF397-BDAB-474A-8059-CC75F4F7D23D}"/>
    <cellStyle name="Normal 6 2 8 2 2 2" xfId="19096" xr:uid="{CCA48094-7122-473E-B618-8E9DD874BB95}"/>
    <cellStyle name="Normal 6 2 8 2 3" xfId="10887" xr:uid="{10E43130-D114-4212-88CC-05C904BC375B}"/>
    <cellStyle name="Normal 6 2 8 3" xfId="10006" xr:uid="{9C1969DC-D687-4D39-8B74-A2985061ADAF}"/>
    <cellStyle name="Normal 6 2 8 3 2" xfId="18880" xr:uid="{DDE07A01-ABE1-42CA-B91B-441D7F7DDF03}"/>
    <cellStyle name="Normal 6 2 8 4" xfId="10671" xr:uid="{70F78164-B718-4662-9422-BB36E9E38273}"/>
    <cellStyle name="Normal 6 2 9" xfId="1344" xr:uid="{F530B77E-A112-4A1D-A2AB-14A490029211}"/>
    <cellStyle name="Normal 6 2 9 2" xfId="10078" xr:uid="{0D130BCA-2B5A-4CA0-B50F-E4DF56BA95FC}"/>
    <cellStyle name="Normal 6 2 9 2 2" xfId="18952" xr:uid="{4529F64F-D98C-4E95-9A1E-A7AC48DD73ED}"/>
    <cellStyle name="Normal 6 2 9 3" xfId="10743" xr:uid="{E08A05E6-1627-4144-B42B-48A2E54548D7}"/>
    <cellStyle name="Normal 6 3" xfId="552" xr:uid="{E17994D9-E491-454E-9A05-17A62DABDF30}"/>
    <cellStyle name="Normal 6 3 10" xfId="740" xr:uid="{4A7F87FF-A8ED-4A56-9C14-DE30D67B483B}"/>
    <cellStyle name="Normal 6 3 10 2" xfId="10530" xr:uid="{AB0E2893-772E-425A-AA6C-7B224C29B37E}"/>
    <cellStyle name="Normal 6 3 11" xfId="10519" xr:uid="{344CA2B4-EBD2-4E86-8C55-890E15352EF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2 2 2" xfId="19042" xr:uid="{10C78156-AEA8-449C-8693-984016FAF822}"/>
    <cellStyle name="Normal 6 3 2 2 2 2 3" xfId="10833" xr:uid="{7018DDC7-0926-43BB-9060-A6972C369771}"/>
    <cellStyle name="Normal 6 3 2 2 2 3" xfId="9952" xr:uid="{1A926101-E31F-4B48-AA61-7E3429EAFBD8}"/>
    <cellStyle name="Normal 6 3 2 2 2 3 2" xfId="18826" xr:uid="{B5FC5775-F861-4EC7-BCC9-1A3D0055FB7D}"/>
    <cellStyle name="Normal 6 3 2 2 2 4" xfId="10617" xr:uid="{A6A35F94-56F4-437E-8AEC-8DB1B795F12E}"/>
    <cellStyle name="Normal 6 3 2 2 3" xfId="1290" xr:uid="{C10D1BDF-4213-4BA5-9988-6102A239935E}"/>
    <cellStyle name="Normal 6 3 2 2 3 2" xfId="1506" xr:uid="{BC310090-4037-47E5-85AD-8EDE93E7FAC4}"/>
    <cellStyle name="Normal 6 3 2 2 3 2 2" xfId="10240" xr:uid="{A27E466A-1A69-4167-BBC7-4A333303A971}"/>
    <cellStyle name="Normal 6 3 2 2 3 2 2 2" xfId="19114" xr:uid="{FC21FBEF-7D16-4C18-AED5-8BEF1F0DC580}"/>
    <cellStyle name="Normal 6 3 2 2 3 2 3" xfId="10905" xr:uid="{8273DAEB-2ACC-4401-9233-BA9ED8CD5AF5}"/>
    <cellStyle name="Normal 6 3 2 2 3 3" xfId="10024" xr:uid="{F221C8F9-E011-42DF-8D36-117B1DB12448}"/>
    <cellStyle name="Normal 6 3 2 2 3 3 2" xfId="18898" xr:uid="{0879E7E7-D2FF-4136-85DC-CCDB01F630D5}"/>
    <cellStyle name="Normal 6 3 2 2 3 4" xfId="10689" xr:uid="{60595541-1E19-49AD-91B3-F1DED830B526}"/>
    <cellStyle name="Normal 6 3 2 2 4" xfId="1362" xr:uid="{43CF65C3-1CB0-43D0-B6E9-5EE36FE07BE9}"/>
    <cellStyle name="Normal 6 3 2 2 4 2" xfId="10096" xr:uid="{3A248336-4E54-48B7-BDF4-EFDF4440639C}"/>
    <cellStyle name="Normal 6 3 2 2 4 2 2" xfId="18970" xr:uid="{34A07C97-8A00-4EC6-980B-DA54AAA7FD1C}"/>
    <cellStyle name="Normal 6 3 2 2 4 3" xfId="10761" xr:uid="{645F8A87-8C40-4C8A-9CF7-C50747B9DC94}"/>
    <cellStyle name="Normal 6 3 2 2 5" xfId="9880" xr:uid="{C74934B6-5623-4114-8C93-E8AD15A63ABE}"/>
    <cellStyle name="Normal 6 3 2 2 5 2" xfId="18754" xr:uid="{DDB7A28A-84A2-4A51-8E40-E4735423B788}"/>
    <cellStyle name="Normal 6 3 2 2 6" xfId="10545" xr:uid="{379BE880-B6FA-4839-8120-C2764F6D3654}"/>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2 2 2" xfId="19055" xr:uid="{9CF657AC-837A-46E9-B5F3-74A6CBC67B6A}"/>
    <cellStyle name="Normal 6 3 2 3 2 2 3" xfId="10846" xr:uid="{2CA81471-C05B-4199-AC0C-68F6EFB13B1B}"/>
    <cellStyle name="Normal 6 3 2 3 2 3" xfId="9965" xr:uid="{68799C2B-C307-455D-9E0C-21F3A70A0772}"/>
    <cellStyle name="Normal 6 3 2 3 2 3 2" xfId="18839" xr:uid="{A770480B-417A-432D-859A-C560B54688B8}"/>
    <cellStyle name="Normal 6 3 2 3 2 4" xfId="10630" xr:uid="{B48EB68E-FBD0-4105-BD31-78903BCFBF1D}"/>
    <cellStyle name="Normal 6 3 2 3 3" xfId="1303" xr:uid="{52DE0FA9-44D5-40F5-9B0B-0B7127C8276E}"/>
    <cellStyle name="Normal 6 3 2 3 3 2" xfId="1519" xr:uid="{0AB8AF97-8253-4779-B698-E1F53AC08AB6}"/>
    <cellStyle name="Normal 6 3 2 3 3 2 2" xfId="10253" xr:uid="{61B74E42-B80D-4CB6-B7ED-3B8A742A7867}"/>
    <cellStyle name="Normal 6 3 2 3 3 2 2 2" xfId="19127" xr:uid="{2BDB0F03-36DC-438F-A7FA-020485AE0867}"/>
    <cellStyle name="Normal 6 3 2 3 3 2 3" xfId="10918" xr:uid="{785E983A-7347-48C2-9C7F-186B1AF3F341}"/>
    <cellStyle name="Normal 6 3 2 3 3 3" xfId="10037" xr:uid="{46B7FD01-A87C-4C6A-8C4F-F019EE110B4A}"/>
    <cellStyle name="Normal 6 3 2 3 3 3 2" xfId="18911" xr:uid="{3CF790A3-16B9-43DC-8F10-50DFA4759AF2}"/>
    <cellStyle name="Normal 6 3 2 3 3 4" xfId="10702" xr:uid="{52EF4EC1-1B93-47D6-A9FD-794EA4CB0805}"/>
    <cellStyle name="Normal 6 3 2 3 4" xfId="1375" xr:uid="{091BF63A-DFB2-4833-881A-002BD7542243}"/>
    <cellStyle name="Normal 6 3 2 3 4 2" xfId="10109" xr:uid="{088EE35B-F806-4F92-9E6D-A11A957FE01C}"/>
    <cellStyle name="Normal 6 3 2 3 4 2 2" xfId="18983" xr:uid="{3A6FB2F3-215E-49BA-941A-A362A9324138}"/>
    <cellStyle name="Normal 6 3 2 3 4 3" xfId="10774" xr:uid="{C0EF19DF-C4D9-46C4-A525-3936DCE55E38}"/>
    <cellStyle name="Normal 6 3 2 3 5" xfId="9893" xr:uid="{8C94E9E1-A85E-42B5-AAB4-2104AC20B5C4}"/>
    <cellStyle name="Normal 6 3 2 3 5 2" xfId="18767" xr:uid="{C76DF16A-21EC-4275-955F-545187C4C651}"/>
    <cellStyle name="Normal 6 3 2 3 6" xfId="10558" xr:uid="{8FCA2F7F-DA84-4139-A9D3-8CC6B5B39427}"/>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2 2 2" xfId="19082" xr:uid="{0E46045B-0003-4E03-8101-34091C17A3D0}"/>
    <cellStyle name="Normal 6 3 2 4 2 2 3" xfId="10873" xr:uid="{F017F42E-D758-4318-BFF3-22758C66AEAE}"/>
    <cellStyle name="Normal 6 3 2 4 2 3" xfId="9992" xr:uid="{44160C24-CB8C-4A91-ABBB-DB663A5BE4A2}"/>
    <cellStyle name="Normal 6 3 2 4 2 3 2" xfId="18866" xr:uid="{B4254078-7910-46BE-949D-449354307D64}"/>
    <cellStyle name="Normal 6 3 2 4 2 4" xfId="10657" xr:uid="{2978B57E-AEE4-4AE6-BD84-9EBDDE6A2135}"/>
    <cellStyle name="Normal 6 3 2 4 3" xfId="1330" xr:uid="{18769271-D362-4F74-8F34-8C9B72504091}"/>
    <cellStyle name="Normal 6 3 2 4 3 2" xfId="1546" xr:uid="{6B6329BA-2D92-4D6A-AA59-CEB47B984C9F}"/>
    <cellStyle name="Normal 6 3 2 4 3 2 2" xfId="10280" xr:uid="{B3F2C66C-131E-41E0-8BAD-83C7C6D36560}"/>
    <cellStyle name="Normal 6 3 2 4 3 2 2 2" xfId="19154" xr:uid="{51E4D011-CE55-4A9D-90C7-6FA3E4FCF652}"/>
    <cellStyle name="Normal 6 3 2 4 3 2 3" xfId="10945" xr:uid="{4529EC85-FEE8-4673-B577-0C9D5C8F8034}"/>
    <cellStyle name="Normal 6 3 2 4 3 3" xfId="10064" xr:uid="{F9278A3F-E430-45EA-ACA2-B30E4B20D75C}"/>
    <cellStyle name="Normal 6 3 2 4 3 3 2" xfId="18938" xr:uid="{7E0AD6A6-1CB5-496F-BB0F-C3CF8F27B004}"/>
    <cellStyle name="Normal 6 3 2 4 3 4" xfId="10729" xr:uid="{B225EBEF-3EDC-4EAD-B955-3E04A85C2A7A}"/>
    <cellStyle name="Normal 6 3 2 4 4" xfId="1402" xr:uid="{6D8D7E44-2B2D-4E6B-A1B2-5E9B939DF2A7}"/>
    <cellStyle name="Normal 6 3 2 4 4 2" xfId="10136" xr:uid="{A6990B08-480B-4CAA-AC5C-07449319FE3A}"/>
    <cellStyle name="Normal 6 3 2 4 4 2 2" xfId="19010" xr:uid="{C560D089-E48B-46B2-AE66-C1CCD54F4AB4}"/>
    <cellStyle name="Normal 6 3 2 4 4 3" xfId="10801" xr:uid="{28A2A611-0712-40C9-8173-5B585166C88D}"/>
    <cellStyle name="Normal 6 3 2 4 5" xfId="9920" xr:uid="{C1C14D89-C9EB-4ABE-A87E-3079F9E2CB7A}"/>
    <cellStyle name="Normal 6 3 2 4 5 2" xfId="18794" xr:uid="{E77F5103-E548-42E8-A459-2E80F218201B}"/>
    <cellStyle name="Normal 6 3 2 4 6" xfId="10585" xr:uid="{54E861D3-DDB4-495D-AEB6-16511975899E}"/>
    <cellStyle name="Normal 6 3 2 5" xfId="1194" xr:uid="{43C84DBE-45B4-45CC-BA06-CC4857BF03C7}"/>
    <cellStyle name="Normal 6 3 2 5 2" xfId="1421" xr:uid="{712E546C-6FE1-404B-AE4A-1FE0B7EF97DD}"/>
    <cellStyle name="Normal 6 3 2 5 2 2" xfId="10155" xr:uid="{3A6B44E0-A3DC-49DA-AA29-01FD589168A5}"/>
    <cellStyle name="Normal 6 3 2 5 2 2 2" xfId="19029" xr:uid="{0F9F33F1-4A83-4637-A173-DA3F8E1C477A}"/>
    <cellStyle name="Normal 6 3 2 5 2 3" xfId="10820" xr:uid="{B6CD78FD-9707-4F12-A6C3-7EBAA212FFD7}"/>
    <cellStyle name="Normal 6 3 2 5 3" xfId="9939" xr:uid="{E213A06C-51DD-49DB-9692-248E65DC1DEF}"/>
    <cellStyle name="Normal 6 3 2 5 3 2" xfId="18813" xr:uid="{0A3A013B-8773-4872-8D0B-6342F77DF66D}"/>
    <cellStyle name="Normal 6 3 2 5 4" xfId="10604" xr:uid="{EFD17AAB-41BD-47AE-B1DA-5952FE5DBEC7}"/>
    <cellStyle name="Normal 6 3 2 6" xfId="1277" xr:uid="{09D0D210-4613-4915-BF3E-7A0A84A119F8}"/>
    <cellStyle name="Normal 6 3 2 6 2" xfId="1493" xr:uid="{8E357550-1407-4F1F-B8B0-C04AC09ED638}"/>
    <cellStyle name="Normal 6 3 2 6 2 2" xfId="10227" xr:uid="{23401D4C-AF06-4538-9DEF-F304475959EF}"/>
    <cellStyle name="Normal 6 3 2 6 2 2 2" xfId="19101" xr:uid="{81689293-7E7D-4D0C-A861-138CADEBFB06}"/>
    <cellStyle name="Normal 6 3 2 6 2 3" xfId="10892" xr:uid="{8F0BE6C7-C33E-4153-9BE5-77D6B292A0B4}"/>
    <cellStyle name="Normal 6 3 2 6 3" xfId="10011" xr:uid="{3A7C0ED1-29D5-45CD-9EE3-331E63DEBE04}"/>
    <cellStyle name="Normal 6 3 2 6 3 2" xfId="18885" xr:uid="{65E76620-12EB-4697-BE36-AFAC9F8987FB}"/>
    <cellStyle name="Normal 6 3 2 6 4" xfId="10676" xr:uid="{44920DE3-CC39-4C53-9707-BD39B3C58F13}"/>
    <cellStyle name="Normal 6 3 2 7" xfId="1349" xr:uid="{E0CC83FA-1359-4D2D-8A69-A763F1632DDE}"/>
    <cellStyle name="Normal 6 3 2 7 2" xfId="10083" xr:uid="{28C0AC62-B8A1-49D8-98CE-DD6750CD92F7}"/>
    <cellStyle name="Normal 6 3 2 7 2 2" xfId="18957" xr:uid="{E25674F1-A828-4EDD-B3B7-8E7F9BEE074A}"/>
    <cellStyle name="Normal 6 3 2 7 3" xfId="10748" xr:uid="{12C70145-64AF-4423-92F7-D4838C97B111}"/>
    <cellStyle name="Normal 6 3 2 8" xfId="9865" xr:uid="{BD671C22-E824-4BBA-BD18-ABE6D7A819E4}"/>
    <cellStyle name="Normal 6 3 2 8 2" xfId="18741" xr:uid="{41E4BE36-0518-4AAA-AF10-351CF417230B}"/>
    <cellStyle name="Normal 6 3 2 9" xfId="10531" xr:uid="{B37B58E3-B274-40EC-9143-A42E093C296A}"/>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2 2 2" xfId="19041" xr:uid="{43BFF8B6-C3C0-4C5E-A00B-480C18679BC5}"/>
    <cellStyle name="Normal 6 3 3 2 2 3" xfId="10832" xr:uid="{F2FC1754-2BDC-4412-8DA9-C1D367A43658}"/>
    <cellStyle name="Normal 6 3 3 2 3" xfId="9951" xr:uid="{5A9D1D03-34DC-4F92-BA9B-2754D2150BB3}"/>
    <cellStyle name="Normal 6 3 3 2 3 2" xfId="18825" xr:uid="{D3EA3C7F-B8B0-426A-AE63-780C4CD74B08}"/>
    <cellStyle name="Normal 6 3 3 2 4" xfId="10616" xr:uid="{0EDA2482-35E6-43B0-808B-DFE4C0286C87}"/>
    <cellStyle name="Normal 6 3 3 3" xfId="1289" xr:uid="{5C30F715-EF01-4D84-BAA7-BC97A737A9B4}"/>
    <cellStyle name="Normal 6 3 3 3 2" xfId="1505" xr:uid="{32A3633E-7D12-4E0E-9941-BFE4BCD0B574}"/>
    <cellStyle name="Normal 6 3 3 3 2 2" xfId="10239" xr:uid="{81407638-A4AB-4AF6-91FF-042A24F46817}"/>
    <cellStyle name="Normal 6 3 3 3 2 2 2" xfId="19113" xr:uid="{9B28CFBC-A09E-44B9-8ADF-2C44D3398EC1}"/>
    <cellStyle name="Normal 6 3 3 3 2 3" xfId="10904" xr:uid="{49E7D4CE-94C9-479D-8546-206492A43F6B}"/>
    <cellStyle name="Normal 6 3 3 3 3" xfId="10023" xr:uid="{247EB36A-D8A4-446F-BE28-C19FAB1A79D3}"/>
    <cellStyle name="Normal 6 3 3 3 3 2" xfId="18897" xr:uid="{FF9F8E0B-2FFD-45D3-8826-E0AF0C54E419}"/>
    <cellStyle name="Normal 6 3 3 3 4" xfId="10688" xr:uid="{D3E4BCBC-692E-436C-99B4-5774B0B98116}"/>
    <cellStyle name="Normal 6 3 3 4" xfId="1361" xr:uid="{EAC5B592-2744-4456-9C4F-6B256BE0F89C}"/>
    <cellStyle name="Normal 6 3 3 4 2" xfId="10095" xr:uid="{D53A68B2-BEA3-4DC4-8695-BF2729E477FE}"/>
    <cellStyle name="Normal 6 3 3 4 2 2" xfId="18969" xr:uid="{6943B2E5-9B93-4BE7-97AE-E379C7604B4E}"/>
    <cellStyle name="Normal 6 3 3 4 3" xfId="10760" xr:uid="{E5B1076D-B6A1-4F1A-8315-30366612D12E}"/>
    <cellStyle name="Normal 6 3 3 5" xfId="9879" xr:uid="{52ABF9AF-08CB-4D51-A36A-8ABAFA339052}"/>
    <cellStyle name="Normal 6 3 3 5 2" xfId="18753" xr:uid="{C057633E-E9F8-42B4-B575-D91A14CBE3EE}"/>
    <cellStyle name="Normal 6 3 3 6" xfId="10544" xr:uid="{B5358F7F-5B1D-465F-ACE0-074287457F89}"/>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2 2 2" xfId="19054" xr:uid="{50F440A7-58FA-40B9-B4FD-D127B4239E4B}"/>
    <cellStyle name="Normal 6 3 4 2 2 3" xfId="10845" xr:uid="{DCCB1A60-9356-44FB-8405-3A6B84FB9B4A}"/>
    <cellStyle name="Normal 6 3 4 2 3" xfId="9964" xr:uid="{F17B3BA4-FCD9-4A5A-B674-81615AE6A04B}"/>
    <cellStyle name="Normal 6 3 4 2 3 2" xfId="18838" xr:uid="{31C7E57F-97FE-471A-A03F-D7E182D7D8C8}"/>
    <cellStyle name="Normal 6 3 4 2 4" xfId="10629" xr:uid="{9F296691-5CCD-41FA-A7C7-BDF682E89AF4}"/>
    <cellStyle name="Normal 6 3 4 3" xfId="1302" xr:uid="{F4B7AC55-361A-449B-9137-5566128A3FF8}"/>
    <cellStyle name="Normal 6 3 4 3 2" xfId="1518" xr:uid="{BB7D97F0-F07B-4DCC-851C-1FF912E0F108}"/>
    <cellStyle name="Normal 6 3 4 3 2 2" xfId="10252" xr:uid="{D6787BDB-B950-4F43-A4D6-6E3DCAC8104B}"/>
    <cellStyle name="Normal 6 3 4 3 2 2 2" xfId="19126" xr:uid="{5F60930E-CD42-494E-9E75-FE3D591EE721}"/>
    <cellStyle name="Normal 6 3 4 3 2 3" xfId="10917" xr:uid="{ED711738-6843-478B-B384-A070396DC07B}"/>
    <cellStyle name="Normal 6 3 4 3 3" xfId="10036" xr:uid="{1BAFAEB9-5F99-4FF6-BECF-1650FC454C96}"/>
    <cellStyle name="Normal 6 3 4 3 3 2" xfId="18910" xr:uid="{E324B968-6B1E-4D40-92B2-6FA811232D8C}"/>
    <cellStyle name="Normal 6 3 4 3 4" xfId="10701" xr:uid="{0653B9D2-4A49-4584-97D7-6167E2E8B4F4}"/>
    <cellStyle name="Normal 6 3 4 4" xfId="1374" xr:uid="{D6314690-3E5A-4864-B2A7-A68CA162E643}"/>
    <cellStyle name="Normal 6 3 4 4 2" xfId="10108" xr:uid="{0C545F5B-162B-4E65-946B-865158D4DC41}"/>
    <cellStyle name="Normal 6 3 4 4 2 2" xfId="18982" xr:uid="{589FB960-6F9A-4891-8F3C-0B4C0D958C08}"/>
    <cellStyle name="Normal 6 3 4 4 3" xfId="10773" xr:uid="{6CF388CF-813B-4712-87E0-99FB2F00ED0B}"/>
    <cellStyle name="Normal 6 3 4 5" xfId="9892" xr:uid="{B8FC560D-DE97-4956-8A0C-EB4A1FD9AFDD}"/>
    <cellStyle name="Normal 6 3 4 5 2" xfId="18766" xr:uid="{1E0CFAB8-87FD-44A8-A9AA-E52E5E335A16}"/>
    <cellStyle name="Normal 6 3 4 6" xfId="10557" xr:uid="{CA7CC442-098F-4444-8C0D-64AA0D6351DA}"/>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2 2 2" xfId="19081" xr:uid="{E35641B4-F456-4AF2-A438-E394A3B90B8D}"/>
    <cellStyle name="Normal 6 3 5 2 2 3" xfId="10872" xr:uid="{420B3437-A2F6-4D78-861F-312004049059}"/>
    <cellStyle name="Normal 6 3 5 2 3" xfId="9991" xr:uid="{82AF224D-4BF9-4EA0-948E-E0ECA37626B7}"/>
    <cellStyle name="Normal 6 3 5 2 3 2" xfId="18865" xr:uid="{A69B0E6E-3EDB-4793-8A40-AB257672F24B}"/>
    <cellStyle name="Normal 6 3 5 2 4" xfId="10656" xr:uid="{B41CEB61-498D-4E9D-9CDB-B4228A17C68A}"/>
    <cellStyle name="Normal 6 3 5 3" xfId="1329" xr:uid="{69C09587-A0E3-4760-AC60-9C29A6B6BF40}"/>
    <cellStyle name="Normal 6 3 5 3 2" xfId="1545" xr:uid="{17405808-E5F6-4777-BD6C-C4A608A9FDD5}"/>
    <cellStyle name="Normal 6 3 5 3 2 2" xfId="10279" xr:uid="{8FE12FC3-0628-4C8B-ADF2-9EEA78DD79EF}"/>
    <cellStyle name="Normal 6 3 5 3 2 2 2" xfId="19153" xr:uid="{6F973378-50B6-4DA5-89C1-FFDFEED94588}"/>
    <cellStyle name="Normal 6 3 5 3 2 3" xfId="10944" xr:uid="{44F2EC8A-F5E9-4BD5-B9D9-0E0A48773AA7}"/>
    <cellStyle name="Normal 6 3 5 3 3" xfId="10063" xr:uid="{E10DC367-1BCA-4DB8-BAD5-142C31CE8742}"/>
    <cellStyle name="Normal 6 3 5 3 3 2" xfId="18937" xr:uid="{065A03DF-AD4D-46C7-B7C1-8419ADF188AD}"/>
    <cellStyle name="Normal 6 3 5 3 4" xfId="10728" xr:uid="{19F4222A-8ED2-4ACC-B917-EFFBDF251D17}"/>
    <cellStyle name="Normal 6 3 5 4" xfId="1401" xr:uid="{32BA571C-1C59-4D8F-A2B8-B36389091658}"/>
    <cellStyle name="Normal 6 3 5 4 2" xfId="10135" xr:uid="{C74ABFB6-86D7-46DB-80BA-0C32FDB04B26}"/>
    <cellStyle name="Normal 6 3 5 4 2 2" xfId="19009" xr:uid="{C8124EE3-C247-4FA7-9BE9-83D19C55942D}"/>
    <cellStyle name="Normal 6 3 5 4 3" xfId="10800" xr:uid="{5A68BA81-D603-4263-B86F-C58073974D64}"/>
    <cellStyle name="Normal 6 3 5 5" xfId="9919" xr:uid="{5D694159-EEE7-41DB-BF2C-38B8122912BF}"/>
    <cellStyle name="Normal 6 3 5 5 2" xfId="18793" xr:uid="{EC46DF87-28D8-44E1-985B-3CF89BF0CFEE}"/>
    <cellStyle name="Normal 6 3 5 6" xfId="10584" xr:uid="{D1D2B7F7-6AE8-4B62-B2F6-F2288489858B}"/>
    <cellStyle name="Normal 6 3 6" xfId="1193" xr:uid="{94DCC6ED-A82E-46E6-8CF2-054EFCDF8FC3}"/>
    <cellStyle name="Normal 6 3 6 2" xfId="1420" xr:uid="{9AD47250-609A-44B5-B4B6-52E95E42C319}"/>
    <cellStyle name="Normal 6 3 6 2 2" xfId="10154" xr:uid="{4DACF1B3-B782-4C31-9892-EEDCDA921B8B}"/>
    <cellStyle name="Normal 6 3 6 2 2 2" xfId="19028" xr:uid="{931BB5AF-8A90-40CE-A44C-640A47FFEAC9}"/>
    <cellStyle name="Normal 6 3 6 2 3" xfId="10819" xr:uid="{344B60D5-76EB-437F-BBF9-3026AC7078D2}"/>
    <cellStyle name="Normal 6 3 6 3" xfId="9938" xr:uid="{44319A63-3FA7-472F-B863-00B332D32525}"/>
    <cellStyle name="Normal 6 3 6 3 2" xfId="18812" xr:uid="{D099E467-BA81-403B-8033-8E1F4B48F755}"/>
    <cellStyle name="Normal 6 3 6 4" xfId="10603" xr:uid="{908508E6-6240-4612-97A2-B2409F9310AE}"/>
    <cellStyle name="Normal 6 3 7" xfId="1276" xr:uid="{F71B3052-632A-4986-A7FA-45FD63D2578A}"/>
    <cellStyle name="Normal 6 3 7 2" xfId="1492" xr:uid="{236DD9A1-FC4B-46D7-AF7E-01F33B2E27A4}"/>
    <cellStyle name="Normal 6 3 7 2 2" xfId="10226" xr:uid="{5D39EA5A-67BB-45C5-A5F5-C2E298F989F6}"/>
    <cellStyle name="Normal 6 3 7 2 2 2" xfId="19100" xr:uid="{7EBFF3AE-7284-4DF9-AB61-7F895308DB2B}"/>
    <cellStyle name="Normal 6 3 7 2 3" xfId="10891" xr:uid="{D29DF06C-7885-4817-ACA6-5D6D7A138EA5}"/>
    <cellStyle name="Normal 6 3 7 3" xfId="10010" xr:uid="{3F80504E-52A6-48BB-BABC-91ABB2BCB585}"/>
    <cellStyle name="Normal 6 3 7 3 2" xfId="18884" xr:uid="{6E0AE56D-3C48-4062-B153-B99A0888F4D0}"/>
    <cellStyle name="Normal 6 3 7 4" xfId="10675" xr:uid="{649265C9-1B1C-4568-A4A6-9A45A79E8624}"/>
    <cellStyle name="Normal 6 3 8" xfId="1348" xr:uid="{8DD6917D-C21F-46B5-853C-60B8DBBEFC06}"/>
    <cellStyle name="Normal 6 3 8 2" xfId="10082" xr:uid="{9CC44438-4F22-4882-8561-EF4856079A57}"/>
    <cellStyle name="Normal 6 3 8 2 2" xfId="18956" xr:uid="{1D232735-BED8-46F3-A10B-9006B734F260}"/>
    <cellStyle name="Normal 6 3 8 3" xfId="10747" xr:uid="{E8DF242E-46E6-4D86-A5F1-08C6C77D902C}"/>
    <cellStyle name="Normal 6 3 9" xfId="9864" xr:uid="{8381A0F3-1993-474B-8A5E-BF201A0BDA57}"/>
    <cellStyle name="Normal 6 3 9 2" xfId="18740" xr:uid="{B482B227-3E3A-4A1C-89B7-136634A2F4A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2 2 2" xfId="19043" xr:uid="{BFFF828C-2607-44A4-9E9D-F8479907D116}"/>
    <cellStyle name="Normal 6 4 2 2 2 3" xfId="10834" xr:uid="{7094973B-E344-4699-9395-D566B6445101}"/>
    <cellStyle name="Normal 6 4 2 2 3" xfId="9953" xr:uid="{AEB2744D-A4D6-4B0D-8644-EB54C085240D}"/>
    <cellStyle name="Normal 6 4 2 2 3 2" xfId="18827" xr:uid="{2CB91247-F2F3-4773-B047-C01CA302421F}"/>
    <cellStyle name="Normal 6 4 2 2 4" xfId="10618" xr:uid="{EC8CDB91-57AC-4903-A2AA-73A6BB8EAE07}"/>
    <cellStyle name="Normal 6 4 2 3" xfId="1291" xr:uid="{2A6344D4-7496-4E69-AD1F-5542616F1535}"/>
    <cellStyle name="Normal 6 4 2 3 2" xfId="1507" xr:uid="{B4643747-A332-4D0F-9848-149B87D5D683}"/>
    <cellStyle name="Normal 6 4 2 3 2 2" xfId="10241" xr:uid="{C62D0BE9-7260-40CA-A27E-1657CFBF20E3}"/>
    <cellStyle name="Normal 6 4 2 3 2 2 2" xfId="19115" xr:uid="{FBB447B4-D8F8-4AF0-AD62-19CD6FAE2FC0}"/>
    <cellStyle name="Normal 6 4 2 3 2 3" xfId="10906" xr:uid="{54331E8F-1CFD-44B3-9512-0298DE4C4261}"/>
    <cellStyle name="Normal 6 4 2 3 3" xfId="10025" xr:uid="{4E11196B-9A32-4E0A-BB9B-F2423710B6C3}"/>
    <cellStyle name="Normal 6 4 2 3 3 2" xfId="18899" xr:uid="{811A6095-C259-4E56-B450-44A4E0E46407}"/>
    <cellStyle name="Normal 6 4 2 3 4" xfId="10690" xr:uid="{FC7784BF-300B-42B7-8C39-2F8A332C537E}"/>
    <cellStyle name="Normal 6 4 2 4" xfId="1363" xr:uid="{2019B3FD-6801-4B7B-8A72-88C7B6F4CAAA}"/>
    <cellStyle name="Normal 6 4 2 4 2" xfId="10097" xr:uid="{09F579F0-A729-4F93-A5A4-6374271181C8}"/>
    <cellStyle name="Normal 6 4 2 4 2 2" xfId="18971" xr:uid="{BB2C9888-7D0F-482C-8D04-742A9CD89D03}"/>
    <cellStyle name="Normal 6 4 2 4 3" xfId="10762" xr:uid="{490F41AD-5E81-4E12-A393-1AEEDC5FD48E}"/>
    <cellStyle name="Normal 6 4 2 5" xfId="9881" xr:uid="{F59AFBFF-7241-43DD-8AA8-7C99C926AA58}"/>
    <cellStyle name="Normal 6 4 2 5 2" xfId="18755" xr:uid="{BC025478-FD8F-4EC8-BC2F-F1F463488C38}"/>
    <cellStyle name="Normal 6 4 2 6" xfId="10546" xr:uid="{05B671D0-C417-42E0-A6B2-3A4B3993AABF}"/>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2 2 2" xfId="19056" xr:uid="{484A80A5-B6B0-4EEF-8CD4-0C08803DC2F8}"/>
    <cellStyle name="Normal 6 4 3 2 2 3" xfId="10847" xr:uid="{926E3D2A-2ECB-44C3-AF11-4C28A99FFEB3}"/>
    <cellStyle name="Normal 6 4 3 2 3" xfId="9966" xr:uid="{AF8DD577-260F-4A69-9C4B-66A180928B02}"/>
    <cellStyle name="Normal 6 4 3 2 3 2" xfId="18840" xr:uid="{DB777F9C-0446-4CAD-A31D-0E001D326E0B}"/>
    <cellStyle name="Normal 6 4 3 2 4" xfId="10631" xr:uid="{FB3BE553-2536-4D1D-A9FD-C8A42577B790}"/>
    <cellStyle name="Normal 6 4 3 3" xfId="1304" xr:uid="{93228F2D-A51F-4520-91B3-6BE203CEB2FC}"/>
    <cellStyle name="Normal 6 4 3 3 2" xfId="1520" xr:uid="{9F5A2C08-C5FC-4F1E-A79C-CEF7E6C6460A}"/>
    <cellStyle name="Normal 6 4 3 3 2 2" xfId="10254" xr:uid="{0015898A-54B4-4AC0-9E3F-9E9F349E9065}"/>
    <cellStyle name="Normal 6 4 3 3 2 2 2" xfId="19128" xr:uid="{91FE93EB-E467-44F3-8B08-FEBAB368441C}"/>
    <cellStyle name="Normal 6 4 3 3 2 3" xfId="10919" xr:uid="{D43F79B9-B3CD-4F06-AFA0-A2EC9CABC9BE}"/>
    <cellStyle name="Normal 6 4 3 3 3" xfId="10038" xr:uid="{EE5B117D-B69C-486C-879C-87CB677EB24A}"/>
    <cellStyle name="Normal 6 4 3 3 3 2" xfId="18912" xr:uid="{70BD5152-DC4F-47BF-B040-C98C2D7EF832}"/>
    <cellStyle name="Normal 6 4 3 3 4" xfId="10703" xr:uid="{EBB9D453-65A9-456D-B7CC-08E0C14BAD3A}"/>
    <cellStyle name="Normal 6 4 3 4" xfId="1376" xr:uid="{01B14B3A-39E7-4ED0-9799-CB36C0B88940}"/>
    <cellStyle name="Normal 6 4 3 4 2" xfId="10110" xr:uid="{EC5B61C0-7385-42EB-A5D3-D754D228CA8E}"/>
    <cellStyle name="Normal 6 4 3 4 2 2" xfId="18984" xr:uid="{A43F74A7-8225-47C1-806E-FCF425553306}"/>
    <cellStyle name="Normal 6 4 3 4 3" xfId="10775" xr:uid="{F1854B7E-087A-4362-A454-052E239FA758}"/>
    <cellStyle name="Normal 6 4 3 5" xfId="9894" xr:uid="{2EA300DD-4CBF-4472-88F3-5734778D9009}"/>
    <cellStyle name="Normal 6 4 3 5 2" xfId="18768" xr:uid="{A0717C70-43B9-4987-ABFF-A814ECBC1D53}"/>
    <cellStyle name="Normal 6 4 3 6" xfId="10559" xr:uid="{5D8AA79D-415A-445E-B843-06E41E5D43EB}"/>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2 2 2" xfId="19083" xr:uid="{54069DDE-8DB2-4480-AD6C-F3D42B998723}"/>
    <cellStyle name="Normal 6 4 4 2 2 3" xfId="10874" xr:uid="{61FDC4E1-A2D8-4D2A-B566-6E6BC3A71BA6}"/>
    <cellStyle name="Normal 6 4 4 2 3" xfId="9993" xr:uid="{019097BB-2F75-4F9C-87C7-4A6D73DF9510}"/>
    <cellStyle name="Normal 6 4 4 2 3 2" xfId="18867" xr:uid="{B547C72A-7319-4E9E-8A64-E9EA49251D83}"/>
    <cellStyle name="Normal 6 4 4 2 4" xfId="10658" xr:uid="{F25B6A06-8AC4-41E3-9DD6-95FD4C2610E5}"/>
    <cellStyle name="Normal 6 4 4 3" xfId="1331" xr:uid="{2E16D28E-8371-41DA-AB8E-DA303C47AA07}"/>
    <cellStyle name="Normal 6 4 4 3 2" xfId="1547" xr:uid="{A941141A-5B72-46B1-B0FB-BCFD5FE168AB}"/>
    <cellStyle name="Normal 6 4 4 3 2 2" xfId="10281" xr:uid="{AFD0FA9B-5111-403F-B26C-FF91789408DB}"/>
    <cellStyle name="Normal 6 4 4 3 2 2 2" xfId="19155" xr:uid="{5F82BC5B-9847-426F-A309-5E0A9267F64C}"/>
    <cellStyle name="Normal 6 4 4 3 2 3" xfId="10946" xr:uid="{C93BD3D8-1331-4CE6-84A9-475448952C1B}"/>
    <cellStyle name="Normal 6 4 4 3 3" xfId="10065" xr:uid="{00099889-C0A8-415D-AD68-288E49EB51E6}"/>
    <cellStyle name="Normal 6 4 4 3 3 2" xfId="18939" xr:uid="{A5E2D86B-AAF1-43F2-B5B2-DFE17A5144D7}"/>
    <cellStyle name="Normal 6 4 4 3 4" xfId="10730" xr:uid="{E6169ABE-D1CD-49D1-8192-EF77C6B238E5}"/>
    <cellStyle name="Normal 6 4 4 4" xfId="1403" xr:uid="{74CCE76F-2D71-49C9-90BF-7E4FF4D9C82A}"/>
    <cellStyle name="Normal 6 4 4 4 2" xfId="10137" xr:uid="{9AB7C215-48BC-4478-BFA7-DF731CBC5367}"/>
    <cellStyle name="Normal 6 4 4 4 2 2" xfId="19011" xr:uid="{1830650E-8BAB-4827-BAAB-C87960B5E252}"/>
    <cellStyle name="Normal 6 4 4 4 3" xfId="10802" xr:uid="{87D05D9C-5010-4247-BC4F-CF53AE9C58D0}"/>
    <cellStyle name="Normal 6 4 4 5" xfId="9921" xr:uid="{E37CA161-01D3-4E5F-BF14-2B5EAB548640}"/>
    <cellStyle name="Normal 6 4 4 5 2" xfId="18795" xr:uid="{77D22BCF-F2D0-4F90-98FA-A79222B20B21}"/>
    <cellStyle name="Normal 6 4 4 6" xfId="10586" xr:uid="{59E9728B-03B8-44F7-97CD-3C7CCBAE7FA6}"/>
    <cellStyle name="Normal 6 4 5" xfId="1195" xr:uid="{1F1CDBE6-6168-414C-B4FE-176D64FC78F9}"/>
    <cellStyle name="Normal 6 4 5 2" xfId="1422" xr:uid="{C4A10D22-C781-4E11-BC11-6714C6ACC221}"/>
    <cellStyle name="Normal 6 4 5 2 2" xfId="10156" xr:uid="{F1B84E89-8039-4F96-A53B-ADBE5BC27F0B}"/>
    <cellStyle name="Normal 6 4 5 2 2 2" xfId="19030" xr:uid="{1A08A5A8-E631-4B4D-86A8-9D0D897213FF}"/>
    <cellStyle name="Normal 6 4 5 2 3" xfId="10821" xr:uid="{BF64DF0C-C140-4B3D-953B-D52438261FFB}"/>
    <cellStyle name="Normal 6 4 5 3" xfId="9940" xr:uid="{5DA0DC83-E561-4623-9F17-8F13038FAC93}"/>
    <cellStyle name="Normal 6 4 5 3 2" xfId="18814" xr:uid="{258370D2-9BC5-4A30-A29A-CE308DECC81B}"/>
    <cellStyle name="Normal 6 4 5 4" xfId="10605" xr:uid="{356410AE-9C37-4C28-8659-A70ADD891DAB}"/>
    <cellStyle name="Normal 6 4 6" xfId="1278" xr:uid="{1BE92EB1-D1B5-4A3F-9B55-CC0E57CF308D}"/>
    <cellStyle name="Normal 6 4 6 2" xfId="1494" xr:uid="{7D781B18-1C3D-43F9-A23F-8AEBEB6C1041}"/>
    <cellStyle name="Normal 6 4 6 2 2" xfId="10228" xr:uid="{B76C3E28-D7CC-453A-9918-662D8C510827}"/>
    <cellStyle name="Normal 6 4 6 2 2 2" xfId="19102" xr:uid="{D9347BC5-F933-4E43-98E3-059360320A48}"/>
    <cellStyle name="Normal 6 4 6 2 3" xfId="10893" xr:uid="{A1A266E0-69D9-4CD8-89B6-BFFBE4ACF32B}"/>
    <cellStyle name="Normal 6 4 6 3" xfId="10012" xr:uid="{3D6EEEB5-35F8-4E2C-80CD-DD3EE0433FEC}"/>
    <cellStyle name="Normal 6 4 6 3 2" xfId="18886" xr:uid="{81514E3F-435B-4FC3-8ADA-1AC219C02F4A}"/>
    <cellStyle name="Normal 6 4 6 4" xfId="10677" xr:uid="{E4E3B2D7-D234-44A7-B059-500671967A47}"/>
    <cellStyle name="Normal 6 4 7" xfId="1350" xr:uid="{57696AD2-D871-4A59-8853-8AF74DC97980}"/>
    <cellStyle name="Normal 6 4 7 2" xfId="10084" xr:uid="{D96D60E1-EC6D-41EE-B4CD-C60028B22D1D}"/>
    <cellStyle name="Normal 6 4 7 2 2" xfId="18958" xr:uid="{5BC699A5-9EAE-4D90-AD6E-2BEAE5475FB0}"/>
    <cellStyle name="Normal 6 4 7 3" xfId="10749" xr:uid="{E18F7245-36D7-4377-9177-F49EAF1A8CE2}"/>
    <cellStyle name="Normal 6 4 8" xfId="9866" xr:uid="{4228B8B4-F263-4F16-922F-733A259DF387}"/>
    <cellStyle name="Normal 6 4 8 2" xfId="18742" xr:uid="{BF1AA83C-FA6F-4BBD-A0B7-15B840F0F189}"/>
    <cellStyle name="Normal 6 4 9" xfId="10532" xr:uid="{83B3EFE1-FDAE-440A-9BCA-5A43AB64FB16}"/>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2 2 2" xfId="19036" xr:uid="{D713A96D-DBD1-4A24-974E-81A4B4DA9A1A}"/>
    <cellStyle name="Normal 6 5 2 2 3" xfId="10827" xr:uid="{F03929B2-F53E-4D5A-9064-A118A9471FD3}"/>
    <cellStyle name="Normal 6 5 2 3" xfId="9946" xr:uid="{668CC7EB-AAC1-4F1E-82A4-DEA3E0483555}"/>
    <cellStyle name="Normal 6 5 2 3 2" xfId="18820" xr:uid="{6186EB42-49FD-4836-AB41-6B0552C05ED0}"/>
    <cellStyle name="Normal 6 5 2 4" xfId="10611" xr:uid="{8301BEC5-6BC4-43F5-9A26-4DE799DBC654}"/>
    <cellStyle name="Normal 6 5 3" xfId="1284" xr:uid="{E78AEA43-6EAE-4A78-8495-E1078213F57C}"/>
    <cellStyle name="Normal 6 5 3 2" xfId="1500" xr:uid="{B704AA7E-1537-45CB-8ACF-DBC1718C1137}"/>
    <cellStyle name="Normal 6 5 3 2 2" xfId="10234" xr:uid="{7AC5BBB4-99DB-4397-B07A-FE582933E28A}"/>
    <cellStyle name="Normal 6 5 3 2 2 2" xfId="19108" xr:uid="{4B0DF4F9-4F1A-4C98-8600-40C306460BC9}"/>
    <cellStyle name="Normal 6 5 3 2 3" xfId="10899" xr:uid="{A47D6D12-20F6-464F-B9D3-435B0EC4E705}"/>
    <cellStyle name="Normal 6 5 3 3" xfId="10018" xr:uid="{17FD97CA-198A-4DE9-9A7A-B31750F0D414}"/>
    <cellStyle name="Normal 6 5 3 3 2" xfId="18892" xr:uid="{8328C63C-BF73-4980-8FC5-7BA27C3E3EFB}"/>
    <cellStyle name="Normal 6 5 3 4" xfId="10683" xr:uid="{A1BA2994-2209-4321-937F-2205834CE26D}"/>
    <cellStyle name="Normal 6 5 4" xfId="1356" xr:uid="{5019F568-B35D-4633-955A-FEFCEE157A9B}"/>
    <cellStyle name="Normal 6 5 4 2" xfId="10090" xr:uid="{67A22A93-2474-4B81-8F3D-463AEF5AA244}"/>
    <cellStyle name="Normal 6 5 4 2 2" xfId="18964" xr:uid="{D66CBB72-3A10-46C2-8BCA-899D2F4F8476}"/>
    <cellStyle name="Normal 6 5 4 3" xfId="10755" xr:uid="{0302C712-515D-4E50-93F1-1FE2DA1F3648}"/>
    <cellStyle name="Normal 6 5 5" xfId="9874" xr:uid="{1A20DFFF-FF68-41DC-936A-7F20C0955FF3}"/>
    <cellStyle name="Normal 6 5 5 2" xfId="18748" xr:uid="{271E72DF-723F-4D16-BF8B-F9541F49EEB5}"/>
    <cellStyle name="Normal 6 5 6" xfId="10539" xr:uid="{6B1791A4-8FE7-4EDA-B0D1-CA1D327937D6}"/>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2 2 2" xfId="19049" xr:uid="{C91A7B2C-C46A-4EDD-8A58-20618B6CF328}"/>
    <cellStyle name="Normal 6 6 2 2 3" xfId="10840" xr:uid="{670F2480-611A-4D0F-ADC0-06C3DC88D49D}"/>
    <cellStyle name="Normal 6 6 2 3" xfId="9959" xr:uid="{08773E7E-949A-419A-8704-C9E649140C42}"/>
    <cellStyle name="Normal 6 6 2 3 2" xfId="18833" xr:uid="{5BFFAFDD-9FB2-4B5B-A324-BA759B602F49}"/>
    <cellStyle name="Normal 6 6 2 4" xfId="10624" xr:uid="{E8DE2C43-AAED-47CF-A988-2044B956929D}"/>
    <cellStyle name="Normal 6 6 3" xfId="1297" xr:uid="{C0812027-FAB0-494F-AD67-F27E89604CEC}"/>
    <cellStyle name="Normal 6 6 3 2" xfId="1513" xr:uid="{26CB8E45-374F-415B-ABD6-E332E098BE18}"/>
    <cellStyle name="Normal 6 6 3 2 2" xfId="10247" xr:uid="{0C7E4F57-B5EC-4B2B-9546-399FD2513F4F}"/>
    <cellStyle name="Normal 6 6 3 2 2 2" xfId="19121" xr:uid="{0B120C8C-0BCA-426C-B932-C47256F8D94F}"/>
    <cellStyle name="Normal 6 6 3 2 3" xfId="10912" xr:uid="{F96F32F5-320D-4B08-8862-541617379126}"/>
    <cellStyle name="Normal 6 6 3 3" xfId="10031" xr:uid="{6E860E87-DC7D-4BA4-B603-A651668B5E46}"/>
    <cellStyle name="Normal 6 6 3 3 2" xfId="18905" xr:uid="{E2C844CB-D0C7-4C97-A1E0-596821AB855A}"/>
    <cellStyle name="Normal 6 6 3 4" xfId="10696" xr:uid="{33082A98-2BC3-4E49-8729-74B319AEC822}"/>
    <cellStyle name="Normal 6 6 4" xfId="1369" xr:uid="{32FA61AD-0E25-496C-844D-64365FBC3B34}"/>
    <cellStyle name="Normal 6 6 4 2" xfId="10103" xr:uid="{F61D6933-9855-45AE-89C4-B991DAE934FE}"/>
    <cellStyle name="Normal 6 6 4 2 2" xfId="18977" xr:uid="{68B96157-F736-4AE8-AC21-C312B81461EC}"/>
    <cellStyle name="Normal 6 6 4 3" xfId="10768" xr:uid="{0575B856-51F3-4985-9CA3-751D3042D6C1}"/>
    <cellStyle name="Normal 6 6 5" xfId="9887" xr:uid="{F1B59188-9B09-41CE-BC7F-AB27CF9E801A}"/>
    <cellStyle name="Normal 6 6 5 2" xfId="18761" xr:uid="{361CC70A-521F-4E4F-98E3-EF28221D3D18}"/>
    <cellStyle name="Normal 6 6 6" xfId="10552" xr:uid="{2271559F-8403-44E5-B28B-2601BCE46A6F}"/>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2 2 2" xfId="19076" xr:uid="{31FCE543-03AE-4A6C-86DD-93FD071B56C8}"/>
    <cellStyle name="Normal 6 8 2 2 3" xfId="10867" xr:uid="{536C27C2-7274-4F55-B004-668393402203}"/>
    <cellStyle name="Normal 6 8 2 3" xfId="9986" xr:uid="{2E4A5B7A-7FA9-4994-A720-5ECE5A81FE40}"/>
    <cellStyle name="Normal 6 8 2 3 2" xfId="18860" xr:uid="{EEA89CD5-BBAB-42AB-9273-822F98E1AD76}"/>
    <cellStyle name="Normal 6 8 2 4" xfId="10651" xr:uid="{81AB0D91-540F-4529-86F1-1017F7E706E3}"/>
    <cellStyle name="Normal 6 8 3" xfId="1324" xr:uid="{A0911433-0B9F-4AC4-8329-B8761F8EC6E3}"/>
    <cellStyle name="Normal 6 8 3 2" xfId="1540" xr:uid="{0B64C490-DD6E-428E-8BEF-043ACECF7D3E}"/>
    <cellStyle name="Normal 6 8 3 2 2" xfId="10274" xr:uid="{50F19C0C-23E1-4C45-B9E9-073144D8FA10}"/>
    <cellStyle name="Normal 6 8 3 2 2 2" xfId="19148" xr:uid="{18DE45B2-B807-4E40-A9BE-D0147B703E02}"/>
    <cellStyle name="Normal 6 8 3 2 3" xfId="10939" xr:uid="{3472458B-19E9-4ED1-B734-D8FBEAE0E7E2}"/>
    <cellStyle name="Normal 6 8 3 3" xfId="10058" xr:uid="{185F4B4F-54B2-4864-BDE0-6F21B818E087}"/>
    <cellStyle name="Normal 6 8 3 3 2" xfId="18932" xr:uid="{822A60BC-A938-49E8-BF72-1D05DE66A3C3}"/>
    <cellStyle name="Normal 6 8 3 4" xfId="10723" xr:uid="{41C03DA6-A47D-4EAD-8AF7-875D38BE0ACB}"/>
    <cellStyle name="Normal 6 8 4" xfId="1396" xr:uid="{492DA171-46DE-4660-8E6D-B686CE62ED07}"/>
    <cellStyle name="Normal 6 8 4 2" xfId="10130" xr:uid="{170E57AA-C3B9-46B2-8E19-A5D29A8DEC53}"/>
    <cellStyle name="Normal 6 8 4 2 2" xfId="19004" xr:uid="{9E184EC9-755C-4449-A1BE-4FB2A76AB3B5}"/>
    <cellStyle name="Normal 6 8 4 3" xfId="10795" xr:uid="{7F1215A5-343A-4D0D-8B81-D92910237396}"/>
    <cellStyle name="Normal 6 8 5" xfId="9914" xr:uid="{360F64B4-988A-4347-A4F5-59859D1965C6}"/>
    <cellStyle name="Normal 6 8 5 2" xfId="18788" xr:uid="{0B2BDE61-5609-4CCC-A059-A8FF41BA0029}"/>
    <cellStyle name="Normal 6 8 6" xfId="10579" xr:uid="{CF433614-3445-46F9-BE11-905B9E2A7EBC}"/>
    <cellStyle name="Normal 6 9" xfId="1188" xr:uid="{A2097ACE-91EB-4A87-AE36-A3F5F96DD650}"/>
    <cellStyle name="Normal 6 9 2" xfId="1415" xr:uid="{2BECA918-A23C-407B-99F9-87F80A82304A}"/>
    <cellStyle name="Normal 6 9 2 2" xfId="10149" xr:uid="{8AF885EF-F515-4CD2-9FFC-A486E27F4FD3}"/>
    <cellStyle name="Normal 6 9 2 2 2" xfId="19023" xr:uid="{99A955CC-BC9D-4E81-9078-2BAC3E855084}"/>
    <cellStyle name="Normal 6 9 2 3" xfId="10814" xr:uid="{1A27613C-EB3D-4EF4-BB5E-8038EA91AFC1}"/>
    <cellStyle name="Normal 6 9 3" xfId="9933" xr:uid="{8A925CC0-C932-4DD6-BD73-3F896E4C1132}"/>
    <cellStyle name="Normal 6 9 3 2" xfId="18807" xr:uid="{17C5246C-2C56-4222-9382-8E7F038506E2}"/>
    <cellStyle name="Normal 6 9 4" xfId="10598" xr:uid="{A93A7A8F-C462-40B1-91A3-A0D4504574E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2 2" xfId="18709" xr:uid="{1575846A-3886-4E7B-AC16-5F0B040B7266}"/>
    <cellStyle name="Normal 7 2 2 2 3" xfId="9608" xr:uid="{85772437-92CC-43ED-BB86-073845E87C08}"/>
    <cellStyle name="Normal 7 2 2 2 3 2" xfId="18710" xr:uid="{1F260315-684F-4AC3-ABCD-55513D2050A7}"/>
    <cellStyle name="Normal 7 2 2 2 4" xfId="18708" xr:uid="{9A7EB9D5-EC94-4CD5-BE1D-0C221C6E4C6E}"/>
    <cellStyle name="Normal 7 2 2 3" xfId="9609" xr:uid="{E43538AC-9469-4B15-BFF5-A4C033F2003E}"/>
    <cellStyle name="Normal 7 2 2 3 2" xfId="18711" xr:uid="{2409FCC8-7C06-4317-AE57-E39803C0C2EE}"/>
    <cellStyle name="Normal 7 2 2 4" xfId="9610" xr:uid="{0B12CB73-4B54-4656-8F52-629BD86593A6}"/>
    <cellStyle name="Normal 7 2 2 4 2" xfId="18712" xr:uid="{568DE883-99EF-4F75-9009-79816DC41074}"/>
    <cellStyle name="Normal 7 2 2 5" xfId="9611" xr:uid="{375FB347-4007-4E50-A4BD-69DB9A5816F4}"/>
    <cellStyle name="Normal 7 2 2 5 2" xfId="18713" xr:uid="{9C696651-8330-4629-A3F6-DF544A34A405}"/>
    <cellStyle name="Normal 7 2 2 6" xfId="18707" xr:uid="{847387D8-4045-4EDF-A12A-5827EA1707FD}"/>
    <cellStyle name="Normal 7 2 3" xfId="965" xr:uid="{C1FE8E38-B5DE-4E6B-BAE9-A84A3805DF11}"/>
    <cellStyle name="Normal 7 2 4" xfId="10512" xr:uid="{A39097F1-B083-41FB-92EB-C60557E1ADFF}"/>
    <cellStyle name="Normal 7 3" xfId="9612" xr:uid="{3531422A-107B-4585-A65A-CF45614869F0}"/>
    <cellStyle name="Normal 7 3 2" xfId="9613" xr:uid="{983EC928-EA70-4C7D-BF71-ADCF4A873DCE}"/>
    <cellStyle name="Normal 7 3 2 2" xfId="9614" xr:uid="{2CF06B43-613D-4271-99A0-E482A459BC9C}"/>
    <cellStyle name="Normal 7 3 2 2 2" xfId="18716" xr:uid="{CF39EDF3-AB3C-40BC-AFDE-174CA1427D06}"/>
    <cellStyle name="Normal 7 3 2 3" xfId="9615" xr:uid="{E6B755D3-783E-45E9-8579-87C159C3D2F4}"/>
    <cellStyle name="Normal 7 3 2 3 2" xfId="18717" xr:uid="{6FDEEE85-609D-4404-AF84-420643A8B794}"/>
    <cellStyle name="Normal 7 3 2 4" xfId="18715" xr:uid="{6F1B2D7B-B9DF-4BE8-9384-B84980929CFC}"/>
    <cellStyle name="Normal 7 3 3" xfId="9616" xr:uid="{0236F6F7-8130-468F-97AD-DC3824C16B4F}"/>
    <cellStyle name="Normal 7 3 3 2" xfId="18718" xr:uid="{25A408BD-6F11-4A2E-BDEB-98F700270BF8}"/>
    <cellStyle name="Normal 7 3 4" xfId="9617" xr:uid="{17A4C2AE-267D-489A-90CD-7BF8F1001448}"/>
    <cellStyle name="Normal 7 3 4 2" xfId="18719" xr:uid="{AE4A473C-6BD7-4084-B94B-9895DF55E6B5}"/>
    <cellStyle name="Normal 7 3 5" xfId="9618" xr:uid="{39DDDB63-6314-4EF9-B706-3EF4E1A19875}"/>
    <cellStyle name="Normal 7 3 5 2" xfId="18720" xr:uid="{C6D87B7C-F23A-4C4D-BAC8-58FE90894E88}"/>
    <cellStyle name="Normal 7 3 6" xfId="18714" xr:uid="{7A9B82AF-59CD-4CD5-AEE6-11E755A07C69}"/>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2 2 2" xfId="19084" xr:uid="{777CBBA2-5B22-4A07-8589-432DE465FF06}"/>
    <cellStyle name="Normal 8 13 2 2 3" xfId="10875" xr:uid="{0AA3D289-E8BB-4584-B57F-721EEC0BEF5D}"/>
    <cellStyle name="Normal 8 13 2 3" xfId="9994" xr:uid="{9CBC54AA-0204-4485-92A1-7CF11368A2E4}"/>
    <cellStyle name="Normal 8 13 2 3 2" xfId="18868" xr:uid="{1C6BF754-1F94-4A0A-BC39-0C744E1ED703}"/>
    <cellStyle name="Normal 8 13 2 4" xfId="10659" xr:uid="{2B3D4552-3130-4869-9800-3B55C8A7ED94}"/>
    <cellStyle name="Normal 8 13 3" xfId="1332" xr:uid="{F3EE1522-EEFB-4154-BBEE-EA6A0CD2DDFF}"/>
    <cellStyle name="Normal 8 13 3 2" xfId="1548" xr:uid="{D7A9DDEE-2338-4E9D-AFBE-868E3863246E}"/>
    <cellStyle name="Normal 8 13 3 2 2" xfId="10282" xr:uid="{1654BD9B-AF8B-47BE-84E9-453C046B7098}"/>
    <cellStyle name="Normal 8 13 3 2 2 2" xfId="19156" xr:uid="{14313A5D-CA7A-40D2-AA0D-D26952964C34}"/>
    <cellStyle name="Normal 8 13 3 2 3" xfId="10947" xr:uid="{882CD22A-6303-47B4-B59B-49E7C808C950}"/>
    <cellStyle name="Normal 8 13 3 3" xfId="10066" xr:uid="{9A5A4220-9E80-48D9-9793-0AE2938F611A}"/>
    <cellStyle name="Normal 8 13 3 3 2" xfId="18940" xr:uid="{109A2C94-E9FF-4F8B-9C85-0A8643704982}"/>
    <cellStyle name="Normal 8 13 3 4" xfId="10731" xr:uid="{329205E5-56F7-401F-AF7A-2F42FFB0FE04}"/>
    <cellStyle name="Normal 8 13 4" xfId="1404" xr:uid="{3408D9C4-BB3E-4A5D-8FDF-5FC7D6B62C9D}"/>
    <cellStyle name="Normal 8 13 4 2" xfId="10138" xr:uid="{CD7E5277-CEC0-42C6-998C-A8C9EE461F9E}"/>
    <cellStyle name="Normal 8 13 4 2 2" xfId="19012" xr:uid="{C2F21244-9CDE-4660-A51F-940CF88BC726}"/>
    <cellStyle name="Normal 8 13 4 3" xfId="10803" xr:uid="{603E05D1-98BB-4B21-ABBF-9C1CD44B0322}"/>
    <cellStyle name="Normal 8 13 5" xfId="9922" xr:uid="{1DC3E4D4-669C-4699-A4C2-B64393159103}"/>
    <cellStyle name="Normal 8 13 5 2" xfId="18796" xr:uid="{A3D8C08B-569F-47D3-AB85-DCEC6D6CD171}"/>
    <cellStyle name="Normal 8 13 6" xfId="10587" xr:uid="{2FAA6010-0EFC-49CD-A41E-B09B449A775E}"/>
    <cellStyle name="Normal 8 14" xfId="1196" xr:uid="{3BC066DF-CD02-493B-B1D0-925DABEB4DD8}"/>
    <cellStyle name="Normal 8 14 2" xfId="1423" xr:uid="{57754A7A-ABCB-4B90-849C-A3D7294EF54B}"/>
    <cellStyle name="Normal 8 14 2 2" xfId="10157" xr:uid="{02C80EF8-59DB-4079-B299-F1FDD76F4359}"/>
    <cellStyle name="Normal 8 14 2 2 2" xfId="19031" xr:uid="{02CC982E-EA17-4CD7-A5BC-DF2535F20DA4}"/>
    <cellStyle name="Normal 8 14 2 3" xfId="10822" xr:uid="{63295EC0-E35C-4F03-ACD3-91EFD2CCFC68}"/>
    <cellStyle name="Normal 8 14 3" xfId="9941" xr:uid="{DD18E50C-3531-4159-8843-D9A5D42138D9}"/>
    <cellStyle name="Normal 8 14 3 2" xfId="18815" xr:uid="{E6245388-656B-4ADA-943E-B2B3BE62DA76}"/>
    <cellStyle name="Normal 8 14 4" xfId="10606" xr:uid="{32E16F9F-C9E5-4141-8787-949569B8C0F2}"/>
    <cellStyle name="Normal 8 15" xfId="1279" xr:uid="{9C4FA680-E293-4F3B-AE34-7DCAE102FD5B}"/>
    <cellStyle name="Normal 8 15 2" xfId="1495" xr:uid="{543C761C-3F1B-463F-944B-298CC9F9D203}"/>
    <cellStyle name="Normal 8 15 2 2" xfId="10229" xr:uid="{A850DF0B-512C-46DB-85C3-CF5E922675D5}"/>
    <cellStyle name="Normal 8 15 2 2 2" xfId="19103" xr:uid="{22D7C79B-E29D-4983-8A95-633BFFD44602}"/>
    <cellStyle name="Normal 8 15 2 3" xfId="10894" xr:uid="{FDFFCD74-AF38-43C6-BD13-34347A6C03F6}"/>
    <cellStyle name="Normal 8 15 3" xfId="10013" xr:uid="{30DE746A-6A53-4914-9B61-766968BC72F2}"/>
    <cellStyle name="Normal 8 15 3 2" xfId="18887" xr:uid="{B08F20BD-5D0E-4234-A15F-8651B3C1D6E2}"/>
    <cellStyle name="Normal 8 15 4" xfId="10678" xr:uid="{6F9E424A-7717-4979-A655-E8456CEB2F1D}"/>
    <cellStyle name="Normal 8 16" xfId="1351" xr:uid="{78F34A5A-127B-451D-9644-9624D340ABB8}"/>
    <cellStyle name="Normal 8 16 2" xfId="10085" xr:uid="{50EA1388-CDC8-4259-B990-CCA6FB69E1D7}"/>
    <cellStyle name="Normal 8 16 2 2" xfId="18959" xr:uid="{49741781-2341-4F21-973E-837CD31FA3BA}"/>
    <cellStyle name="Normal 8 16 3" xfId="10750" xr:uid="{9EBF6111-AA11-4586-A926-B6A85C805689}"/>
    <cellStyle name="Normal 8 17" xfId="9867" xr:uid="{4F13793F-A31C-4C64-BA6E-AF6BFF3B9A73}"/>
    <cellStyle name="Normal 8 17 2" xfId="18743" xr:uid="{B8C31734-B725-44C1-90B7-B369025D7A8B}"/>
    <cellStyle name="Normal 8 18" xfId="744" xr:uid="{50A44A03-14F9-40EC-958A-3FE1862D667B}"/>
    <cellStyle name="Normal 8 18 2" xfId="10533" xr:uid="{F6B10DA8-8B38-4FD2-85B9-623449DE054C}"/>
    <cellStyle name="Normal 8 2" xfId="745" xr:uid="{EEC8B354-C061-44D9-9F91-CBDEAA6A3BCC}"/>
    <cellStyle name="Normal 8 2 10" xfId="1352" xr:uid="{98AC9FBD-BB16-4C78-B1D3-2900A1E76620}"/>
    <cellStyle name="Normal 8 2 10 2" xfId="10086" xr:uid="{7E9C180C-B107-4B95-9844-83E3EFF5A078}"/>
    <cellStyle name="Normal 8 2 10 2 2" xfId="18960" xr:uid="{A4456D88-61DA-4B6F-A7BA-D71AA2845096}"/>
    <cellStyle name="Normal 8 2 10 3" xfId="10751" xr:uid="{D3B36678-DC83-4C5F-B026-B0A2B25EDFBF}"/>
    <cellStyle name="Normal 8 2 11" xfId="9868" xr:uid="{FEDB07EC-5244-4A91-A703-7EEBE1E8EB59}"/>
    <cellStyle name="Normal 8 2 11 2" xfId="18744" xr:uid="{FF07ACC1-74DC-4030-B4A2-A344870A6E48}"/>
    <cellStyle name="Normal 8 2 12" xfId="10534" xr:uid="{F6818FF1-811E-4099-9A66-5EDEB82358FA}"/>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2 2 2" xfId="19045" xr:uid="{5FD7A091-9EDA-41D3-93A8-CBF66B10AEEF}"/>
    <cellStyle name="Normal 8 2 2 3 2 3" xfId="10836" xr:uid="{66D77D27-771B-48D3-8276-F4384A01DC0A}"/>
    <cellStyle name="Normal 8 2 2 3 3" xfId="9955" xr:uid="{A7913B03-2072-4632-AB20-4DC8BFDA3924}"/>
    <cellStyle name="Normal 8 2 2 3 3 2" xfId="18829" xr:uid="{1B9B1389-A30D-4C3B-849C-999A7071C84C}"/>
    <cellStyle name="Normal 8 2 2 3 4" xfId="10620" xr:uid="{9E4C3236-C2AC-4E04-86DB-7AE26DC6FC8D}"/>
    <cellStyle name="Normal 8 2 2 4" xfId="1293" xr:uid="{31238C1E-39EE-475A-ADDB-5B2949DE60B7}"/>
    <cellStyle name="Normal 8 2 2 4 2" xfId="1509" xr:uid="{EE28D341-158E-448E-B0DF-2DB511249969}"/>
    <cellStyle name="Normal 8 2 2 4 2 2" xfId="10243" xr:uid="{2EB3E3F9-211E-4DD2-9135-775CC6B8A03D}"/>
    <cellStyle name="Normal 8 2 2 4 2 2 2" xfId="19117" xr:uid="{21CE53AB-6A6D-4D84-99DD-8460AE2BD9C6}"/>
    <cellStyle name="Normal 8 2 2 4 2 3" xfId="10908" xr:uid="{80DCE711-5CE5-4C31-912F-D40C516EF6B4}"/>
    <cellStyle name="Normal 8 2 2 4 3" xfId="10027" xr:uid="{EA3F8956-4AF2-4E49-A9D5-2670C8354C6C}"/>
    <cellStyle name="Normal 8 2 2 4 3 2" xfId="18901" xr:uid="{B39CC739-6FA4-4D7E-AA25-E4C62F2C24D7}"/>
    <cellStyle name="Normal 8 2 2 4 4" xfId="10692" xr:uid="{56890432-F596-4CF0-87DE-486C9B14A72E}"/>
    <cellStyle name="Normal 8 2 2 5" xfId="1365" xr:uid="{DF8FCC53-4BFD-4583-BFE6-DED24795A994}"/>
    <cellStyle name="Normal 8 2 2 5 2" xfId="10099" xr:uid="{077D7FB5-6B16-453F-9A27-8777D4DCBE02}"/>
    <cellStyle name="Normal 8 2 2 5 2 2" xfId="18973" xr:uid="{2D4AA052-D084-446F-9DD0-B36B76A9101E}"/>
    <cellStyle name="Normal 8 2 2 5 3" xfId="10764" xr:uid="{CF5F7858-0DCE-463D-AFAA-EA6A1056FC4E}"/>
    <cellStyle name="Normal 8 2 2 6" xfId="9883" xr:uid="{64843F89-820D-4D9B-A203-3380F4891BF3}"/>
    <cellStyle name="Normal 8 2 2 6 2" xfId="18757" xr:uid="{3C531F14-DAC2-4B4C-91C7-C2F5AA321F23}"/>
    <cellStyle name="Normal 8 2 2 7" xfId="10548" xr:uid="{696678A2-F07D-4EA3-9C67-4888A4C8954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2 2 2" xfId="19058" xr:uid="{6482DEFD-8DA5-435E-9EE4-CA57A85F371E}"/>
    <cellStyle name="Normal 8 2 3 3 2 3" xfId="10849" xr:uid="{CDBB0C2B-AF54-4367-BFF6-5EE42F193669}"/>
    <cellStyle name="Normal 8 2 3 3 3" xfId="9968" xr:uid="{47C8CCC6-E8AC-45E4-BDC5-017B1EA3AB4D}"/>
    <cellStyle name="Normal 8 2 3 3 3 2" xfId="18842" xr:uid="{42BB1787-A913-4F0B-9D7A-31F292EA0E08}"/>
    <cellStyle name="Normal 8 2 3 3 4" xfId="10633" xr:uid="{49C61D0B-7B45-4C3B-AA55-0CA352935DBB}"/>
    <cellStyle name="Normal 8 2 3 4" xfId="1306" xr:uid="{1ADC19DF-6908-4CDC-86BB-A2F289B98FFB}"/>
    <cellStyle name="Normal 8 2 3 4 2" xfId="1522" xr:uid="{0C61B5C1-A9CD-42BB-879D-F1C9DEA089F1}"/>
    <cellStyle name="Normal 8 2 3 4 2 2" xfId="10256" xr:uid="{2CF4882B-605D-41E9-84FF-10276D02DDBE}"/>
    <cellStyle name="Normal 8 2 3 4 2 2 2" xfId="19130" xr:uid="{62460981-70BE-454E-A83C-21D170FB21CA}"/>
    <cellStyle name="Normal 8 2 3 4 2 3" xfId="10921" xr:uid="{A136E7EE-CB3C-4E7E-ABB9-7EEB37B62906}"/>
    <cellStyle name="Normal 8 2 3 4 3" xfId="10040" xr:uid="{2E8D7249-EAA2-4D64-AD6C-64CD0A87A53E}"/>
    <cellStyle name="Normal 8 2 3 4 3 2" xfId="18914" xr:uid="{44E0DEDE-8FF8-423E-BE3F-F63C2C86A17D}"/>
    <cellStyle name="Normal 8 2 3 4 4" xfId="10705" xr:uid="{18014E84-D0DA-4A9D-8037-6AFA4399E3AF}"/>
    <cellStyle name="Normal 8 2 3 5" xfId="1378" xr:uid="{5F18A15F-9909-466F-A531-1CCA26E0DF37}"/>
    <cellStyle name="Normal 8 2 3 5 2" xfId="10112" xr:uid="{7DEB18AD-3343-46DB-B18A-5B49E3CCC513}"/>
    <cellStyle name="Normal 8 2 3 5 2 2" xfId="18986" xr:uid="{E359B36F-9BA3-44F6-9700-61AF3F168C87}"/>
    <cellStyle name="Normal 8 2 3 5 3" xfId="10777" xr:uid="{A0216DAC-30C1-46D5-A728-E041BB02F699}"/>
    <cellStyle name="Normal 8 2 3 6" xfId="9896" xr:uid="{7A199583-94DE-44F7-AA4E-36D06E8C6067}"/>
    <cellStyle name="Normal 8 2 3 6 2" xfId="18770" xr:uid="{FA8419F9-CA2A-469C-BB15-F102F48C429B}"/>
    <cellStyle name="Normal 8 2 3 7" xfId="10561" xr:uid="{62D69AB3-000D-415B-9442-E6768BCEBEDE}"/>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2 2 2" xfId="19085" xr:uid="{6E31F91C-F0BA-495C-919B-EAD1CEA971AE}"/>
    <cellStyle name="Normal 8 2 7 2 2 3" xfId="10876" xr:uid="{013E3801-D770-461B-BBE3-2F86D96FA752}"/>
    <cellStyle name="Normal 8 2 7 2 3" xfId="9995" xr:uid="{50A5F187-0E0E-403F-8518-99BDD91EAFCE}"/>
    <cellStyle name="Normal 8 2 7 2 3 2" xfId="18869" xr:uid="{DCB93A49-6140-4F13-92A7-97BBE9B4D59A}"/>
    <cellStyle name="Normal 8 2 7 2 4" xfId="10660" xr:uid="{A39FEF7F-6A95-4583-99C9-898A753C506F}"/>
    <cellStyle name="Normal 8 2 7 3" xfId="1333" xr:uid="{B263B96C-6C60-45F7-A271-083976A3010F}"/>
    <cellStyle name="Normal 8 2 7 3 2" xfId="1549" xr:uid="{31B19CC9-885C-4D5D-A07A-E26D5867B8E4}"/>
    <cellStyle name="Normal 8 2 7 3 2 2" xfId="10283" xr:uid="{68D588BE-FD9D-4094-AB88-8AE015B07D1D}"/>
    <cellStyle name="Normal 8 2 7 3 2 2 2" xfId="19157" xr:uid="{A3393854-E2AE-4D41-9F87-22B02BA5D55A}"/>
    <cellStyle name="Normal 8 2 7 3 2 3" xfId="10948" xr:uid="{F77C3FD0-7E07-4824-ADC2-D48857B9A000}"/>
    <cellStyle name="Normal 8 2 7 3 3" xfId="10067" xr:uid="{4898537C-4E02-4563-A64B-7EA3C0C1F1DA}"/>
    <cellStyle name="Normal 8 2 7 3 3 2" xfId="18941" xr:uid="{2AB59463-F75E-4BC4-8CCC-D9604B11899F}"/>
    <cellStyle name="Normal 8 2 7 3 4" xfId="10732" xr:uid="{BBA52054-54B6-4498-85B9-DFDCA7C95C86}"/>
    <cellStyle name="Normal 8 2 7 4" xfId="1405" xr:uid="{5ED12E58-2C34-4F6A-83A5-7CD121007CDC}"/>
    <cellStyle name="Normal 8 2 7 4 2" xfId="10139" xr:uid="{B9A2DBAE-E6D5-4701-86CA-13785970BB51}"/>
    <cellStyle name="Normal 8 2 7 4 2 2" xfId="19013" xr:uid="{782C21A9-7DBC-4E6F-8ED0-606EDA3DB4F2}"/>
    <cellStyle name="Normal 8 2 7 4 3" xfId="10804" xr:uid="{0FC34876-32B8-41D4-AD22-CDD831736A86}"/>
    <cellStyle name="Normal 8 2 7 5" xfId="9923" xr:uid="{D059E61D-65D2-42C3-8CBC-3E70C4D2A2D4}"/>
    <cellStyle name="Normal 8 2 7 5 2" xfId="18797" xr:uid="{CE612A40-FF3C-4340-B3DB-945E4F35D4BC}"/>
    <cellStyle name="Normal 8 2 7 6" xfId="10588" xr:uid="{7940B2E3-1165-4E2B-8AA1-862D82256595}"/>
    <cellStyle name="Normal 8 2 8" xfId="1197" xr:uid="{6592C808-CC48-4BDD-97B2-6BF04A5CF9FE}"/>
    <cellStyle name="Normal 8 2 8 2" xfId="1424" xr:uid="{7A4619B6-56BF-400A-9345-9D89066B9973}"/>
    <cellStyle name="Normal 8 2 8 2 2" xfId="10158" xr:uid="{87BB3E5B-004C-45E8-8C4B-DF331049C2BF}"/>
    <cellStyle name="Normal 8 2 8 2 2 2" xfId="19032" xr:uid="{558941DF-ECA9-4AED-BFFB-302F97CFCBE4}"/>
    <cellStyle name="Normal 8 2 8 2 3" xfId="10823" xr:uid="{00E73914-8BEB-408F-8B8F-395007319EDE}"/>
    <cellStyle name="Normal 8 2 8 3" xfId="9942" xr:uid="{8AF4AD56-7867-4635-9D59-A13A06A572E9}"/>
    <cellStyle name="Normal 8 2 8 3 2" xfId="18816" xr:uid="{5983AC2F-1720-4694-B426-912C138716A8}"/>
    <cellStyle name="Normal 8 2 8 4" xfId="10607" xr:uid="{7B5ECAFD-0EB9-437A-BD74-326CDF771956}"/>
    <cellStyle name="Normal 8 2 9" xfId="1280" xr:uid="{0765F076-9802-4FD5-B833-024E36902558}"/>
    <cellStyle name="Normal 8 2 9 2" xfId="1496" xr:uid="{A614EDCA-F0A6-4CB2-935B-57A5BF58DAA2}"/>
    <cellStyle name="Normal 8 2 9 2 2" xfId="10230" xr:uid="{0F7EED19-F74E-492E-ACFD-E461163FB17A}"/>
    <cellStyle name="Normal 8 2 9 2 2 2" xfId="19104" xr:uid="{34C27AE1-A340-443C-AE45-7AD5D4585EDF}"/>
    <cellStyle name="Normal 8 2 9 2 3" xfId="10895" xr:uid="{A259ACE4-D1AC-481A-A761-99F9B6E33787}"/>
    <cellStyle name="Normal 8 2 9 3" xfId="10014" xr:uid="{F71826F3-A9D6-4295-94FE-44A34E35F842}"/>
    <cellStyle name="Normal 8 2 9 3 2" xfId="18888" xr:uid="{D26013E3-D8D1-459B-B631-6E76940396A8}"/>
    <cellStyle name="Normal 8 2 9 4" xfId="10679" xr:uid="{D90BC8F7-ACF0-457C-A2C8-381FBB27D06B}"/>
    <cellStyle name="Normal 8 3" xfId="897" xr:uid="{90EF18D5-4132-4501-AAD3-CC3B94C7B480}"/>
    <cellStyle name="Normal 8 3 10" xfId="9882" xr:uid="{66A7558B-AC37-4B59-8B34-BF5F58E8634A}"/>
    <cellStyle name="Normal 8 3 10 2" xfId="18756" xr:uid="{81C16314-96C0-42CE-87D6-CA143C9BA0A5}"/>
    <cellStyle name="Normal 8 3 11" xfId="10547" xr:uid="{7C311A3D-1E39-482A-BD32-8DE0D69429FD}"/>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2 2 2" xfId="19044" xr:uid="{BBE797FF-8641-4F3B-9375-D32D5B07D54B}"/>
    <cellStyle name="Normal 8 3 7 2 3" xfId="10835" xr:uid="{847AF810-6342-40B1-AC94-21F6C8684573}"/>
    <cellStyle name="Normal 8 3 7 3" xfId="9954" xr:uid="{9DEF342C-3843-4998-AC11-44045A4E86FB}"/>
    <cellStyle name="Normal 8 3 7 3 2" xfId="18828" xr:uid="{C4307C44-D13F-4E62-8904-53E3A60CA33B}"/>
    <cellStyle name="Normal 8 3 7 4" xfId="10619" xr:uid="{617BF91C-A648-4BF5-8AD4-3583734F36BF}"/>
    <cellStyle name="Normal 8 3 8" xfId="1292" xr:uid="{4018768F-57B6-4F6B-B3DC-E85CCC96843F}"/>
    <cellStyle name="Normal 8 3 8 2" xfId="1508" xr:uid="{6772C23D-96EC-4BB7-B781-BBF5821F69F5}"/>
    <cellStyle name="Normal 8 3 8 2 2" xfId="10242" xr:uid="{CE28FE51-6713-486F-B7EB-1DC264DF93B3}"/>
    <cellStyle name="Normal 8 3 8 2 2 2" xfId="19116" xr:uid="{BD690051-E7F4-4248-A687-4E455691A41E}"/>
    <cellStyle name="Normal 8 3 8 2 3" xfId="10907" xr:uid="{31EFDCE7-E00D-42D2-979B-C118626CFE36}"/>
    <cellStyle name="Normal 8 3 8 3" xfId="10026" xr:uid="{FC454349-06BC-48C2-8F12-54758684ED13}"/>
    <cellStyle name="Normal 8 3 8 3 2" xfId="18900" xr:uid="{96C5B573-8228-412D-BD6F-A18CFFCFFD19}"/>
    <cellStyle name="Normal 8 3 8 4" xfId="10691" xr:uid="{21DA4DAD-B970-4116-B50A-9240B9E0F99A}"/>
    <cellStyle name="Normal 8 3 9" xfId="1364" xr:uid="{0A9F1CD5-EF10-4391-BDF0-EBEEE79CCE10}"/>
    <cellStyle name="Normal 8 3 9 2" xfId="10098" xr:uid="{DA12D1D1-3D6C-4B31-BB1C-94CB41A58206}"/>
    <cellStyle name="Normal 8 3 9 2 2" xfId="18972" xr:uid="{4DB38E95-233F-4BFC-BB73-A9549A602F6A}"/>
    <cellStyle name="Normal 8 3 9 3" xfId="10763" xr:uid="{E0424158-D055-415B-90D5-935FB574BE5B}"/>
    <cellStyle name="Normal 8 4" xfId="940" xr:uid="{955D6BF7-95AB-482E-A63F-8AA2EAECB4E6}"/>
    <cellStyle name="Normal 8 4 10" xfId="9895" xr:uid="{D31A26AF-DB05-4B2B-B79C-70F2402409F5}"/>
    <cellStyle name="Normal 8 4 10 2" xfId="18769" xr:uid="{D26CE6AC-AF47-4B7F-A5D7-C44E9C8A80DC}"/>
    <cellStyle name="Normal 8 4 11" xfId="10560" xr:uid="{FCDE8066-8B14-4689-94F3-724EDC0ACC0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2 2 2" xfId="19057" xr:uid="{97781004-5461-4ABA-A5E8-E62EF235F992}"/>
    <cellStyle name="Normal 8 4 7 2 3" xfId="10848" xr:uid="{58BF5C3C-224D-4BD5-9C2F-46FDED99D8BE}"/>
    <cellStyle name="Normal 8 4 7 3" xfId="9967" xr:uid="{4D9C693F-F354-40B2-B4DD-31342A5F7344}"/>
    <cellStyle name="Normal 8 4 7 3 2" xfId="18841" xr:uid="{2A875C9D-499C-4F5A-88F8-4D442341F49C}"/>
    <cellStyle name="Normal 8 4 7 4" xfId="10632" xr:uid="{94102434-ADC9-4988-9CE7-EB42DE46E64E}"/>
    <cellStyle name="Normal 8 4 8" xfId="1305" xr:uid="{660B0981-798E-4C8D-A303-4B9345275BEF}"/>
    <cellStyle name="Normal 8 4 8 2" xfId="1521" xr:uid="{B865997B-F08A-42EC-B8FF-09CDEA9DF81C}"/>
    <cellStyle name="Normal 8 4 8 2 2" xfId="10255" xr:uid="{EAC161A6-E3C8-48B3-8DF4-900D9428AD22}"/>
    <cellStyle name="Normal 8 4 8 2 2 2" xfId="19129" xr:uid="{B58F8E0A-842D-4DF7-A59F-437A43B09460}"/>
    <cellStyle name="Normal 8 4 8 2 3" xfId="10920" xr:uid="{8CAEBC4E-1FF3-4325-88FB-9B3373F7E52C}"/>
    <cellStyle name="Normal 8 4 8 3" xfId="10039" xr:uid="{DBF8872D-BD48-4417-B44C-250681B78F11}"/>
    <cellStyle name="Normal 8 4 8 3 2" xfId="18913" xr:uid="{1310FC4E-B8BF-4073-B081-8647E5D21195}"/>
    <cellStyle name="Normal 8 4 8 4" xfId="10704" xr:uid="{FC6BEAE2-9660-4D72-A289-2E986655312F}"/>
    <cellStyle name="Normal 8 4 9" xfId="1377" xr:uid="{477C5490-E8AC-49CA-AF01-E97E0B20D1B4}"/>
    <cellStyle name="Normal 8 4 9 2" xfId="10111" xr:uid="{A4DAE690-33D3-4CBB-AC4B-AC454C390BA9}"/>
    <cellStyle name="Normal 8 4 9 2 2" xfId="18985" xr:uid="{8A124923-4D02-4F7B-BF75-D85706A7AA74}"/>
    <cellStyle name="Normal 8 4 9 3" xfId="10776" xr:uid="{8AF4FA7E-AFDC-4296-B3DE-6A3CB9D2F86E}"/>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2 2 2" xfId="19105" xr:uid="{DE4E592F-24CC-4554-AEAD-987CB94F5C1C}"/>
    <cellStyle name="Normal 9 10 2 3" xfId="10896" xr:uid="{F3291ABA-AD74-4682-A4F0-6992D89074A6}"/>
    <cellStyle name="Normal 9 10 3" xfId="10015" xr:uid="{B95DEBA1-2358-4769-9FFE-06977D4538C4}"/>
    <cellStyle name="Normal 9 10 3 2" xfId="18889" xr:uid="{7C29856A-9DC1-47CF-AC54-DAB9E199146B}"/>
    <cellStyle name="Normal 9 10 4" xfId="10680" xr:uid="{65174115-7AE2-4720-B8FA-C684003588C1}"/>
    <cellStyle name="Normal 9 11" xfId="1353" xr:uid="{DCB5B44E-A11B-4ECB-B062-5428C9BBEEFB}"/>
    <cellStyle name="Normal 9 11 2" xfId="10087" xr:uid="{E703956A-71D9-4171-8B1E-67651637071E}"/>
    <cellStyle name="Normal 9 11 2 2" xfId="18961" xr:uid="{8D01B400-9FF8-45FE-9F2E-1A5ACD882138}"/>
    <cellStyle name="Normal 9 11 3" xfId="10752" xr:uid="{51C07289-BC91-4D7B-B656-2A24C3E73A69}"/>
    <cellStyle name="Normal 9 12" xfId="9869" xr:uid="{6905D50C-B35B-4714-BB5B-DC68D0F804AE}"/>
    <cellStyle name="Normal 9 12 2" xfId="18745" xr:uid="{C2B9A846-8B0B-44AB-A2C7-7FE46B701EB4}"/>
    <cellStyle name="Normal 9 13" xfId="746" xr:uid="{AAF5C296-C106-4794-9B96-243971C133A0}"/>
    <cellStyle name="Normal 9 13 2" xfId="10535" xr:uid="{260D0A6C-FAD3-42FD-ABD2-2967B8B9C2F2}"/>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2 2 2" xfId="19047" xr:uid="{5EE3C5FF-5480-4078-8741-E63CD5C79C6E}"/>
    <cellStyle name="Normal 9 2 2 2 2 3" xfId="10838" xr:uid="{AA873998-9E45-4BE1-B2CB-ADBA090D62F3}"/>
    <cellStyle name="Normal 9 2 2 2 3" xfId="9957" xr:uid="{D7F19A5D-4FAE-4379-BE19-1E6521A3EE71}"/>
    <cellStyle name="Normal 9 2 2 2 3 2" xfId="18831" xr:uid="{CC1997BA-8C50-4DE3-BD90-1CDC1945E27A}"/>
    <cellStyle name="Normal 9 2 2 2 4" xfId="10622" xr:uid="{DEA6E1D6-3CD6-4CC9-A2E7-F715C1ED16D1}"/>
    <cellStyle name="Normal 9 2 2 3" xfId="1295" xr:uid="{8FFCF023-AD77-4E2E-93D6-2FA450D9B4CB}"/>
    <cellStyle name="Normal 9 2 2 3 2" xfId="1511" xr:uid="{DC26A6DC-58F0-42B9-A4B5-F031B68C8875}"/>
    <cellStyle name="Normal 9 2 2 3 2 2" xfId="10245" xr:uid="{1A2C0310-A4C7-4A42-A937-858AEC9F8AF4}"/>
    <cellStyle name="Normal 9 2 2 3 2 2 2" xfId="19119" xr:uid="{86880378-776F-4B2B-B534-E7C23DE9564C}"/>
    <cellStyle name="Normal 9 2 2 3 2 3" xfId="10910" xr:uid="{773103D2-B33F-4316-A474-CD128395272A}"/>
    <cellStyle name="Normal 9 2 2 3 3" xfId="10029" xr:uid="{19EB5325-A48F-4549-949C-3E1F5DE46ED1}"/>
    <cellStyle name="Normal 9 2 2 3 3 2" xfId="18903" xr:uid="{15702298-9699-48CB-B090-ED09E3471F10}"/>
    <cellStyle name="Normal 9 2 2 3 4" xfId="10694" xr:uid="{2FD6CF5D-07FC-40AD-AA38-7F08AAB98D02}"/>
    <cellStyle name="Normal 9 2 2 4" xfId="1367" xr:uid="{14F7D433-9248-4E76-AB33-AEFE29063175}"/>
    <cellStyle name="Normal 9 2 2 4 2" xfId="10101" xr:uid="{919408DB-6AC8-477A-B57D-FA48154C5E0C}"/>
    <cellStyle name="Normal 9 2 2 4 2 2" xfId="18975" xr:uid="{B878EA41-523A-4B2B-A9AA-B2D7192D986E}"/>
    <cellStyle name="Normal 9 2 2 4 3" xfId="10766" xr:uid="{DD510CCC-3428-471C-B11A-82B408AC80D3}"/>
    <cellStyle name="Normal 9 2 2 5" xfId="9885" xr:uid="{7D00F39B-CD1C-4577-BDD9-878EE51376D1}"/>
    <cellStyle name="Normal 9 2 2 5 2" xfId="18759" xr:uid="{28F0CAD5-544C-4987-B190-43751F02A66B}"/>
    <cellStyle name="Normal 9 2 2 6" xfId="10550" xr:uid="{F0672031-E74A-41FC-8AFD-3094F4785722}"/>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2 2 2" xfId="19060" xr:uid="{2D0BA0B6-DE31-44E9-BFFA-5D910CD54391}"/>
    <cellStyle name="Normal 9 2 3 2 2 3" xfId="10851" xr:uid="{6D6F5D81-131E-47E0-94A3-764DA582E62F}"/>
    <cellStyle name="Normal 9 2 3 2 3" xfId="9970" xr:uid="{0DEC8ABF-5D8C-4C87-B34F-64F823430E3F}"/>
    <cellStyle name="Normal 9 2 3 2 3 2" xfId="18844" xr:uid="{825C812A-8C6D-4E4F-A329-70CA59DED7F9}"/>
    <cellStyle name="Normal 9 2 3 2 4" xfId="10635" xr:uid="{30AB274F-8BEF-466D-85EC-386DF3C4ED3E}"/>
    <cellStyle name="Normal 9 2 3 3" xfId="1308" xr:uid="{39518EBD-74CE-4D11-9E93-4DA4A34ED413}"/>
    <cellStyle name="Normal 9 2 3 3 2" xfId="1524" xr:uid="{9CB1FDCA-97D0-4D47-857D-A025710936B9}"/>
    <cellStyle name="Normal 9 2 3 3 2 2" xfId="10258" xr:uid="{37A78580-6AA5-4E73-B568-3E821ADC474F}"/>
    <cellStyle name="Normal 9 2 3 3 2 2 2" xfId="19132" xr:uid="{2770F6C2-AB64-4ACE-9A80-7FD3B05C5B9C}"/>
    <cellStyle name="Normal 9 2 3 3 2 3" xfId="10923" xr:uid="{190833F2-92F2-4EAC-8410-AE2FD7486FDF}"/>
    <cellStyle name="Normal 9 2 3 3 3" xfId="10042" xr:uid="{065AD550-AF38-407B-B548-ABC165322F4E}"/>
    <cellStyle name="Normal 9 2 3 3 3 2" xfId="18916" xr:uid="{D2DB96DE-7F99-4D56-A720-86EEE332904E}"/>
    <cellStyle name="Normal 9 2 3 3 4" xfId="10707" xr:uid="{5E93D693-27A8-4A06-9CE8-053C2CE3CD5C}"/>
    <cellStyle name="Normal 9 2 3 4" xfId="1380" xr:uid="{88391EE9-9D7B-4B1F-AEEA-C6978CF4B683}"/>
    <cellStyle name="Normal 9 2 3 4 2" xfId="10114" xr:uid="{B7C44378-6339-4E7F-8311-FD6ECEECD31D}"/>
    <cellStyle name="Normal 9 2 3 4 2 2" xfId="18988" xr:uid="{2CB480C0-A0CA-409A-91B9-1D461802DFD8}"/>
    <cellStyle name="Normal 9 2 3 4 3" xfId="10779" xr:uid="{DE62B0A2-491C-4AD2-8563-6AF6483282B5}"/>
    <cellStyle name="Normal 9 2 3 5" xfId="9898" xr:uid="{6082B0B0-BC48-4AED-AA86-FA08406FEF49}"/>
    <cellStyle name="Normal 9 2 3 5 2" xfId="18772" xr:uid="{20924D0C-7136-40BF-8337-1C1D55EE5E78}"/>
    <cellStyle name="Normal 9 2 3 6" xfId="10563" xr:uid="{496C1FD4-547F-4EAD-BF58-FD972A5B7D13}"/>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2 2 2" xfId="19087" xr:uid="{971BEDE6-350E-4F07-BAE3-3DEEF861E727}"/>
    <cellStyle name="Normal 9 2 4 2 2 3" xfId="10878" xr:uid="{365C0F52-56DC-4AD6-9788-FE72608B07AF}"/>
    <cellStyle name="Normal 9 2 4 2 3" xfId="9997" xr:uid="{D972D6E8-09BF-4921-A192-F0BC383F0B05}"/>
    <cellStyle name="Normal 9 2 4 2 3 2" xfId="18871" xr:uid="{19A922BF-550B-448F-A660-512A92129D16}"/>
    <cellStyle name="Normal 9 2 4 2 4" xfId="10662" xr:uid="{1A4295BC-EB89-4F0F-8B89-C7DC613E777B}"/>
    <cellStyle name="Normal 9 2 4 3" xfId="1335" xr:uid="{0AF866B3-CF47-4A09-AE58-F91493480960}"/>
    <cellStyle name="Normal 9 2 4 3 2" xfId="1551" xr:uid="{103AA0F3-6D1A-4C86-8523-3CCD637156C4}"/>
    <cellStyle name="Normal 9 2 4 3 2 2" xfId="10285" xr:uid="{85BEBE97-0BA0-4EFE-B137-10FA3DB265D9}"/>
    <cellStyle name="Normal 9 2 4 3 2 2 2" xfId="19159" xr:uid="{DB9C0239-C6D9-4D0E-91BC-C447A174E19D}"/>
    <cellStyle name="Normal 9 2 4 3 2 3" xfId="10950" xr:uid="{5C5A5D09-3788-40C3-8811-C636B560687D}"/>
    <cellStyle name="Normal 9 2 4 3 3" xfId="10069" xr:uid="{F9B40037-FEFE-4343-89B2-D0D1D620A115}"/>
    <cellStyle name="Normal 9 2 4 3 3 2" xfId="18943" xr:uid="{F0785253-AF60-465D-BBF3-BC1EEA3E9904}"/>
    <cellStyle name="Normal 9 2 4 3 4" xfId="10734" xr:uid="{622B603E-0A3C-43C3-9A94-106BCB7BAA1B}"/>
    <cellStyle name="Normal 9 2 4 4" xfId="1407" xr:uid="{C5E73B99-BD7F-426D-BE1B-66927046F86A}"/>
    <cellStyle name="Normal 9 2 4 4 2" xfId="10141" xr:uid="{D413A238-CDF0-4B2C-A821-77DAEA830A67}"/>
    <cellStyle name="Normal 9 2 4 4 2 2" xfId="19015" xr:uid="{70136161-2514-4E46-9D35-031779AB0DA0}"/>
    <cellStyle name="Normal 9 2 4 4 3" xfId="10806" xr:uid="{802D118D-12DB-41EB-8C37-2AC9EF2A2778}"/>
    <cellStyle name="Normal 9 2 4 5" xfId="9925" xr:uid="{F1F64636-57A5-41E6-B560-534869FD19F1}"/>
    <cellStyle name="Normal 9 2 4 5 2" xfId="18799" xr:uid="{EC7E929C-D6CC-4EEF-B81D-AF2182971896}"/>
    <cellStyle name="Normal 9 2 4 6" xfId="10590" xr:uid="{0187A289-1B03-4289-9476-43AEF562F6FD}"/>
    <cellStyle name="Normal 9 2 5" xfId="1199" xr:uid="{826BEDF4-C15F-43C4-B1BF-E73BA2F0761E}"/>
    <cellStyle name="Normal 9 2 5 2" xfId="1426" xr:uid="{A1FB687C-4538-43F1-8AF9-0A534C3506A9}"/>
    <cellStyle name="Normal 9 2 5 2 2" xfId="10160" xr:uid="{4001711F-23D3-44B9-A196-67F12DF152A7}"/>
    <cellStyle name="Normal 9 2 5 2 2 2" xfId="19034" xr:uid="{6F081C8D-8F68-4656-AFC6-9B7DC75591F3}"/>
    <cellStyle name="Normal 9 2 5 2 3" xfId="10825" xr:uid="{A960A2F5-1AE5-4118-A142-75F7F4D55635}"/>
    <cellStyle name="Normal 9 2 5 3" xfId="9944" xr:uid="{3299A17F-228F-4E89-B837-558E90B6BA74}"/>
    <cellStyle name="Normal 9 2 5 3 2" xfId="18818" xr:uid="{75E4AFE8-0D65-437F-AE6B-FB8FF9D7ED85}"/>
    <cellStyle name="Normal 9 2 5 4" xfId="10609" xr:uid="{8A6ADFAF-CB3F-434F-A26E-89E7E464A3A9}"/>
    <cellStyle name="Normal 9 2 6" xfId="1282" xr:uid="{9318AA52-7492-4626-ADAC-85E5ACA66E9D}"/>
    <cellStyle name="Normal 9 2 6 2" xfId="1498" xr:uid="{20EB7248-7698-47CD-890B-3B44450A4544}"/>
    <cellStyle name="Normal 9 2 6 2 2" xfId="10232" xr:uid="{8C436BFB-F08A-4C87-82A0-6B7A98E4826D}"/>
    <cellStyle name="Normal 9 2 6 2 2 2" xfId="19106" xr:uid="{3E2C4C13-AA0C-4F13-9C1E-9E216E534C1A}"/>
    <cellStyle name="Normal 9 2 6 2 3" xfId="10897" xr:uid="{669069ED-25C6-4451-8DC3-44E83EB2B59F}"/>
    <cellStyle name="Normal 9 2 6 3" xfId="10016" xr:uid="{38B34A9C-9E68-45D6-A8C9-C0D574600ED2}"/>
    <cellStyle name="Normal 9 2 6 3 2" xfId="18890" xr:uid="{36B810FC-C7E7-4575-A4C6-CF0998F8C0AB}"/>
    <cellStyle name="Normal 9 2 6 4" xfId="10681" xr:uid="{410BE711-598A-45DD-B783-727D6C721A27}"/>
    <cellStyle name="Normal 9 2 7" xfId="1354" xr:uid="{D9B761C3-330A-4B2D-9F1F-56A3682F679C}"/>
    <cellStyle name="Normal 9 2 7 2" xfId="10088" xr:uid="{76233261-4D8B-4157-B5CE-0E66031EFB29}"/>
    <cellStyle name="Normal 9 2 7 2 2" xfId="18962" xr:uid="{8ECBFDF8-92C3-4F65-A580-25AD60CF6AE2}"/>
    <cellStyle name="Normal 9 2 7 3" xfId="10753" xr:uid="{BAE60771-EF33-477B-9E24-AEF8A785F295}"/>
    <cellStyle name="Normal 9 2 8" xfId="9870" xr:uid="{EEF29037-016B-491A-9D2E-CFDC4D0CB04D}"/>
    <cellStyle name="Normal 9 2 8 2" xfId="18746" xr:uid="{F63453B7-4964-4A7D-AA3C-8CA0E8A977D7}"/>
    <cellStyle name="Normal 9 2 9" xfId="10536" xr:uid="{B7E75930-57DA-4107-80CB-421AA8D1C543}"/>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2 2 2" xfId="19046" xr:uid="{AED4A456-D64F-4B7F-B2FE-F8CD1DB9BF3A}"/>
    <cellStyle name="Normal 9 3 2 2 3" xfId="10837" xr:uid="{C2041931-F26A-43C3-A622-5FEE9F113FA2}"/>
    <cellStyle name="Normal 9 3 2 3" xfId="9956" xr:uid="{D696D485-B03E-4B5F-8114-2FF163CBC34F}"/>
    <cellStyle name="Normal 9 3 2 3 2" xfId="18830" xr:uid="{A9ED8D26-8F5C-4D8A-80E4-ECA3A21D9991}"/>
    <cellStyle name="Normal 9 3 2 4" xfId="10621" xr:uid="{AC54E6CE-51DA-4325-A21A-179F5A8BC86D}"/>
    <cellStyle name="Normal 9 3 3" xfId="1294" xr:uid="{E17CEA31-0830-4B09-9F83-53CED0D9A50F}"/>
    <cellStyle name="Normal 9 3 3 2" xfId="1510" xr:uid="{48355222-1FB4-4B0D-BA8B-045368D92B2F}"/>
    <cellStyle name="Normal 9 3 3 2 2" xfId="10244" xr:uid="{20A57412-CD4F-490B-A71A-0EE9FFBF07D7}"/>
    <cellStyle name="Normal 9 3 3 2 2 2" xfId="19118" xr:uid="{6E8AD71D-D8AB-4D10-8D43-B0E449B67084}"/>
    <cellStyle name="Normal 9 3 3 2 3" xfId="10909" xr:uid="{0305DC49-31AD-4D06-841B-868728E5DE06}"/>
    <cellStyle name="Normal 9 3 3 3" xfId="10028" xr:uid="{63303517-A584-47A4-8D0A-11A4C1ECFB38}"/>
    <cellStyle name="Normal 9 3 3 3 2" xfId="18902" xr:uid="{1EA524CD-3296-4986-B1E4-3377E3BD862A}"/>
    <cellStyle name="Normal 9 3 3 4" xfId="10693" xr:uid="{D8733851-F141-4BDA-929F-A7593C439D99}"/>
    <cellStyle name="Normal 9 3 4" xfId="1366" xr:uid="{388F1E8A-9BA8-43FB-9CAF-6CDADFE3C739}"/>
    <cellStyle name="Normal 9 3 4 2" xfId="10100" xr:uid="{1DE68890-DE12-4E9A-8F97-3ABBC7169326}"/>
    <cellStyle name="Normal 9 3 4 2 2" xfId="18974" xr:uid="{8CDD6FE8-DC63-41E8-9BA8-805D6A860B0D}"/>
    <cellStyle name="Normal 9 3 4 3" xfId="10765" xr:uid="{62BCF302-1AD9-4B79-8287-F868C5B98FE8}"/>
    <cellStyle name="Normal 9 3 5" xfId="9884" xr:uid="{98BAF750-49DC-4BB2-A9C1-2456DE3FDB74}"/>
    <cellStyle name="Normal 9 3 5 2" xfId="18758" xr:uid="{5DF3E39F-4F95-478A-A114-7D804C22047C}"/>
    <cellStyle name="Normal 9 3 6" xfId="10549" xr:uid="{EFDD8EF4-2BA0-450E-8C0B-A810D12153D9}"/>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2 2 2" xfId="19059" xr:uid="{DF361597-C1EE-4ED7-90BF-AA20E29C5031}"/>
    <cellStyle name="Normal 9 4 2 2 3" xfId="10850" xr:uid="{86C10818-8E35-4ECF-B1C7-E9B55A9FFFC9}"/>
    <cellStyle name="Normal 9 4 2 3" xfId="9969" xr:uid="{B1DB7954-4975-4975-B466-7583A1FBF978}"/>
    <cellStyle name="Normal 9 4 2 3 2" xfId="18843" xr:uid="{931C2241-8995-4B32-B5F0-8EE9D8C35390}"/>
    <cellStyle name="Normal 9 4 2 4" xfId="10634" xr:uid="{2DDF39EF-2894-4A6F-91EF-1A14C539C5D8}"/>
    <cellStyle name="Normal 9 4 3" xfId="1307" xr:uid="{2B034374-41B6-4E3E-9F84-5FBA3F984048}"/>
    <cellStyle name="Normal 9 4 3 2" xfId="1523" xr:uid="{27AB31B0-13BE-4682-AE4D-35FD933D2C04}"/>
    <cellStyle name="Normal 9 4 3 2 2" xfId="10257" xr:uid="{6AF6B901-6DFF-4D9C-837F-280D49878B86}"/>
    <cellStyle name="Normal 9 4 3 2 2 2" xfId="19131" xr:uid="{3D47C500-4AE5-4E17-AA85-AD651F8BD8B0}"/>
    <cellStyle name="Normal 9 4 3 2 3" xfId="10922" xr:uid="{7EE0C9F2-5B91-44D8-B5F5-9DF8CAB8CFCC}"/>
    <cellStyle name="Normal 9 4 3 3" xfId="10041" xr:uid="{70A7C7A7-27BF-4A69-BB55-5D4CEF7EB30B}"/>
    <cellStyle name="Normal 9 4 3 3 2" xfId="18915" xr:uid="{A5E1CE31-FD48-4F8F-9423-C314C33C05E8}"/>
    <cellStyle name="Normal 9 4 3 4" xfId="10706" xr:uid="{507F5CEF-955F-46E5-B3CE-CEF9DBE4623C}"/>
    <cellStyle name="Normal 9 4 4" xfId="1379" xr:uid="{DF035E69-C890-40EF-B52F-2BDB5374D063}"/>
    <cellStyle name="Normal 9 4 4 2" xfId="10113" xr:uid="{F170BC08-8D8A-42D2-824F-98BDD956E5DA}"/>
    <cellStyle name="Normal 9 4 4 2 2" xfId="18987" xr:uid="{2A08051A-FF03-4CAB-AFF7-4ACAD21A6AFA}"/>
    <cellStyle name="Normal 9 4 4 3" xfId="10778" xr:uid="{2921FD96-953E-429B-9C93-6BE8A09975E0}"/>
    <cellStyle name="Normal 9 4 5" xfId="9897" xr:uid="{534AABA7-C99C-46A1-8FD9-8E7CD1C1F36B}"/>
    <cellStyle name="Normal 9 4 5 2" xfId="18771" xr:uid="{F974E971-C640-4E08-862B-8066A44D2B8C}"/>
    <cellStyle name="Normal 9 4 6" xfId="10562" xr:uid="{F3AE2A24-13A2-4ED7-BADC-66089DD0F70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2 2 2" xfId="19068" xr:uid="{89F722DB-09B2-453D-8CD9-419EFAE73BCE}"/>
    <cellStyle name="Normal 9 5 2 2 3" xfId="10859" xr:uid="{60F79C3F-66A2-49E4-B5AF-0D92525C88A8}"/>
    <cellStyle name="Normal 9 5 2 3" xfId="9978" xr:uid="{3F78F0DD-2224-4000-8D6E-BF6B9D7A03C8}"/>
    <cellStyle name="Normal 9 5 2 3 2" xfId="18852" xr:uid="{FAFE5AF5-54EC-455C-8D6F-07512C627A5E}"/>
    <cellStyle name="Normal 9 5 2 4" xfId="10643" xr:uid="{3A404F12-8A75-46F3-98CD-662FFBC43A11}"/>
    <cellStyle name="Normal 9 5 3" xfId="1316" xr:uid="{3D53B128-7A3F-4D16-B52B-D7E780EACAA5}"/>
    <cellStyle name="Normal 9 5 3 2" xfId="1532" xr:uid="{DF2C44E2-E492-427D-B67F-5896DFAFE753}"/>
    <cellStyle name="Normal 9 5 3 2 2" xfId="10266" xr:uid="{63DB89C9-411F-4E5F-AE8F-21521815D80C}"/>
    <cellStyle name="Normal 9 5 3 2 2 2" xfId="19140" xr:uid="{90D3F3BD-410E-40DC-89D4-0D3FBF6EE0F7}"/>
    <cellStyle name="Normal 9 5 3 2 3" xfId="10931" xr:uid="{67F274CE-7008-423D-A877-AF21B1700E6E}"/>
    <cellStyle name="Normal 9 5 3 3" xfId="10050" xr:uid="{F3D3E1E5-400A-4FF5-913F-CB955675734E}"/>
    <cellStyle name="Normal 9 5 3 3 2" xfId="18924" xr:uid="{6F14768A-DA01-4972-A5F1-279DF51E4195}"/>
    <cellStyle name="Normal 9 5 3 4" xfId="10715" xr:uid="{901BEE28-56E8-4507-978E-8260005CCE57}"/>
    <cellStyle name="Normal 9 5 4" xfId="1388" xr:uid="{FD195D19-F231-4013-B968-80C1DC85F306}"/>
    <cellStyle name="Normal 9 5 4 2" xfId="10122" xr:uid="{F22F4E85-F9E3-4D42-8865-81A0AF708EA3}"/>
    <cellStyle name="Normal 9 5 4 2 2" xfId="18996" xr:uid="{4C1492FB-CDF1-4DF3-9C01-02CC27006BD3}"/>
    <cellStyle name="Normal 9 5 4 3" xfId="10787" xr:uid="{66EF0829-8923-4B9E-B627-6017B2E6F331}"/>
    <cellStyle name="Normal 9 5 5" xfId="9906" xr:uid="{669EFBB7-A990-4124-BA5F-75AA12081693}"/>
    <cellStyle name="Normal 9 5 5 2" xfId="18780" xr:uid="{8B3D1888-3498-4226-832D-9C3C68ACF597}"/>
    <cellStyle name="Normal 9 5 6" xfId="10571" xr:uid="{0F57719E-F890-4E7A-8EF4-952A822890E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2 2 2" xfId="19074" xr:uid="{E21DF3F3-19BB-4E4B-821B-D8E8B7FD0F52}"/>
    <cellStyle name="Normal 9 6 2 2 3" xfId="10865" xr:uid="{E536E21F-F4FC-45B8-A615-E6BACF217DFF}"/>
    <cellStyle name="Normal 9 6 2 3" xfId="9984" xr:uid="{C3DCE661-DC6B-4B39-9C42-60ED5EC42C64}"/>
    <cellStyle name="Normal 9 6 2 3 2" xfId="18858" xr:uid="{E72EEBA8-C8E2-4261-B78F-BBF356664BAB}"/>
    <cellStyle name="Normal 9 6 2 4" xfId="10649" xr:uid="{69DE0E60-4423-4B47-A56D-0CC67FAC4C26}"/>
    <cellStyle name="Normal 9 6 3" xfId="1322" xr:uid="{A48154E3-18E9-47F1-B7D2-92528692A1D5}"/>
    <cellStyle name="Normal 9 6 3 2" xfId="1538" xr:uid="{2A01066B-51CF-4839-A85E-AB254F0DDBF8}"/>
    <cellStyle name="Normal 9 6 3 2 2" xfId="10272" xr:uid="{A0350475-A482-4D53-9499-FFA15CB65953}"/>
    <cellStyle name="Normal 9 6 3 2 2 2" xfId="19146" xr:uid="{E1D8C9F9-8AC4-45C5-8A58-4C030EE401DC}"/>
    <cellStyle name="Normal 9 6 3 2 3" xfId="10937" xr:uid="{DCF1E4EB-8DDD-48E5-8FC6-F5AD44D0E4A1}"/>
    <cellStyle name="Normal 9 6 3 3" xfId="10056" xr:uid="{05DE1198-6890-47A4-803C-F33199C9FB19}"/>
    <cellStyle name="Normal 9 6 3 3 2" xfId="18930" xr:uid="{3C9E6CC4-575C-49C4-AD9D-2CDD3512CB37}"/>
    <cellStyle name="Normal 9 6 3 4" xfId="10721" xr:uid="{1611A605-FDB1-4B45-BE81-BAD32CD857C1}"/>
    <cellStyle name="Normal 9 6 4" xfId="1394" xr:uid="{C76D0B02-72F1-4F8C-A17A-F4B4D7FE026B}"/>
    <cellStyle name="Normal 9 6 4 2" xfId="10128" xr:uid="{9324C15D-DD6F-4F3F-B57D-4879B6127D45}"/>
    <cellStyle name="Normal 9 6 4 2 2" xfId="19002" xr:uid="{1F445300-C3D4-42C3-BA01-2D4B8DFE28F8}"/>
    <cellStyle name="Normal 9 6 4 3" xfId="10793" xr:uid="{B66B99A4-97C8-423C-A6B5-67403D2E2017}"/>
    <cellStyle name="Normal 9 6 5" xfId="9912" xr:uid="{B54D57F2-5EA5-4CB1-AB70-468A3BF2A83D}"/>
    <cellStyle name="Normal 9 6 5 2" xfId="18786" xr:uid="{DED66E9D-5D14-4644-9E12-E1E2272B7D2F}"/>
    <cellStyle name="Normal 9 6 6" xfId="10577" xr:uid="{FDD1E8FC-A0C1-4EFA-B3BC-183E23824CF0}"/>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2 2 2" xfId="19086" xr:uid="{449040A0-433C-4E0B-AEBE-3A515B26968F}"/>
    <cellStyle name="Normal 9 7 2 2 3" xfId="10877" xr:uid="{22D1E233-4C55-4DA2-95CA-1F7DE326C69D}"/>
    <cellStyle name="Normal 9 7 2 3" xfId="9996" xr:uid="{42B97FE1-F98C-425E-B7B2-E5FE906FDBA2}"/>
    <cellStyle name="Normal 9 7 2 3 2" xfId="18870" xr:uid="{9255AC37-22D7-48F1-A73F-4F484B537C91}"/>
    <cellStyle name="Normal 9 7 2 4" xfId="10661" xr:uid="{B7945CB8-0FDE-4D91-8850-23D4EE95D232}"/>
    <cellStyle name="Normal 9 7 3" xfId="1334" xr:uid="{7BC46DA1-E8D8-40B2-96D4-0B100180A334}"/>
    <cellStyle name="Normal 9 7 3 2" xfId="1550" xr:uid="{3F6E3086-5FCB-41AF-803A-946F8B88489A}"/>
    <cellStyle name="Normal 9 7 3 2 2" xfId="10284" xr:uid="{3EE19C6A-3E5C-4F12-A0CA-43DC2C108C2B}"/>
    <cellStyle name="Normal 9 7 3 2 2 2" xfId="19158" xr:uid="{57B4A4A8-ADB6-407C-B63F-34E9C83CCFFA}"/>
    <cellStyle name="Normal 9 7 3 2 3" xfId="10949" xr:uid="{3C848FA7-EAA0-4064-9153-63FD77F859CC}"/>
    <cellStyle name="Normal 9 7 3 3" xfId="10068" xr:uid="{7FBEE6D1-36C0-4702-AF73-1126EA63413F}"/>
    <cellStyle name="Normal 9 7 3 3 2" xfId="18942" xr:uid="{9EA94021-F8B9-43C6-B646-BBDC0E1F8185}"/>
    <cellStyle name="Normal 9 7 3 4" xfId="10733" xr:uid="{B1205770-3981-45F8-A6AB-A788922BC628}"/>
    <cellStyle name="Normal 9 7 4" xfId="1406" xr:uid="{DBC99025-4546-4D71-9EF8-FF2BB1562C40}"/>
    <cellStyle name="Normal 9 7 4 2" xfId="10140" xr:uid="{7450F7A4-00A8-43C5-84BE-2F60DB4C03D9}"/>
    <cellStyle name="Normal 9 7 4 2 2" xfId="19014" xr:uid="{52A6DC5A-A47B-47C4-B96E-1E8D489ED104}"/>
    <cellStyle name="Normal 9 7 4 3" xfId="10805" xr:uid="{017F8A0C-BE41-4713-B94E-41CCC7D151CA}"/>
    <cellStyle name="Normal 9 7 5" xfId="9924" xr:uid="{1766AA48-A0C3-4E32-B587-9CA5E4E30676}"/>
    <cellStyle name="Normal 9 7 5 2" xfId="18798" xr:uid="{257A5F71-C09E-49F6-B6AA-16F2522C80F6}"/>
    <cellStyle name="Normal 9 7 6" xfId="10589" xr:uid="{D009DBA1-3183-43CA-B087-893AFB82F603}"/>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2 2 2" xfId="19093" xr:uid="{3BEAF8B5-B2F2-46E5-AC01-4DE5B3017999}"/>
    <cellStyle name="Normal 9 8 2 2 3" xfId="10884" xr:uid="{42F03B37-A0AC-4111-8DB3-943DE401F5C9}"/>
    <cellStyle name="Normal 9 8 2 3" xfId="10003" xr:uid="{E2776785-4EE9-42F1-AF0B-B81C4DE3721E}"/>
    <cellStyle name="Normal 9 8 2 3 2" xfId="18877" xr:uid="{51D0071C-74D3-498B-8FA9-DE35342B0389}"/>
    <cellStyle name="Normal 9 8 2 4" xfId="10668" xr:uid="{D82D8BBD-A6A5-453D-8439-5FCC0AAFA69A}"/>
    <cellStyle name="Normal 9 8 3" xfId="1341" xr:uid="{6BCDC12B-8CA4-47D7-8355-7C3560B4CCA8}"/>
    <cellStyle name="Normal 9 8 3 2" xfId="1557" xr:uid="{CF10A32C-AFBA-4C1B-BFCB-F7B2CC1A21CB}"/>
    <cellStyle name="Normal 9 8 3 2 2" xfId="10291" xr:uid="{04AED383-D636-4231-94AA-B38B3E01680E}"/>
    <cellStyle name="Normal 9 8 3 2 2 2" xfId="19165" xr:uid="{E69C9282-00A7-49E3-A36D-D6F38A97A2A7}"/>
    <cellStyle name="Normal 9 8 3 2 3" xfId="10956" xr:uid="{EBBA1DED-6A9F-4336-BA97-FE361F82AF42}"/>
    <cellStyle name="Normal 9 8 3 3" xfId="10075" xr:uid="{F61C972D-5E80-4118-9394-DCCA46F06489}"/>
    <cellStyle name="Normal 9 8 3 3 2" xfId="18949" xr:uid="{12C358F6-B4F7-43D0-9567-477191EA2E49}"/>
    <cellStyle name="Normal 9 8 3 4" xfId="10740" xr:uid="{DFE38CC0-1963-4981-8F5B-4829439F7960}"/>
    <cellStyle name="Normal 9 8 4" xfId="1413" xr:uid="{1FF997FB-AD4C-4749-B677-64A82FFB1A75}"/>
    <cellStyle name="Normal 9 8 4 2" xfId="10147" xr:uid="{9EF2E628-BC1B-4E0B-A361-E84064374CD5}"/>
    <cellStyle name="Normal 9 8 4 2 2" xfId="19021" xr:uid="{86D1D61E-75C3-4898-916E-03CC9BC12516}"/>
    <cellStyle name="Normal 9 8 4 3" xfId="10812" xr:uid="{F0C22573-E57C-4EE0-9E2E-1A5C3DF6D346}"/>
    <cellStyle name="Normal 9 8 5" xfId="9931" xr:uid="{D0FB3B76-CC11-4E34-BEAD-D7A2E86B0A7E}"/>
    <cellStyle name="Normal 9 8 5 2" xfId="18805" xr:uid="{0D4DCD28-1276-4CB5-9A65-839A2E9A2B82}"/>
    <cellStyle name="Normal 9 8 6" xfId="10596" xr:uid="{83E6B489-6F8E-4A7F-A8A0-DC2A38B5D1C5}"/>
    <cellStyle name="Normal 9 9" xfId="1198" xr:uid="{53A7F30A-13EC-4FC3-8B92-57F58558C342}"/>
    <cellStyle name="Normal 9 9 2" xfId="1425" xr:uid="{A8C10A37-271C-425B-B709-165EEBDE4A67}"/>
    <cellStyle name="Normal 9 9 2 2" xfId="10159" xr:uid="{F608E7EA-F5FA-4154-97D0-73AA894BB1ED}"/>
    <cellStyle name="Normal 9 9 2 2 2" xfId="19033" xr:uid="{FC897878-2626-44A2-A4DA-B9FBBB218C44}"/>
    <cellStyle name="Normal 9 9 2 3" xfId="10824" xr:uid="{B18DD3A5-ED0B-4C48-AA12-762B083A6C91}"/>
    <cellStyle name="Normal 9 9 3" xfId="9943" xr:uid="{A8A254CE-45CB-4747-9D8D-8D3A8444B6F0}"/>
    <cellStyle name="Normal 9 9 3 2" xfId="18817" xr:uid="{76DCFF5D-6DC3-4E6C-ABB8-49579BC6895D}"/>
    <cellStyle name="Normal 9 9 4" xfId="10608" xr:uid="{CDCE483E-5121-44A5-84FF-44F58D2BC0F6}"/>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2 2 2" xfId="10477" xr:uid="{5A206360-9B31-4B3B-B0EF-3322F6C7AE87}"/>
    <cellStyle name="Note 2 2 2 3" xfId="10395" xr:uid="{3F61AE72-D953-4DB2-B9D1-B0760FA24BB4}"/>
    <cellStyle name="Note 2 2 3" xfId="354" xr:uid="{00000000-0005-0000-0000-0000C1010000}"/>
    <cellStyle name="Note 2 2 3 2" xfId="496" xr:uid="{00000000-0005-0000-0000-0000C2010000}"/>
    <cellStyle name="Note 2 2 3 2 2" xfId="10478" xr:uid="{321A2E7C-C12E-4FF6-A84A-07769F1B2387}"/>
    <cellStyle name="Note 2 2 3 3" xfId="10396" xr:uid="{268B5CA3-C665-4CB6-A89B-4DCE4564F4CD}"/>
    <cellStyle name="Note 2 2 4" xfId="355" xr:uid="{00000000-0005-0000-0000-0000C3010000}"/>
    <cellStyle name="Note 2 2 5" xfId="494" xr:uid="{00000000-0005-0000-0000-0000C4010000}"/>
    <cellStyle name="Note 2 2 5 2" xfId="10476" xr:uid="{F64C759B-CDE3-4662-A9F9-3DDFDB9ACAAE}"/>
    <cellStyle name="Note 2 2 6" xfId="9620" xr:uid="{F7883992-E1EF-456B-BA01-5200FEDA3538}"/>
    <cellStyle name="Note 2 2 7" xfId="10394" xr:uid="{0ED8AE6A-C667-4248-A6DE-F209289AA475}"/>
    <cellStyle name="Note 2 3" xfId="356" xr:uid="{00000000-0005-0000-0000-0000C5010000}"/>
    <cellStyle name="Note 2 3 2" xfId="497" xr:uid="{00000000-0005-0000-0000-0000C6010000}"/>
    <cellStyle name="Note 2 3 2 2" xfId="10479" xr:uid="{B91C855C-EB5A-4894-B99C-094151A83A49}"/>
    <cellStyle name="Note 2 3 3" xfId="10397" xr:uid="{74B73678-9189-410B-8BC4-3CA46EFB2F68}"/>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2 2" xfId="18723" xr:uid="{A7B3A2FE-B9EF-4036-97A9-22CABDD7C8B1}"/>
    <cellStyle name="Note 5 2 3" xfId="9625" xr:uid="{8245397C-9745-4FB4-8D8C-958F37DCA422}"/>
    <cellStyle name="Note 5 2 3 2" xfId="18724" xr:uid="{DDAF4F5A-D3EC-4F2D-A8E4-B576C07E3DF7}"/>
    <cellStyle name="Note 5 2 4" xfId="18722" xr:uid="{89493AC8-3634-4C1F-A6E3-6CF12F88B338}"/>
    <cellStyle name="Note 5 3" xfId="9626" xr:uid="{06CC765E-C4F1-42A8-9A25-8440FA41488C}"/>
    <cellStyle name="Note 5 3 2" xfId="18725" xr:uid="{1316B46C-6862-4787-B98F-46CA24ABCA76}"/>
    <cellStyle name="Note 5 4" xfId="9627" xr:uid="{7337DE49-105D-4854-B08A-1F02794842F0}"/>
    <cellStyle name="Note 5 4 2" xfId="18726" xr:uid="{2E17EDC6-DE5D-45C5-B67D-753F1FE4A5ED}"/>
    <cellStyle name="Note 5 5" xfId="9628" xr:uid="{86FFBDE3-C1FA-4246-ACC6-7D06783ED593}"/>
    <cellStyle name="Note 5 5 2" xfId="18727" xr:uid="{E4486A1E-77FB-4A7F-9D67-5F746CDFCECE}"/>
    <cellStyle name="Note 5 6" xfId="18721" xr:uid="{94E45F06-FA4F-4682-B880-826568AB2C6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2 2 2" xfId="10491" xr:uid="{9C012CEF-9D0E-464B-BCFA-02F7DAE5DDF0}"/>
    <cellStyle name="Percent 2 2 2 3" xfId="10409" xr:uid="{FF3D43A1-5E11-47AA-87C8-62C89B84F3D6}"/>
    <cellStyle name="Percent 2 2 3" xfId="534" xr:uid="{6D7A68E8-0BB5-4E01-93E4-4A0698A90D7F}"/>
    <cellStyle name="Percent 2 2 3 2" xfId="10507" xr:uid="{21B3B8E4-A792-4DE5-BDEE-7968BFFFB3BD}"/>
    <cellStyle name="Percent 2 3" xfId="410" xr:uid="{00000000-0005-0000-0000-0000D3010000}"/>
    <cellStyle name="Percent 2 3 2" xfId="500" xr:uid="{00000000-0005-0000-0000-0000D4010000}"/>
    <cellStyle name="Percent 2 3 2 2" xfId="10481" xr:uid="{AA13242F-5524-4BEA-8FAF-E12948926BFA}"/>
    <cellStyle name="Percent 2 3 3" xfId="9640" xr:uid="{79D29BC4-5422-44B9-8920-4A176512B936}"/>
    <cellStyle name="Percent 2 3 4" xfId="10399" xr:uid="{2E855493-2034-484E-8FC4-A50C3FA4EE29}"/>
    <cellStyle name="Percent 2 4" xfId="426" xr:uid="{00000000-0005-0000-0000-0000D5010000}"/>
    <cellStyle name="Percent 2 4 2" xfId="512" xr:uid="{00000000-0005-0000-0000-0000D6010000}"/>
    <cellStyle name="Percent 2 4 2 2" xfId="10493" xr:uid="{1408D1DC-FF78-47B4-B96D-DD2F75135773}"/>
    <cellStyle name="Percent 2 4 3" xfId="10411" xr:uid="{2384095A-C2B2-4423-B496-50DD5AD793D6}"/>
    <cellStyle name="Percent 2 5" xfId="432" xr:uid="{00000000-0005-0000-0000-0000D7010000}"/>
    <cellStyle name="Percent 2 5 2" xfId="517" xr:uid="{00000000-0005-0000-0000-0000D8010000}"/>
    <cellStyle name="Percent 2 5 2 2" xfId="10498" xr:uid="{8FCCF6EC-0C9F-4CF3-AB50-813A5D929DF3}"/>
    <cellStyle name="Percent 2 5 3" xfId="10416" xr:uid="{2575B6DA-3266-4B7C-8D18-4693D4EE3C23}"/>
    <cellStyle name="Percent 2 6" xfId="439" xr:uid="{00000000-0005-0000-0000-0000D9010000}"/>
    <cellStyle name="Percent 2 6 2" xfId="10421" xr:uid="{67FFE3D3-1BF7-4BFB-B6B3-1A6C789DB99F}"/>
    <cellStyle name="Percent 2 7" xfId="10339" xr:uid="{0C624585-F228-4432-A3D5-362716C358BC}"/>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2 2 2" xfId="10521" xr:uid="{3244EF9D-F495-44B2-971B-8896B6442F18}"/>
    <cellStyle name="Percent 3 3" xfId="533" xr:uid="{BE2E23AB-7A4C-487B-B29B-3B9FA2DD99C3}"/>
    <cellStyle name="Percent 3 3 2" xfId="1111" xr:uid="{6477C033-49D8-432E-B833-FD55B2187C07}"/>
    <cellStyle name="Percent 3 3 3" xfId="10506" xr:uid="{287BC212-BA77-4932-B324-B1657866D3E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2 2" xfId="18729" xr:uid="{2B40FD4B-B489-4D64-B68D-69ADA8EDC4D0}"/>
    <cellStyle name="Percent 7 2 3" xfId="9643" xr:uid="{FB0458C2-934A-46C9-BCCA-23643421F4CD}"/>
    <cellStyle name="Percent 7 2 3 2" xfId="18730" xr:uid="{E76DECB3-43A8-4E64-A2C0-70049EF02A99}"/>
    <cellStyle name="Percent 7 2 4" xfId="9641" xr:uid="{886B5A64-694D-4D4F-8380-7A4575291D52}"/>
    <cellStyle name="Percent 7 2 4 2" xfId="18728" xr:uid="{F0B3D1F7-D91C-4934-9EB3-262D3E333863}"/>
    <cellStyle name="Percent 7 3" xfId="9644" xr:uid="{6AD39029-344C-4D5C-AF92-E88FB22B751A}"/>
    <cellStyle name="Percent 7 3 2" xfId="18731" xr:uid="{D018F891-E55C-46E8-9E68-CD1507989972}"/>
    <cellStyle name="Percent 7 4" xfId="9645" xr:uid="{6ED68362-4FCC-4B68-89DF-F72A9FF93474}"/>
    <cellStyle name="Percent 7 4 2" xfId="18732" xr:uid="{1B77CE93-93E9-43D4-B450-7D153024AD1F}"/>
    <cellStyle name="Percent 7 5" xfId="9646" xr:uid="{DFCE2F1C-6115-49B5-87D8-8DAAFE118084}"/>
    <cellStyle name="Percent 7 5 2" xfId="18733" xr:uid="{0B2B5824-FF50-45BE-B2A8-4C641611E93C}"/>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FF66FF"/>
      <color rgb="FFD60093"/>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persons/person.xml><?xml version="1.0" encoding="utf-8"?>
<personList xmlns="http://schemas.microsoft.com/office/spreadsheetml/2018/threadedcomments" xmlns:x="http://schemas.openxmlformats.org/spreadsheetml/2006/main">
  <person displayName="Sarah Howdeshelt" id="{C158C5D0-2887-48D8-939D-42671F4E7593}" userId="S::sarah.howdeshelt@AES.COM::25d21bd7-ebcf-4388-bb55-1c89905b941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1" dT="2021-09-21T17:34:30.34" personId="{C158C5D0-2887-48D8-939D-42671F4E7593}" id="{CB566881-F83F-4BC1-A369-3D9B9FC938F3}">
    <text>This amount is currently being charged to 456.1 and not the 456.  Paul, how should we handle this discrepancy?</text>
  </threadedComment>
  <threadedComment ref="D21" dT="2021-09-22T15:21:34.45" personId="{C158C5D0-2887-48D8-939D-42671F4E7593}" id="{BFF54ADF-6A40-44E8-B060-60FA0AB4C7CA}" parentId="{CB566881-F83F-4BC1-A369-3D9B9FC938F3}">
    <text>Per Paul, the revenue is related to Other Electric Revenue and should be reflected in 456.... but make sure we document in FERC Form 1</text>
  </threadedComment>
</ThreadedComments>
</file>

<file path=xl/threadedComments/threadedComment2.xml><?xml version="1.0" encoding="utf-8"?>
<ThreadedComments xmlns="http://schemas.microsoft.com/office/spreadsheetml/2018/threadedcomments" xmlns:x="http://schemas.openxmlformats.org/spreadsheetml/2006/main">
  <threadedComment ref="S203" dT="2021-09-21T16:24:07.19" personId="{C158C5D0-2887-48D8-939D-42671F4E7593}" id="{E7040F42-5874-40CD-98B6-AFF6B8B8FFAD}">
    <text>Needs to update the link every year to move with the years.</text>
  </threadedComment>
  <threadedComment ref="T237" dT="2022-09-19T17:13:18.55" personId="{C158C5D0-2887-48D8-939D-42671F4E7593}" id="{DFE6E629-5EB1-457D-8AED-EC683DB0B48A}">
    <text>Use 2021</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vmlDrawing" Target="../drawings/vmlDrawing1.vm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5" Type="http://schemas.microsoft.com/office/2017/10/relationships/threadedComment" Target="../threadedComments/threadedComment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2.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J1086"/>
  <sheetViews>
    <sheetView showGridLines="0" tabSelected="1" zoomScale="50" zoomScaleNormal="50" workbookViewId="0">
      <pane xSplit="3" ySplit="9" topLeftCell="D263" activePane="bottomRight" state="frozen"/>
      <selection pane="topRight" activeCell="D1" sqref="D1"/>
      <selection pane="bottomLeft" activeCell="A10" sqref="A10"/>
      <selection pane="bottomRight" activeCell="J286" sqref="J286"/>
    </sheetView>
  </sheetViews>
  <sheetFormatPr defaultColWidth="9.28515625" defaultRowHeight="20.25"/>
  <cols>
    <col min="1" max="1" width="8.5703125" style="228" customWidth="1"/>
    <col min="2" max="2" width="4.5703125" style="197" customWidth="1"/>
    <col min="3" max="3" width="100" style="197" customWidth="1"/>
    <col min="4" max="4" width="39.85546875" style="197" customWidth="1"/>
    <col min="5" max="5" width="27.42578125" style="230" customWidth="1"/>
    <col min="6" max="6" width="36.85546875" style="197" customWidth="1"/>
    <col min="7" max="7" width="36.42578125" style="757" customWidth="1"/>
    <col min="8" max="8" width="33.7109375" style="197" customWidth="1"/>
    <col min="9" max="9" width="9.28515625" style="8"/>
    <col min="10" max="10" width="78.140625" style="8" customWidth="1"/>
    <col min="11" max="16384" width="9.28515625" style="8"/>
  </cols>
  <sheetData>
    <row r="2" spans="1:8" ht="25.5" customHeight="1" thickBot="1">
      <c r="C2" s="231"/>
      <c r="D2" s="858"/>
      <c r="E2" s="858"/>
      <c r="F2" s="858"/>
    </row>
    <row r="3" spans="1:8" ht="30" customHeight="1" thickBot="1">
      <c r="A3" s="232" t="s">
        <v>0</v>
      </c>
      <c r="B3" s="233"/>
      <c r="C3" s="233"/>
      <c r="D3" s="859"/>
      <c r="E3" s="859"/>
      <c r="F3" s="860"/>
    </row>
    <row r="4" spans="1:8" ht="24.6" customHeight="1">
      <c r="A4" s="234" t="s">
        <v>1</v>
      </c>
      <c r="B4" s="235"/>
      <c r="C4" s="235"/>
      <c r="D4" s="236"/>
      <c r="E4" s="236"/>
      <c r="F4" s="237"/>
      <c r="H4" s="528" t="s">
        <v>2</v>
      </c>
    </row>
    <row r="5" spans="1:8" s="9" customFormat="1" ht="61.5" thickBot="1">
      <c r="A5" s="238" t="s">
        <v>3</v>
      </c>
      <c r="B5" s="239"/>
      <c r="C5" s="239"/>
      <c r="D5" s="239"/>
      <c r="E5" s="240" t="s">
        <v>4</v>
      </c>
      <c r="F5" s="241" t="s">
        <v>5</v>
      </c>
      <c r="G5" s="757"/>
      <c r="H5" s="527" t="s">
        <v>989</v>
      </c>
    </row>
    <row r="6" spans="1:8" s="9" customFormat="1" ht="23.25" customHeight="1">
      <c r="A6" s="243" t="s">
        <v>6</v>
      </c>
      <c r="B6" s="242"/>
      <c r="C6" s="242"/>
      <c r="D6" s="242"/>
      <c r="E6" s="227"/>
      <c r="F6" s="198"/>
      <c r="G6" s="757"/>
      <c r="H6" s="198"/>
    </row>
    <row r="7" spans="1:8">
      <c r="A7" s="244" t="s">
        <v>7</v>
      </c>
      <c r="B7" s="245"/>
      <c r="C7" s="206"/>
      <c r="D7" s="206"/>
      <c r="E7" s="246"/>
      <c r="F7" s="206"/>
      <c r="G7" s="769"/>
      <c r="H7" s="199"/>
    </row>
    <row r="8" spans="1:8">
      <c r="E8" s="227"/>
      <c r="H8" s="533"/>
    </row>
    <row r="9" spans="1:8">
      <c r="A9" s="227"/>
      <c r="B9" s="242" t="s">
        <v>8</v>
      </c>
      <c r="E9" s="205"/>
      <c r="F9" s="201"/>
      <c r="G9" s="770"/>
      <c r="H9" s="201"/>
    </row>
    <row r="10" spans="1:8">
      <c r="A10" s="230">
        <v>1</v>
      </c>
      <c r="B10" s="230"/>
      <c r="C10" s="197" t="s">
        <v>9</v>
      </c>
      <c r="D10" s="247"/>
      <c r="E10" s="248"/>
      <c r="F10" s="201" t="str">
        <f>"(Attachment 4, Line "&amp;'4 - Cost Support'!$A$33&amp;")"</f>
        <v>(Attachment 4, Line 16)</v>
      </c>
      <c r="G10" s="803"/>
      <c r="H10" s="201">
        <f>+'4 - Cost Support'!T33</f>
        <v>4411445</v>
      </c>
    </row>
    <row r="11" spans="1:8">
      <c r="A11" s="230"/>
    </row>
    <row r="12" spans="1:8">
      <c r="A12" s="230">
        <f>+A10+1</f>
        <v>2</v>
      </c>
      <c r="B12" s="230"/>
      <c r="C12" s="197" t="s">
        <v>10</v>
      </c>
      <c r="E12" s="248"/>
      <c r="F12" s="201" t="str">
        <f>"(Attachment 4, Line "&amp;'4 - Cost Support'!$A$31&amp;")"</f>
        <v>(Attachment 4, Line 14)</v>
      </c>
      <c r="H12" s="201">
        <f>+'4 - Cost Support'!T31</f>
        <v>47870031</v>
      </c>
    </row>
    <row r="13" spans="1:8">
      <c r="A13" s="230">
        <f>+A12+1</f>
        <v>3</v>
      </c>
      <c r="B13" s="230"/>
      <c r="C13" s="197" t="s">
        <v>11</v>
      </c>
      <c r="E13" s="248"/>
      <c r="F13" s="204" t="str">
        <f>"(Attachment 4, Line "&amp;'4 - Cost Support'!$A$32&amp;")"</f>
        <v>(Attachment 4, Line 15)</v>
      </c>
      <c r="H13" s="201">
        <f>+'4 - Cost Support'!T32</f>
        <v>13359920</v>
      </c>
    </row>
    <row r="14" spans="1:8">
      <c r="A14" s="230">
        <f>+A13+1</f>
        <v>4</v>
      </c>
      <c r="B14" s="230"/>
      <c r="C14" s="249" t="s">
        <v>12</v>
      </c>
      <c r="D14" s="202"/>
      <c r="E14" s="250"/>
      <c r="F14" s="202" t="str">
        <f>"(Line "&amp;A12&amp;" - Line "&amp;A13&amp;")"</f>
        <v>(Line 2 - Line 3)</v>
      </c>
      <c r="G14" s="759"/>
      <c r="H14" s="202">
        <f>H12-H13</f>
        <v>34510111</v>
      </c>
    </row>
    <row r="15" spans="1:8">
      <c r="A15" s="230"/>
      <c r="B15" s="230"/>
      <c r="E15" s="205"/>
      <c r="H15" s="201"/>
    </row>
    <row r="16" spans="1:8" ht="21" thickBot="1">
      <c r="A16" s="230">
        <v>5</v>
      </c>
      <c r="B16" s="251" t="s">
        <v>13</v>
      </c>
      <c r="C16" s="251"/>
      <c r="D16" s="252"/>
      <c r="E16" s="253"/>
      <c r="F16" s="254" t="str">
        <f>"(Line "&amp;A10&amp;" / Line "&amp;A14&amp;")"</f>
        <v>(Line 1 / Line 4)</v>
      </c>
      <c r="G16" s="758"/>
      <c r="H16" s="474">
        <f>H10/H14</f>
        <v>0.12783050741274057</v>
      </c>
    </row>
    <row r="17" spans="1:8" ht="21" thickTop="1">
      <c r="A17" s="230"/>
      <c r="B17" s="230"/>
      <c r="C17" s="242"/>
      <c r="E17" s="205"/>
      <c r="H17" s="203"/>
    </row>
    <row r="18" spans="1:8">
      <c r="A18" s="230"/>
      <c r="B18" s="242" t="s">
        <v>14</v>
      </c>
    </row>
    <row r="19" spans="1:8">
      <c r="A19" s="230">
        <f>+A16+1</f>
        <v>6</v>
      </c>
      <c r="C19" s="197" t="s">
        <v>15</v>
      </c>
      <c r="E19" s="248" t="str">
        <f>"(Note "&amp;B$296&amp;")"</f>
        <v>(Note A)</v>
      </c>
      <c r="F19" s="201" t="str">
        <f>"(Attachment 4, Line "&amp;'4 - Cost Support'!A9&amp;")"</f>
        <v>(Attachment 4, Line 1)</v>
      </c>
      <c r="H19" s="201">
        <f>+'4 - Cost Support'!T9</f>
        <v>2944716881.9496202</v>
      </c>
    </row>
    <row r="20" spans="1:8">
      <c r="A20" s="230">
        <f>+A19+1</f>
        <v>7</v>
      </c>
      <c r="C20" s="255" t="s">
        <v>16</v>
      </c>
      <c r="D20" s="255"/>
      <c r="E20" s="256" t="str">
        <f>"(Note "&amp;B$296&amp;")"</f>
        <v>(Note A)</v>
      </c>
      <c r="F20" s="204" t="str">
        <f>"(Attachment 4, Line "&amp;'4 - Cost Support'!A11&amp;")"</f>
        <v>(Attachment 4, Line 3)</v>
      </c>
      <c r="G20" s="760"/>
      <c r="H20" s="204">
        <f>+'4 - Cost Support'!T11</f>
        <v>-1278351074.5944602</v>
      </c>
    </row>
    <row r="21" spans="1:8">
      <c r="A21" s="230">
        <f>+A20+1</f>
        <v>8</v>
      </c>
      <c r="C21" s="197" t="s">
        <v>17</v>
      </c>
      <c r="F21" s="201" t="str">
        <f>"(Line "&amp;A19&amp;" - Line "&amp;A20&amp;")"</f>
        <v>(Line 6 - Line 7)</v>
      </c>
      <c r="H21" s="201">
        <f>+H19+H20</f>
        <v>1666365807.35516</v>
      </c>
    </row>
    <row r="22" spans="1:8">
      <c r="A22" s="230"/>
    </row>
    <row r="23" spans="1:8">
      <c r="A23" s="230">
        <f>+A21+1</f>
        <v>9</v>
      </c>
      <c r="C23" s="197" t="s">
        <v>18</v>
      </c>
      <c r="E23" s="248" t="str">
        <f>"(Note "&amp;B$296&amp;")"</f>
        <v>(Note A)</v>
      </c>
      <c r="F23" s="204" t="str">
        <f>"(Line "&amp;A42&amp;")"</f>
        <v>(Line 20)</v>
      </c>
      <c r="H23" s="546">
        <f>H42</f>
        <v>620134900.17369854</v>
      </c>
    </row>
    <row r="24" spans="1:8" ht="21" thickBot="1">
      <c r="A24" s="230">
        <f>+A23+1</f>
        <v>10</v>
      </c>
      <c r="B24" s="251" t="s">
        <v>19</v>
      </c>
      <c r="C24" s="251"/>
      <c r="D24" s="252"/>
      <c r="E24" s="258"/>
      <c r="F24" s="254" t="str">
        <f>"(Line "&amp;A23&amp;" / Line "&amp;A19&amp;")"</f>
        <v>(Line 9 / Line 6)</v>
      </c>
      <c r="G24" s="758"/>
      <c r="H24" s="474">
        <f>H23/H19</f>
        <v>0.21059236763132333</v>
      </c>
    </row>
    <row r="25" spans="1:8" ht="21" thickTop="1">
      <c r="A25" s="230"/>
    </row>
    <row r="26" spans="1:8">
      <c r="A26" s="230">
        <f>+A24+1</f>
        <v>11</v>
      </c>
      <c r="B26" s="230"/>
      <c r="C26" s="197" t="s">
        <v>20</v>
      </c>
      <c r="E26" s="248" t="str">
        <f>"(Note "&amp;B$296&amp;")"</f>
        <v>(Note A)</v>
      </c>
      <c r="F26" s="204" t="str">
        <f>"(Line "&amp;A57&amp;")"</f>
        <v>(Line 29)</v>
      </c>
      <c r="H26" s="207">
        <f>H57</f>
        <v>367842698.22026986</v>
      </c>
    </row>
    <row r="27" spans="1:8" ht="21" thickBot="1">
      <c r="A27" s="230">
        <f>+A26+1</f>
        <v>12</v>
      </c>
      <c r="B27" s="251" t="s">
        <v>21</v>
      </c>
      <c r="C27" s="251"/>
      <c r="D27" s="252"/>
      <c r="E27" s="258"/>
      <c r="F27" s="254" t="str">
        <f>"(Line "&amp;A26&amp;" / Line "&amp;A21&amp;")"</f>
        <v>(Line 11 / Line 8)</v>
      </c>
      <c r="G27" s="758"/>
      <c r="H27" s="474">
        <f>H26/H21</f>
        <v>0.22074546692968111</v>
      </c>
    </row>
    <row r="28" spans="1:8" ht="21" thickTop="1">
      <c r="A28" s="230"/>
      <c r="B28" s="242"/>
      <c r="C28" s="242"/>
      <c r="F28" s="201"/>
      <c r="H28" s="391"/>
    </row>
    <row r="29" spans="1:8">
      <c r="A29" s="230"/>
      <c r="B29" s="242"/>
      <c r="F29" s="201"/>
      <c r="H29" s="391"/>
    </row>
    <row r="30" spans="1:8">
      <c r="A30" s="244" t="s">
        <v>22</v>
      </c>
      <c r="B30" s="245"/>
      <c r="C30" s="206"/>
      <c r="D30" s="206"/>
      <c r="E30" s="246"/>
      <c r="F30" s="206"/>
      <c r="G30" s="769"/>
      <c r="H30" s="199"/>
    </row>
    <row r="31" spans="1:8">
      <c r="A31" s="259"/>
      <c r="B31" s="260"/>
      <c r="E31" s="227"/>
      <c r="H31" s="200"/>
    </row>
    <row r="32" spans="1:8">
      <c r="A32" s="230"/>
      <c r="B32" s="242" t="s">
        <v>23</v>
      </c>
      <c r="E32" s="205"/>
      <c r="F32" s="201"/>
      <c r="H32" s="201"/>
    </row>
    <row r="33" spans="1:8">
      <c r="A33" s="230">
        <f>+A27+1</f>
        <v>13</v>
      </c>
      <c r="B33" s="230"/>
      <c r="C33" s="197" t="s">
        <v>24</v>
      </c>
      <c r="E33" s="248" t="str">
        <f>"(Note "&amp;B$296&amp;" &amp; "&amp;B305&amp;")"</f>
        <v>(Note A &amp; J)</v>
      </c>
      <c r="F33" s="201" t="str">
        <f>"(Attachment 4, Line "&amp;'4 - Cost Support'!A17&amp;")"</f>
        <v>(Attachment 4, Line 7)</v>
      </c>
      <c r="H33" s="201">
        <f>+'4 - Cost Support'!T17</f>
        <v>607243842.25578296</v>
      </c>
    </row>
    <row r="34" spans="1:8">
      <c r="A34" s="230"/>
      <c r="B34" s="230"/>
      <c r="F34" s="201"/>
      <c r="H34" s="201"/>
    </row>
    <row r="35" spans="1:8">
      <c r="A35" s="230">
        <f>+A33+1</f>
        <v>14</v>
      </c>
      <c r="B35" s="230"/>
      <c r="C35" s="197" t="s">
        <v>25</v>
      </c>
      <c r="E35" s="248" t="str">
        <f>"(Note "&amp;B$296&amp;")"</f>
        <v>(Note A)</v>
      </c>
      <c r="F35" s="201" t="str">
        <f>"(Attachment 4, Line "&amp;'4 - Cost Support'!A18&amp;")"</f>
        <v>(Attachment 4, Line 8)</v>
      </c>
      <c r="H35" s="201">
        <f>+'4 - Cost Support'!T18</f>
        <v>40444443.146490276</v>
      </c>
    </row>
    <row r="36" spans="1:8">
      <c r="A36" s="230">
        <f>A35+1</f>
        <v>15</v>
      </c>
      <c r="B36" s="230"/>
      <c r="C36" s="197" t="s">
        <v>26</v>
      </c>
      <c r="E36" s="248" t="str">
        <f>"(Note "&amp;B$296&amp;")"</f>
        <v>(Note A)</v>
      </c>
      <c r="F36" s="201" t="str">
        <f>"(Attachment 4, Line "&amp;'4 - Cost Support'!A19&amp;")"</f>
        <v>(Attachment 4, Line 9)</v>
      </c>
      <c r="H36" s="201">
        <f>+'4 - Cost Support'!T19</f>
        <v>60400481.737463847</v>
      </c>
    </row>
    <row r="37" spans="1:8">
      <c r="A37" s="230">
        <f>A36+1</f>
        <v>16</v>
      </c>
      <c r="B37" s="230"/>
      <c r="C37" s="197" t="s">
        <v>27</v>
      </c>
      <c r="E37" s="248" t="str">
        <f>"(Note "&amp;B$296&amp;")"</f>
        <v>(Note A)</v>
      </c>
      <c r="F37" s="204" t="str">
        <f>"(Attachment 4, Line "&amp;'4 - Cost Support'!A20&amp;")"</f>
        <v>(Attachment 4, Line 10)</v>
      </c>
      <c r="H37" s="201">
        <f>+'4 - Cost Support'!T20</f>
        <v>0</v>
      </c>
    </row>
    <row r="38" spans="1:8">
      <c r="A38" s="230">
        <f>A37+1</f>
        <v>17</v>
      </c>
      <c r="B38" s="230"/>
      <c r="C38" s="249" t="s">
        <v>28</v>
      </c>
      <c r="D38" s="249"/>
      <c r="E38" s="257"/>
      <c r="F38" s="201" t="str">
        <f>"(Line "&amp;A35&amp;" + Line "&amp;A36&amp;" + Line "&amp;A37&amp;")"</f>
        <v>(Line 14 + Line 15 + Line 16)</v>
      </c>
      <c r="G38" s="759"/>
      <c r="H38" s="202">
        <f>SUM(H35:H37)</f>
        <v>100844924.88395412</v>
      </c>
    </row>
    <row r="39" spans="1:8">
      <c r="A39" s="230">
        <f>+A38+1</f>
        <v>18</v>
      </c>
      <c r="B39" s="230"/>
      <c r="C39" s="228" t="s">
        <v>29</v>
      </c>
      <c r="E39" s="205"/>
      <c r="F39" s="204" t="str">
        <f>"(Line "&amp;A$16&amp;")"</f>
        <v>(Line 5)</v>
      </c>
      <c r="H39" s="461">
        <f>H16</f>
        <v>0.12783050741274057</v>
      </c>
    </row>
    <row r="40" spans="1:8">
      <c r="A40" s="230">
        <f>A39+1</f>
        <v>19</v>
      </c>
      <c r="C40" s="249" t="s">
        <v>30</v>
      </c>
      <c r="D40" s="249"/>
      <c r="E40" s="250"/>
      <c r="F40" s="201" t="str">
        <f>"(Line "&amp;A38&amp;" * Line "&amp;A39&amp;")"</f>
        <v>(Line 17 * Line 18)</v>
      </c>
      <c r="G40" s="759"/>
      <c r="H40" s="209">
        <f>+H38*H39</f>
        <v>12891057.917915564</v>
      </c>
    </row>
    <row r="41" spans="1:8">
      <c r="A41" s="230"/>
      <c r="C41" s="242"/>
      <c r="H41" s="207"/>
    </row>
    <row r="42" spans="1:8" s="9" customFormat="1" ht="21" thickBot="1">
      <c r="A42" s="230">
        <f>+A40+1</f>
        <v>20</v>
      </c>
      <c r="B42" s="251" t="s">
        <v>31</v>
      </c>
      <c r="C42" s="251"/>
      <c r="D42" s="251"/>
      <c r="E42" s="263"/>
      <c r="F42" s="254" t="str">
        <f>"(Line "&amp;A33&amp;" + Line "&amp;A40&amp;")"</f>
        <v>(Line 13 + Line 19)</v>
      </c>
      <c r="G42" s="758"/>
      <c r="H42" s="475">
        <f>+H33+H40</f>
        <v>620134900.17369854</v>
      </c>
    </row>
    <row r="43" spans="1:8" ht="21" thickTop="1">
      <c r="A43" s="230"/>
    </row>
    <row r="44" spans="1:8">
      <c r="A44" s="230"/>
      <c r="B44" s="242" t="s">
        <v>32</v>
      </c>
      <c r="C44" s="242"/>
      <c r="D44" s="201"/>
      <c r="E44" s="248"/>
      <c r="F44" s="201"/>
      <c r="G44" s="771"/>
      <c r="H44" s="201"/>
    </row>
    <row r="45" spans="1:8">
      <c r="A45" s="230"/>
      <c r="F45" s="201"/>
      <c r="G45" s="770"/>
      <c r="H45" s="201"/>
    </row>
    <row r="46" spans="1:8">
      <c r="A46" s="230">
        <f>+A42+1</f>
        <v>21</v>
      </c>
      <c r="B46" s="230"/>
      <c r="C46" s="197" t="s">
        <v>33</v>
      </c>
      <c r="E46" s="248" t="str">
        <f>"(Note "&amp;B$296&amp;")"</f>
        <v>(Note A)</v>
      </c>
      <c r="F46" s="201" t="str">
        <f>"(Attachment 4, Line "&amp;'4 - Cost Support'!A23&amp;")"</f>
        <v>(Attachment 4, Line 11)</v>
      </c>
      <c r="G46" s="803"/>
      <c r="H46" s="201">
        <f>+'4 - Cost Support'!T23</f>
        <v>-246274525.86993343</v>
      </c>
    </row>
    <row r="47" spans="1:8">
      <c r="A47" s="230"/>
      <c r="B47" s="230"/>
      <c r="E47" s="248"/>
      <c r="F47" s="201"/>
      <c r="H47" s="201"/>
    </row>
    <row r="48" spans="1:8">
      <c r="A48" s="230">
        <f>A46+1</f>
        <v>22</v>
      </c>
      <c r="B48" s="230"/>
      <c r="C48" s="197" t="s">
        <v>34</v>
      </c>
      <c r="E48" s="248" t="str">
        <f>"(Note "&amp;B$296&amp;")"</f>
        <v>(Note A)</v>
      </c>
      <c r="F48" s="201" t="str">
        <f>"(Attachment 4, Line "&amp;'4 - Cost Support'!A24&amp;")"</f>
        <v>(Attachment 4, Line 12)</v>
      </c>
      <c r="G48" s="803"/>
      <c r="H48" s="201">
        <f>+'4 - Cost Support'!T24</f>
        <v>-11589306.349332053</v>
      </c>
    </row>
    <row r="49" spans="1:8">
      <c r="A49" s="230">
        <f>+A48+1</f>
        <v>23</v>
      </c>
      <c r="B49" s="230"/>
      <c r="C49" s="197" t="s">
        <v>35</v>
      </c>
      <c r="E49" s="248" t="str">
        <f>"(Note "&amp;B$296&amp;")"</f>
        <v>(Note A)</v>
      </c>
      <c r="F49" s="201" t="str">
        <f>"(Attachment 4, Line "&amp;'4 - Cost Support'!A12&amp;")"</f>
        <v>(Attachment 4, Line 4)</v>
      </c>
      <c r="H49" s="201">
        <f>+'4 - Cost Support'!T12</f>
        <v>-35486123.493603066</v>
      </c>
    </row>
    <row r="50" spans="1:8">
      <c r="A50" s="230">
        <f>+A49+1</f>
        <v>24</v>
      </c>
      <c r="B50" s="230"/>
      <c r="C50" s="255" t="s">
        <v>36</v>
      </c>
      <c r="D50" s="255"/>
      <c r="E50" s="256" t="str">
        <f>"(Note "&amp;B$296&amp;")"</f>
        <v>(Note A)</v>
      </c>
      <c r="F50" s="204" t="str">
        <f>"(Attachment 4, Line "&amp;'4 - Cost Support'!A25&amp;")"</f>
        <v>(Attachment 4, Line 13)</v>
      </c>
      <c r="G50" s="760"/>
      <c r="H50" s="204">
        <f>+'4 - Cost Support'!T25</f>
        <v>0</v>
      </c>
    </row>
    <row r="51" spans="1:8">
      <c r="A51" s="230">
        <f>+A50+1</f>
        <v>25</v>
      </c>
      <c r="B51" s="230"/>
      <c r="C51" s="197" t="s">
        <v>37</v>
      </c>
      <c r="E51" s="205"/>
      <c r="F51" s="201" t="str">
        <f>"(Line "&amp;A48&amp;" + "&amp;A49&amp;" + "&amp;A50&amp;")"</f>
        <v>(Line 22 + 23 + 24)</v>
      </c>
      <c r="G51" s="770"/>
      <c r="H51" s="201">
        <f>+H48+H50+H49</f>
        <v>-47075429.842935115</v>
      </c>
    </row>
    <row r="52" spans="1:8">
      <c r="A52" s="230">
        <f>+A51+1</f>
        <v>26</v>
      </c>
      <c r="B52" s="230"/>
      <c r="C52" s="197" t="str">
        <f>+C39</f>
        <v>Wage &amp; Salary Allocator</v>
      </c>
      <c r="E52" s="205"/>
      <c r="F52" s="204" t="str">
        <f>"(Line "&amp;A$16&amp;")"</f>
        <v>(Line 5)</v>
      </c>
      <c r="G52" s="770"/>
      <c r="H52" s="476">
        <f>H16</f>
        <v>0.12783050741274057</v>
      </c>
    </row>
    <row r="53" spans="1:8">
      <c r="A53" s="230">
        <f>+A52+1</f>
        <v>27</v>
      </c>
      <c r="C53" s="249" t="s">
        <v>38</v>
      </c>
      <c r="D53" s="249"/>
      <c r="E53" s="257"/>
      <c r="F53" s="201" t="str">
        <f>"(Line "&amp;A51&amp;" * Line "&amp;A52&amp;")"</f>
        <v>(Line 25 * Line 26)</v>
      </c>
      <c r="G53" s="759"/>
      <c r="H53" s="209">
        <f>H51*H52</f>
        <v>-6017676.0834952658</v>
      </c>
    </row>
    <row r="54" spans="1:8">
      <c r="A54" s="230"/>
      <c r="F54" s="230"/>
      <c r="H54" s="207"/>
    </row>
    <row r="55" spans="1:8" ht="21" thickBot="1">
      <c r="A55" s="230">
        <f>+A53+1</f>
        <v>28</v>
      </c>
      <c r="B55" s="251" t="s">
        <v>39</v>
      </c>
      <c r="C55" s="251"/>
      <c r="D55" s="251"/>
      <c r="E55" s="263"/>
      <c r="F55" s="265" t="str">
        <f>"(Lines "&amp;A46&amp;" + "&amp;A53&amp;")"</f>
        <v>(Lines 21 + 27)</v>
      </c>
      <c r="G55" s="758"/>
      <c r="H55" s="475">
        <f>+H46+H53</f>
        <v>-252292201.95342869</v>
      </c>
    </row>
    <row r="56" spans="1:8" ht="21" thickTop="1">
      <c r="A56" s="230"/>
      <c r="H56" s="268"/>
    </row>
    <row r="57" spans="1:8" ht="21" thickBot="1">
      <c r="A57" s="230">
        <f>+A55+1</f>
        <v>29</v>
      </c>
      <c r="B57" s="251" t="s">
        <v>40</v>
      </c>
      <c r="C57" s="251"/>
      <c r="D57" s="251"/>
      <c r="E57" s="263"/>
      <c r="F57" s="254" t="str">
        <f>"(Line "&amp;A42&amp;" - Line "&amp;A55&amp;")"</f>
        <v>(Line 20 - Line 28)</v>
      </c>
      <c r="G57" s="758"/>
      <c r="H57" s="475">
        <f>H42+H55</f>
        <v>367842698.22026986</v>
      </c>
    </row>
    <row r="58" spans="1:8" ht="21" thickTop="1">
      <c r="A58" s="230"/>
    </row>
    <row r="59" spans="1:8">
      <c r="A59" s="244" t="s">
        <v>41</v>
      </c>
      <c r="B59" s="206"/>
      <c r="C59" s="206"/>
      <c r="D59" s="206"/>
      <c r="E59" s="246"/>
      <c r="F59" s="206"/>
      <c r="G59" s="769"/>
      <c r="H59" s="206"/>
    </row>
    <row r="60" spans="1:8">
      <c r="A60" s="266"/>
      <c r="B60" s="267"/>
      <c r="C60" s="267"/>
      <c r="D60" s="267"/>
      <c r="H60" s="533"/>
    </row>
    <row r="61" spans="1:8">
      <c r="A61" s="230"/>
      <c r="B61" s="243" t="s">
        <v>42</v>
      </c>
      <c r="E61" s="268"/>
      <c r="H61" s="201"/>
    </row>
    <row r="62" spans="1:8">
      <c r="A62" s="230">
        <f>+A57+1</f>
        <v>30</v>
      </c>
      <c r="B62" s="243"/>
      <c r="C62" s="242" t="s">
        <v>43</v>
      </c>
      <c r="D62" s="268"/>
      <c r="E62" s="248" t="str">
        <f>"(Notes "&amp;B$307&amp;" and "&amp;B311&amp;")"</f>
        <v>(Notes L and P)</v>
      </c>
      <c r="F62" s="201" t="str">
        <f>"(Attachment 1A, Line "&amp;'1A - ADIT'!A19&amp;")"</f>
        <v>(Attachment 1A, Line 11)</v>
      </c>
      <c r="G62" s="803"/>
      <c r="H62" s="207">
        <f>+'1A - ADIT'!H19</f>
        <v>-56750994.747850426</v>
      </c>
    </row>
    <row r="63" spans="1:8">
      <c r="A63" s="230"/>
      <c r="C63" s="243"/>
      <c r="H63" s="207"/>
    </row>
    <row r="64" spans="1:8">
      <c r="A64" s="230"/>
      <c r="B64" s="243" t="s">
        <v>42</v>
      </c>
      <c r="H64" s="207"/>
    </row>
    <row r="65" spans="1:8">
      <c r="A65" s="230">
        <f>+A62+1</f>
        <v>31</v>
      </c>
      <c r="B65" s="243"/>
      <c r="C65" s="242" t="s">
        <v>44</v>
      </c>
      <c r="E65" s="248" t="str">
        <f>"(Note "&amp;B307&amp;" and "&amp;B309&amp;")"</f>
        <v>(Note L and N)</v>
      </c>
      <c r="F65" s="201" t="str">
        <f>"(Attachment 4, Line "&amp;'4 - Cost Support'!A203&amp;")"</f>
        <v>(Attachment 4, Line 78)</v>
      </c>
      <c r="G65" s="803"/>
      <c r="H65" s="207">
        <f>+'4 - Cost Support'!T203</f>
        <v>-25430821.84488298</v>
      </c>
    </row>
    <row r="66" spans="1:8">
      <c r="A66" s="230"/>
      <c r="B66" s="243"/>
      <c r="C66" s="242"/>
      <c r="E66" s="248"/>
      <c r="H66" s="207"/>
    </row>
    <row r="67" spans="1:8">
      <c r="A67" s="230"/>
      <c r="B67" s="242" t="s">
        <v>45</v>
      </c>
      <c r="E67" s="197"/>
    </row>
    <row r="68" spans="1:8">
      <c r="A68" s="230">
        <f>+A65+1</f>
        <v>32</v>
      </c>
      <c r="B68" s="227"/>
      <c r="C68" s="197" t="s">
        <v>46</v>
      </c>
      <c r="D68" s="248"/>
      <c r="E68" s="248" t="str">
        <f>"(Note "&amp;B$296&amp;" &amp; "&amp;B$301&amp;")"</f>
        <v>(Note A &amp; F)</v>
      </c>
      <c r="F68" s="201" t="str">
        <f>"(Attachment 5, Line "&amp;'5 - CWIP in Rate Base'!A35&amp;")"</f>
        <v>(Attachment 5, Line 25)</v>
      </c>
      <c r="G68" s="803"/>
      <c r="H68" s="201">
        <f>+'5 - CWIP in Rate Base'!S35</f>
        <v>34639469.649624467</v>
      </c>
    </row>
    <row r="69" spans="1:8">
      <c r="A69" s="230"/>
      <c r="B69" s="227"/>
      <c r="D69" s="248"/>
      <c r="E69" s="248"/>
      <c r="F69" s="228"/>
      <c r="H69" s="201"/>
    </row>
    <row r="70" spans="1:8" s="46" customFormat="1">
      <c r="A70" s="230"/>
      <c r="B70" s="242" t="s">
        <v>47</v>
      </c>
      <c r="C70" s="197"/>
      <c r="D70" s="197"/>
      <c r="E70" s="197"/>
      <c r="F70" s="197"/>
      <c r="G70" s="757"/>
      <c r="H70" s="197"/>
    </row>
    <row r="71" spans="1:8" s="46" customFormat="1">
      <c r="A71" s="230">
        <f>+A68+1</f>
        <v>33</v>
      </c>
      <c r="B71" s="227"/>
      <c r="C71" s="197" t="s">
        <v>48</v>
      </c>
      <c r="D71" s="248"/>
      <c r="E71" s="248" t="str">
        <f>"(Note "&amp;B296&amp;" and "&amp;B$308&amp;")"</f>
        <v>(Note A and M)</v>
      </c>
      <c r="F71" s="201" t="str">
        <f>"(Attachment 4, Line "&amp;'4 - Cost Support'!A195&amp;")"</f>
        <v>(Attachment 4, Line 77)</v>
      </c>
      <c r="G71" s="757"/>
      <c r="H71" s="201">
        <f>+'4 - Cost Support'!K195</f>
        <v>0</v>
      </c>
    </row>
    <row r="72" spans="1:8">
      <c r="A72" s="230"/>
      <c r="B72" s="230"/>
      <c r="D72" s="248"/>
      <c r="E72" s="228"/>
      <c r="G72" s="770"/>
    </row>
    <row r="73" spans="1:8">
      <c r="A73" s="230">
        <f>+A71+1</f>
        <v>34</v>
      </c>
      <c r="B73" s="242" t="s">
        <v>49</v>
      </c>
      <c r="D73" s="269"/>
      <c r="E73" s="248" t="str">
        <f>"(Note "&amp;B$297&amp;" &amp; "&amp;B$307&amp;")"</f>
        <v>(Note B &amp; L)</v>
      </c>
      <c r="F73" s="201" t="str">
        <f>"(Attachment 4, Line "&amp;'4 - Cost Support'!A40&amp;")"</f>
        <v>(Attachment 4, Line 17)</v>
      </c>
      <c r="H73" s="201">
        <f>'4 - Cost Support'!S40</f>
        <v>42369</v>
      </c>
    </row>
    <row r="74" spans="1:8">
      <c r="A74" s="230"/>
      <c r="B74" s="230"/>
      <c r="D74" s="248"/>
      <c r="E74" s="228"/>
      <c r="G74" s="770"/>
    </row>
    <row r="75" spans="1:8">
      <c r="A75" s="230"/>
      <c r="B75" s="243" t="s">
        <v>50</v>
      </c>
      <c r="C75" s="228"/>
      <c r="F75" s="270"/>
      <c r="G75" s="770"/>
    </row>
    <row r="76" spans="1:8">
      <c r="A76" s="230">
        <f>+A73+1</f>
        <v>35</v>
      </c>
      <c r="B76" s="271"/>
      <c r="C76" s="228" t="s">
        <v>51</v>
      </c>
      <c r="D76" s="248"/>
      <c r="E76" s="248" t="str">
        <f>"(Note "&amp;B$296&amp;")"</f>
        <v>(Note A)</v>
      </c>
      <c r="F76" s="201" t="str">
        <f>"(Attachment 4, Line "&amp;'4 - Cost Support'!A51&amp;")"</f>
        <v>(Attachment 4, Line 22)</v>
      </c>
      <c r="G76" s="770"/>
      <c r="H76" s="207">
        <f>+'4 - Cost Support'!T51</f>
        <v>11848081.747692309</v>
      </c>
    </row>
    <row r="77" spans="1:8">
      <c r="A77" s="230">
        <f>+A76+1</f>
        <v>36</v>
      </c>
      <c r="B77" s="271"/>
      <c r="C77" s="261" t="s">
        <v>29</v>
      </c>
      <c r="D77" s="261"/>
      <c r="E77" s="273"/>
      <c r="F77" s="204" t="str">
        <f>"(Line "&amp;A$16&amp;")"</f>
        <v>(Line 5)</v>
      </c>
      <c r="G77" s="772"/>
      <c r="H77" s="461">
        <f>+H16</f>
        <v>0.12783050741274057</v>
      </c>
    </row>
    <row r="78" spans="1:8">
      <c r="A78" s="230">
        <f>+A77+1</f>
        <v>37</v>
      </c>
      <c r="B78" s="271"/>
      <c r="C78" s="228" t="s">
        <v>52</v>
      </c>
      <c r="F78" s="201" t="str">
        <f>"(Line "&amp;A76&amp;" * Line "&amp;A77&amp;")"</f>
        <v>(Line 35 * Line 36)</v>
      </c>
      <c r="G78" s="770"/>
      <c r="H78" s="209">
        <f>H76*H77</f>
        <v>1514546.3016751381</v>
      </c>
    </row>
    <row r="79" spans="1:8">
      <c r="A79" s="230"/>
      <c r="B79" s="268"/>
      <c r="C79" s="228"/>
      <c r="F79" s="215"/>
      <c r="G79" s="770"/>
      <c r="H79" s="208"/>
    </row>
    <row r="80" spans="1:8">
      <c r="A80" s="230"/>
      <c r="B80" s="243" t="s">
        <v>53</v>
      </c>
      <c r="E80" s="272"/>
      <c r="F80" s="215"/>
      <c r="G80" s="770"/>
      <c r="H80" s="208"/>
    </row>
    <row r="81" spans="1:8">
      <c r="A81" s="230">
        <f>+A78+1</f>
        <v>38</v>
      </c>
      <c r="C81" s="197" t="s">
        <v>54</v>
      </c>
      <c r="E81" s="248" t="str">
        <f>"(Note "&amp;B$296&amp;")"</f>
        <v>(Note A)</v>
      </c>
      <c r="F81" s="201" t="str">
        <f>"(Attachment 4, Line "&amp;'4 - Cost Support'!A59&amp;")"</f>
        <v>(Attachment 4, Line 23)</v>
      </c>
      <c r="H81" s="201">
        <f>+'4 - Cost Support'!T59</f>
        <v>124957.92307692308</v>
      </c>
    </row>
    <row r="82" spans="1:8">
      <c r="A82" s="230">
        <f>+A81+1</f>
        <v>39</v>
      </c>
      <c r="B82" s="268"/>
      <c r="C82" s="261" t="s">
        <v>29</v>
      </c>
      <c r="D82" s="261"/>
      <c r="E82" s="273"/>
      <c r="F82" s="204" t="str">
        <f>"(Line "&amp;A$16&amp;")"</f>
        <v>(Line 5)</v>
      </c>
      <c r="G82" s="772"/>
      <c r="H82" s="461">
        <f>H16</f>
        <v>0.12783050741274057</v>
      </c>
    </row>
    <row r="83" spans="1:8">
      <c r="A83" s="230">
        <f>+A82+1</f>
        <v>40</v>
      </c>
      <c r="B83" s="268"/>
      <c r="C83" s="228" t="s">
        <v>55</v>
      </c>
      <c r="F83" s="201" t="str">
        <f>"(Line "&amp;A81&amp;" * Line "&amp;A82&amp;")"</f>
        <v>(Line 38 * Line 39)</v>
      </c>
      <c r="G83" s="770"/>
      <c r="H83" s="209">
        <f>H81*H82</f>
        <v>15973.434712165283</v>
      </c>
    </row>
    <row r="84" spans="1:8">
      <c r="A84" s="230"/>
      <c r="B84" s="268"/>
      <c r="C84" s="228" t="s">
        <v>56</v>
      </c>
      <c r="E84" s="248" t="str">
        <f>"(Note "&amp;B$296&amp;" &amp; "&amp;B315&amp;")"</f>
        <v>(Note A &amp; T)</v>
      </c>
      <c r="F84" s="201" t="str">
        <f>"(Attachment 4, Line "&amp;'4 - Cost Support'!A61&amp;")"</f>
        <v>(Attachment 4, Line 25)</v>
      </c>
      <c r="G84" s="770"/>
      <c r="H84" s="207">
        <f>+'4 - Cost Support'!T61</f>
        <v>742263.69230769225</v>
      </c>
    </row>
    <row r="85" spans="1:8">
      <c r="A85" s="230">
        <f>A83+1</f>
        <v>41</v>
      </c>
      <c r="B85" s="268"/>
      <c r="C85" s="228" t="s">
        <v>57</v>
      </c>
      <c r="E85" s="248" t="str">
        <f>"(Note  "&amp;B$296&amp;" )"</f>
        <v>(Note  A )</v>
      </c>
      <c r="F85" s="204" t="str">
        <f>"(Attachment 4, Line "&amp;'4 - Cost Support'!A60&amp;")"</f>
        <v>(Attachment 4, Line 24)</v>
      </c>
      <c r="G85" s="770"/>
      <c r="H85" s="210">
        <f>+'4 - Cost Support'!T60</f>
        <v>76047.692307692312</v>
      </c>
    </row>
    <row r="86" spans="1:8" ht="27.75" customHeight="1">
      <c r="A86" s="230">
        <f>A85+1</f>
        <v>42</v>
      </c>
      <c r="B86" s="268"/>
      <c r="C86" s="249" t="s">
        <v>58</v>
      </c>
      <c r="D86" s="249"/>
      <c r="E86" s="257"/>
      <c r="F86" s="201" t="str">
        <f>"(Line "&amp;A83&amp;" + Line "&amp;A85&amp;")"</f>
        <v>(Line 40 + Line 41)</v>
      </c>
      <c r="G86" s="773"/>
      <c r="H86" s="207">
        <f>H83+H84+H85</f>
        <v>834284.81932754978</v>
      </c>
    </row>
    <row r="87" spans="1:8" ht="27.75" customHeight="1">
      <c r="A87" s="230"/>
      <c r="B87" s="268"/>
      <c r="F87" s="201"/>
      <c r="G87" s="770"/>
      <c r="H87" s="201"/>
    </row>
    <row r="88" spans="1:8">
      <c r="A88" s="230"/>
      <c r="B88" s="243" t="s">
        <v>59</v>
      </c>
      <c r="F88" s="215"/>
      <c r="G88" s="770"/>
    </row>
    <row r="89" spans="1:8">
      <c r="A89" s="230">
        <f>+A86+1</f>
        <v>43</v>
      </c>
      <c r="B89" s="268"/>
      <c r="C89" s="228" t="s">
        <v>60</v>
      </c>
      <c r="D89" s="228"/>
      <c r="F89" s="201" t="str">
        <f>"(Line "&amp;A$144&amp;")"</f>
        <v>(Line 78)</v>
      </c>
      <c r="G89" s="770"/>
      <c r="H89" s="207">
        <f>H144</f>
        <v>19511048.876679722</v>
      </c>
    </row>
    <row r="90" spans="1:8">
      <c r="A90" s="230">
        <f>+A89+1</f>
        <v>44</v>
      </c>
      <c r="B90" s="268"/>
      <c r="C90" s="228" t="s">
        <v>61</v>
      </c>
      <c r="D90" s="228"/>
      <c r="F90" s="261"/>
      <c r="H90" s="211">
        <v>0</v>
      </c>
    </row>
    <row r="91" spans="1:8" s="9" customFormat="1">
      <c r="A91" s="230">
        <f>+A90+1</f>
        <v>45</v>
      </c>
      <c r="B91" s="262"/>
      <c r="C91" s="274" t="s">
        <v>62</v>
      </c>
      <c r="D91" s="274"/>
      <c r="E91" s="275"/>
      <c r="F91" s="201" t="str">
        <f>"(Line "&amp;A89&amp;" * Line "&amp;A90&amp;")"</f>
        <v>(Line 43 * Line 44)</v>
      </c>
      <c r="G91" s="759"/>
      <c r="H91" s="207">
        <f>H89*H90</f>
        <v>0</v>
      </c>
    </row>
    <row r="92" spans="1:8" s="9" customFormat="1">
      <c r="A92" s="230"/>
      <c r="B92" s="262"/>
      <c r="C92" s="228"/>
      <c r="D92" s="228"/>
      <c r="E92" s="227"/>
      <c r="F92" s="201"/>
      <c r="G92" s="757"/>
      <c r="H92" s="207"/>
    </row>
    <row r="93" spans="1:8" s="9" customFormat="1">
      <c r="A93" s="230"/>
      <c r="B93" s="243" t="s">
        <v>63</v>
      </c>
      <c r="C93" s="228"/>
      <c r="D93" s="228"/>
      <c r="E93" s="227"/>
      <c r="F93" s="201"/>
      <c r="G93" s="757"/>
      <c r="H93" s="207"/>
    </row>
    <row r="94" spans="1:8" s="9" customFormat="1">
      <c r="A94" s="230">
        <f>+A91+1</f>
        <v>46</v>
      </c>
      <c r="B94" s="262"/>
      <c r="C94" s="228" t="s">
        <v>64</v>
      </c>
      <c r="D94" s="228"/>
      <c r="E94" s="248" t="str">
        <f>"(Note  "&amp;B$296&amp;")"</f>
        <v>(Note  A)</v>
      </c>
      <c r="F94" s="201" t="str">
        <f>"(Attachment 4, Line "&amp;'4 - Cost Support'!A212&amp;")"</f>
        <v>(Attachment 4, Line 79)</v>
      </c>
      <c r="G94" s="757"/>
      <c r="H94" s="207">
        <f>+'4 - Cost Support'!T212</f>
        <v>0</v>
      </c>
    </row>
    <row r="95" spans="1:8" s="9" customFormat="1">
      <c r="A95" s="230">
        <f>+A94+1</f>
        <v>47</v>
      </c>
      <c r="B95" s="262"/>
      <c r="C95" s="261" t="s">
        <v>21</v>
      </c>
      <c r="D95" s="261"/>
      <c r="E95" s="388"/>
      <c r="F95" s="204" t="str">
        <f>"(Line "&amp;A$27&amp;")"</f>
        <v>(Line 12)</v>
      </c>
      <c r="G95" s="760"/>
      <c r="H95" s="460">
        <f>+H27</f>
        <v>0.22074546692968111</v>
      </c>
    </row>
    <row r="96" spans="1:8" s="9" customFormat="1">
      <c r="A96" s="230">
        <f>+A95+1</f>
        <v>48</v>
      </c>
      <c r="B96" s="262"/>
      <c r="C96" s="228" t="s">
        <v>65</v>
      </c>
      <c r="D96" s="228"/>
      <c r="E96" s="227"/>
      <c r="F96" s="201" t="str">
        <f>"(Line "&amp;A94&amp;" * Line "&amp;A95&amp;")"</f>
        <v>(Line 46 * Line 47)</v>
      </c>
      <c r="G96" s="757"/>
      <c r="H96" s="207">
        <f>+H94*H95</f>
        <v>0</v>
      </c>
    </row>
    <row r="97" spans="1:8" s="9" customFormat="1">
      <c r="A97" s="230"/>
      <c r="B97" s="262"/>
      <c r="C97" s="228"/>
      <c r="D97" s="228"/>
      <c r="E97" s="227"/>
      <c r="F97" s="201"/>
      <c r="G97" s="757"/>
      <c r="H97" s="207"/>
    </row>
    <row r="98" spans="1:8" s="9" customFormat="1">
      <c r="A98" s="230">
        <f>+A96+1</f>
        <v>49</v>
      </c>
      <c r="B98" s="262"/>
      <c r="C98" s="228" t="s">
        <v>66</v>
      </c>
      <c r="D98" s="228"/>
      <c r="E98" s="248" t="str">
        <f>"(Note  "&amp;B$296&amp;")"</f>
        <v>(Note  A)</v>
      </c>
      <c r="F98" s="201" t="str">
        <f>"(Attachment 4, Line "&amp;'4 - Cost Support'!A213&amp;")"</f>
        <v>(Attachment 4, Line 80)</v>
      </c>
      <c r="G98" s="757"/>
      <c r="H98" s="207">
        <f>+'4 - Cost Support'!T213</f>
        <v>-1390827.3807692304</v>
      </c>
    </row>
    <row r="99" spans="1:8" s="9" customFormat="1">
      <c r="A99" s="230">
        <f>+A98+1</f>
        <v>50</v>
      </c>
      <c r="B99" s="262"/>
      <c r="C99" s="228" t="s">
        <v>67</v>
      </c>
      <c r="D99" s="228"/>
      <c r="E99" s="248" t="str">
        <f>"(Note  "&amp;B$296&amp;")"</f>
        <v>(Note  A)</v>
      </c>
      <c r="F99" s="201" t="str">
        <f>"(Attachment 4, Line "&amp;'4 - Cost Support'!A214&amp;")"</f>
        <v>(Attachment 4, Line 81)</v>
      </c>
      <c r="G99" s="757"/>
      <c r="H99" s="389">
        <f>+'4 - Cost Support'!T214</f>
        <v>-1816279.5061538464</v>
      </c>
    </row>
    <row r="100" spans="1:8" s="9" customFormat="1">
      <c r="A100" s="230">
        <f>+A99+1</f>
        <v>51</v>
      </c>
      <c r="B100" s="262"/>
      <c r="C100" s="228" t="s">
        <v>68</v>
      </c>
      <c r="D100" s="228"/>
      <c r="E100" s="227"/>
      <c r="F100" s="201" t="str">
        <f>"(Line "&amp;A98&amp;" + Line "&amp;A99&amp;")"</f>
        <v>(Line 49 + Line 50)</v>
      </c>
      <c r="G100" s="757"/>
      <c r="H100" s="207">
        <f>+H98+H99</f>
        <v>-3207106.8869230766</v>
      </c>
    </row>
    <row r="101" spans="1:8" s="9" customFormat="1">
      <c r="A101" s="230">
        <f>+A100+1</f>
        <v>52</v>
      </c>
      <c r="B101" s="262"/>
      <c r="C101" s="261" t="s">
        <v>69</v>
      </c>
      <c r="D101" s="261"/>
      <c r="E101" s="388"/>
      <c r="F101" s="204" t="str">
        <f>"(Line "&amp;A$16&amp;")"</f>
        <v>(Line 5)</v>
      </c>
      <c r="G101" s="760"/>
      <c r="H101" s="460">
        <f>+H16</f>
        <v>0.12783050741274057</v>
      </c>
    </row>
    <row r="102" spans="1:8" s="9" customFormat="1">
      <c r="A102" s="230">
        <f>+A101+1</f>
        <v>53</v>
      </c>
      <c r="B102" s="262"/>
      <c r="C102" s="228" t="s">
        <v>70</v>
      </c>
      <c r="D102" s="228"/>
      <c r="E102" s="227"/>
      <c r="F102" s="201" t="str">
        <f>"(Line "&amp;A100&amp;" * Line "&amp;A101&amp;")"</f>
        <v>(Line 51 * Line 52)</v>
      </c>
      <c r="G102" s="757"/>
      <c r="H102" s="207">
        <f>+H100*H101</f>
        <v>-409966.1006822717</v>
      </c>
    </row>
    <row r="103" spans="1:8" s="9" customFormat="1">
      <c r="A103" s="230"/>
      <c r="B103" s="262"/>
      <c r="C103" s="228"/>
      <c r="D103" s="228"/>
      <c r="E103" s="227"/>
      <c r="F103" s="201"/>
      <c r="G103" s="757"/>
      <c r="H103" s="207"/>
    </row>
    <row r="104" spans="1:8" s="9" customFormat="1">
      <c r="A104" s="230">
        <f>+A102+1</f>
        <v>54</v>
      </c>
      <c r="B104" s="262"/>
      <c r="C104" s="228" t="s">
        <v>71</v>
      </c>
      <c r="D104" s="228"/>
      <c r="E104" s="248" t="str">
        <f>"(Note  "&amp;B$296&amp;")"</f>
        <v>(Note  A)</v>
      </c>
      <c r="F104" s="201" t="str">
        <f>"(Attachment 4, Line "&amp;'4 - Cost Support'!A215&amp;")"</f>
        <v>(Attachment 4, Line 82)</v>
      </c>
      <c r="G104" s="757"/>
      <c r="H104" s="207">
        <f>+'4 - Cost Support'!T215</f>
        <v>0</v>
      </c>
    </row>
    <row r="105" spans="1:8" s="9" customFormat="1">
      <c r="A105" s="230"/>
      <c r="B105" s="262"/>
      <c r="C105" s="228"/>
      <c r="D105" s="228"/>
      <c r="E105" s="227"/>
      <c r="F105" s="201"/>
      <c r="G105" s="757"/>
      <c r="H105" s="207"/>
    </row>
    <row r="106" spans="1:8" s="9" customFormat="1">
      <c r="A106" s="230">
        <f>+A104+1</f>
        <v>55</v>
      </c>
      <c r="B106" s="243" t="s">
        <v>72</v>
      </c>
      <c r="C106" s="228"/>
      <c r="D106" s="228"/>
      <c r="E106" s="248" t="str">
        <f>"(Note  "&amp;B$307&amp;")"</f>
        <v>(Note  L)</v>
      </c>
      <c r="F106" s="201" t="str">
        <f>"(Attachment 4, Line "&amp;'4 - Cost Support'!A231&amp;")"</f>
        <v>(Attachment 4, Line 86)</v>
      </c>
      <c r="G106" s="757"/>
      <c r="H106" s="207">
        <f>+'4 - Cost Support'!T231</f>
        <v>-450342.30769230769</v>
      </c>
    </row>
    <row r="107" spans="1:8" s="9" customFormat="1">
      <c r="A107" s="230"/>
      <c r="B107" s="262"/>
      <c r="C107" s="228"/>
      <c r="D107" s="228"/>
      <c r="E107" s="227"/>
      <c r="F107" s="197"/>
      <c r="G107" s="757"/>
      <c r="H107" s="476"/>
    </row>
    <row r="108" spans="1:8" s="9" customFormat="1">
      <c r="A108" s="230">
        <f>+A106+1</f>
        <v>56</v>
      </c>
      <c r="B108" s="243" t="s">
        <v>73</v>
      </c>
      <c r="C108" s="228"/>
      <c r="D108" s="228"/>
      <c r="E108" s="248" t="str">
        <f>"(Note  "&amp;B$296&amp;")"</f>
        <v>(Note  A)</v>
      </c>
      <c r="F108" s="201" t="str">
        <f>"(Attachment 4, Line "&amp;'4 - Cost Support'!A222&amp;")"</f>
        <v>(Attachment 4, Line 83)</v>
      </c>
      <c r="G108" s="757"/>
      <c r="H108" s="207">
        <f>+'4 - Cost Support'!T222</f>
        <v>-8149</v>
      </c>
    </row>
    <row r="109" spans="1:8" s="9" customFormat="1">
      <c r="A109" s="230"/>
      <c r="B109" s="243"/>
      <c r="C109" s="228"/>
      <c r="D109" s="228"/>
      <c r="E109" s="227"/>
      <c r="F109" s="201"/>
      <c r="G109" s="757"/>
      <c r="H109" s="207"/>
    </row>
    <row r="110" spans="1:8" s="9" customFormat="1">
      <c r="A110" s="230">
        <f>+A108+1</f>
        <v>57</v>
      </c>
      <c r="B110" s="243" t="s">
        <v>74</v>
      </c>
      <c r="C110" s="228"/>
      <c r="D110" s="228"/>
      <c r="E110" s="248" t="str">
        <f>"(Note  "&amp;B$296&amp;")"</f>
        <v>(Note  A)</v>
      </c>
      <c r="F110" s="201" t="str">
        <f>"(Attachment 4, Line "&amp;'4 - Cost Support'!A237&amp;")"</f>
        <v>(Attachment 4, Line 87)</v>
      </c>
      <c r="G110" s="757"/>
      <c r="H110" s="207">
        <f>+'4 - Cost Support'!T237</f>
        <v>-1402224.479335346</v>
      </c>
    </row>
    <row r="111" spans="1:8">
      <c r="A111" s="230"/>
      <c r="H111" s="201"/>
    </row>
    <row r="112" spans="1:8" ht="64.5" customHeight="1" thickBot="1">
      <c r="A112" s="230">
        <f>+A110+1</f>
        <v>58</v>
      </c>
      <c r="B112" s="251" t="s">
        <v>75</v>
      </c>
      <c r="C112" s="251"/>
      <c r="D112" s="251"/>
      <c r="E112" s="263"/>
      <c r="F112" s="390" t="str">
        <f>"(Lines "&amp;A62&amp;" + "&amp;A65&amp;" + "&amp;A68&amp;" + "&amp;A71&amp;" + "&amp;A73&amp;" + "&amp;A78&amp;" + "&amp;A86&amp;" + "&amp;A91&amp;" + "&amp;A96&amp;" + "&amp;A102&amp;" + "&amp;A104&amp;" + "&amp;A106&amp;" + "&amp;A108&amp;" + "&amp;A110&amp;")"</f>
        <v>(Lines 30 + 31 + 32 + 33 + 34 + 37 + 42 + 45 + 48 + 53 + 54 + 55 + 56 + 57)</v>
      </c>
      <c r="G112" s="761"/>
      <c r="H112" s="547">
        <f>+H62+H65+H68+H71+H73+H78+H86+H91+H96+H102+H104+H106+H108+H110</f>
        <v>-47421828.70981618</v>
      </c>
    </row>
    <row r="113" spans="1:8" ht="21" thickTop="1">
      <c r="A113" s="230"/>
      <c r="H113" s="207"/>
    </row>
    <row r="114" spans="1:8" ht="21" thickBot="1">
      <c r="A114" s="277">
        <f>+A112+1</f>
        <v>59</v>
      </c>
      <c r="B114" s="278" t="s">
        <v>76</v>
      </c>
      <c r="C114" s="278"/>
      <c r="D114" s="278"/>
      <c r="E114" s="279"/>
      <c r="F114" s="280" t="str">
        <f>"(Line "&amp;A57&amp;" + Line "&amp;A112&amp;")"</f>
        <v>(Line 29 + Line 58)</v>
      </c>
      <c r="G114" s="762"/>
      <c r="H114" s="477">
        <f>H57+H112</f>
        <v>320420869.5104537</v>
      </c>
    </row>
    <row r="116" spans="1:8">
      <c r="A116" s="244" t="s">
        <v>77</v>
      </c>
      <c r="B116" s="245"/>
      <c r="C116" s="281"/>
      <c r="D116" s="206"/>
      <c r="E116" s="246"/>
      <c r="F116" s="206"/>
      <c r="G116" s="769"/>
      <c r="H116" s="199"/>
    </row>
    <row r="117" spans="1:8">
      <c r="A117" s="197"/>
      <c r="E117" s="227"/>
      <c r="H117" s="533"/>
    </row>
    <row r="118" spans="1:8">
      <c r="A118" s="230"/>
      <c r="B118" s="242" t="s">
        <v>78</v>
      </c>
      <c r="D118" s="201"/>
      <c r="E118" s="205"/>
      <c r="G118" s="770"/>
      <c r="H118" s="201"/>
    </row>
    <row r="119" spans="1:8">
      <c r="A119" s="230">
        <f>+A114+1</f>
        <v>60</v>
      </c>
      <c r="B119" s="230"/>
      <c r="C119" s="197" t="s">
        <v>78</v>
      </c>
      <c r="E119" s="248"/>
      <c r="F119" s="201" t="str">
        <f>"(Attachment 4, Line "&amp;'4 - Cost Support'!A67&amp;")"</f>
        <v>(Attachment 4, Line 26)</v>
      </c>
      <c r="H119" s="201">
        <f>+'4 - Cost Support'!S67</f>
        <v>91487312.482381985</v>
      </c>
    </row>
    <row r="120" spans="1:8">
      <c r="A120" s="230">
        <f>+A119+1</f>
        <v>61</v>
      </c>
      <c r="B120" s="230"/>
      <c r="C120" s="197" t="s">
        <v>79</v>
      </c>
      <c r="D120" s="201"/>
      <c r="E120" s="248"/>
      <c r="F120" s="204" t="str">
        <f>"(Attachment 4, Line "&amp;'4 - Cost Support'!A70&amp;")"</f>
        <v>(Attachment 4, Line 29)</v>
      </c>
      <c r="H120" s="201">
        <f>+'4 - Cost Support'!S70</f>
        <v>78299256.020921066</v>
      </c>
    </row>
    <row r="121" spans="1:8">
      <c r="A121" s="230">
        <f>1+A120</f>
        <v>62</v>
      </c>
      <c r="C121" s="276" t="s">
        <v>78</v>
      </c>
      <c r="D121" s="249"/>
      <c r="E121" s="257"/>
      <c r="F121" s="201" t="str">
        <f>"(Lines "&amp;A119&amp;" - "&amp;A120&amp;")"</f>
        <v>(Lines 60 - 61)</v>
      </c>
      <c r="G121" s="816"/>
      <c r="H121" s="213">
        <f>+H119-H120</f>
        <v>13188056.461460918</v>
      </c>
    </row>
    <row r="122" spans="1:8">
      <c r="A122" s="230"/>
      <c r="B122" s="230"/>
      <c r="C122" s="242"/>
      <c r="E122" s="205"/>
      <c r="H122" s="214"/>
    </row>
    <row r="123" spans="1:8">
      <c r="A123" s="230"/>
      <c r="B123" s="242" t="s">
        <v>80</v>
      </c>
      <c r="E123" s="205"/>
      <c r="H123" s="214"/>
    </row>
    <row r="124" spans="1:8">
      <c r="A124" s="230">
        <f>A121+1</f>
        <v>63</v>
      </c>
      <c r="B124" s="230"/>
      <c r="C124" s="197" t="s">
        <v>81</v>
      </c>
      <c r="E124" s="248" t="str">
        <f>"(Note  "&amp;B302&amp;", "&amp;B317&amp;" &amp; "&amp;B318&amp;")"</f>
        <v>(Note  G, V &amp; W)</v>
      </c>
      <c r="F124" s="201" t="str">
        <f>"(Attachment 4, Line "&amp;'4 - Cost Support'!A83&amp;")"</f>
        <v>(Attachment 4, Line 31)</v>
      </c>
      <c r="H124" s="201">
        <f>+'4 - Cost Support'!S83</f>
        <v>67333378</v>
      </c>
    </row>
    <row r="125" spans="1:8">
      <c r="A125" s="230">
        <f t="shared" ref="A125:A131" si="0">+A124+1</f>
        <v>64</v>
      </c>
      <c r="B125" s="230"/>
      <c r="C125" s="197" t="s">
        <v>82</v>
      </c>
      <c r="D125" s="201"/>
      <c r="E125" s="248"/>
      <c r="F125" s="201" t="str">
        <f>"(Attachment 4, Line "&amp;'4 - Cost Support'!A77&amp;")"</f>
        <v>(Attachment 4, Line 30)</v>
      </c>
      <c r="H125" s="201">
        <v>0</v>
      </c>
    </row>
    <row r="126" spans="1:8">
      <c r="A126" s="230">
        <f t="shared" si="0"/>
        <v>65</v>
      </c>
      <c r="B126" s="230"/>
      <c r="C126" s="197" t="s">
        <v>83</v>
      </c>
      <c r="D126" s="201"/>
      <c r="E126" s="248" t="str">
        <f>"(Note "&amp;B$299&amp;")"</f>
        <v>(Note D)</v>
      </c>
      <c r="F126" s="201" t="str">
        <f>"(Attachment 4, Line "&amp;'4 - Cost Support'!A92&amp;")"</f>
        <v>(Attachment 4, Line 34)</v>
      </c>
      <c r="H126" s="201">
        <v>0</v>
      </c>
    </row>
    <row r="127" spans="1:8">
      <c r="A127" s="230">
        <f t="shared" si="0"/>
        <v>66</v>
      </c>
      <c r="B127" s="230"/>
      <c r="C127" s="197" t="s">
        <v>84</v>
      </c>
      <c r="D127" s="201"/>
      <c r="E127" s="248" t="str">
        <f>"(Note "&amp;B310&amp;")"</f>
        <v>(Note O)</v>
      </c>
      <c r="F127" s="201" t="str">
        <f>"(Attachment 4, Line "&amp;'4 - Cost Support'!A85&amp;")"</f>
        <v>(Attachment 4, Line 33)</v>
      </c>
      <c r="H127" s="201">
        <f>+'4 - Cost Support'!S85+'4 - Cost Support'!S84</f>
        <v>67204235</v>
      </c>
    </row>
    <row r="128" spans="1:8" ht="40.5">
      <c r="A128" s="230">
        <f t="shared" si="0"/>
        <v>67</v>
      </c>
      <c r="B128" s="230"/>
      <c r="C128" s="197" t="s">
        <v>85</v>
      </c>
      <c r="E128" s="248" t="str">
        <f>"(Note "&amp;B$298&amp;")"</f>
        <v>(Note C)</v>
      </c>
      <c r="F128" s="705" t="str">
        <f>"(Attachment 4, Line "&amp;'4 - Cost Support'!A100&amp;" &amp; Attachment 4, Line "&amp;'4 - Cost Support'!A101&amp;")"</f>
        <v>(Attachment 4, Line 36 &amp; Attachment 4, Line 37)</v>
      </c>
      <c r="H128" s="201">
        <f>+'4 - Cost Support'!S100+'4 - Cost Support'!S101</f>
        <v>0</v>
      </c>
    </row>
    <row r="129" spans="1:8">
      <c r="A129" s="230">
        <f t="shared" si="0"/>
        <v>68</v>
      </c>
      <c r="B129" s="230"/>
      <c r="C129" s="276" t="s">
        <v>86</v>
      </c>
      <c r="D129" s="249"/>
      <c r="E129" s="250"/>
      <c r="F129" s="201" t="str">
        <f>"(Lines "&amp;A124&amp;" - "&amp;A125&amp;" - "&amp;A126&amp;" - "&amp;A127&amp;" - "&amp;A128&amp;")"</f>
        <v>(Lines 63 - 64 - 65 - 66 - 67)</v>
      </c>
      <c r="G129" s="759"/>
      <c r="H129" s="202">
        <f>+H124-SUM(H125:H128)</f>
        <v>129143</v>
      </c>
    </row>
    <row r="130" spans="1:8">
      <c r="A130" s="230">
        <f t="shared" si="0"/>
        <v>69</v>
      </c>
      <c r="B130" s="230"/>
      <c r="C130" s="261" t="s">
        <v>29</v>
      </c>
      <c r="D130" s="228"/>
      <c r="F130" s="255" t="str">
        <f>"(Line "&amp;A$16&amp;")"</f>
        <v>(Line 5)</v>
      </c>
      <c r="G130" s="770"/>
      <c r="H130" s="461">
        <f>H16</f>
        <v>0.12783050741274057</v>
      </c>
    </row>
    <row r="131" spans="1:8">
      <c r="A131" s="230">
        <f t="shared" si="0"/>
        <v>70</v>
      </c>
      <c r="B131" s="230"/>
      <c r="C131" s="276" t="s">
        <v>87</v>
      </c>
      <c r="D131" s="249"/>
      <c r="E131" s="250"/>
      <c r="F131" s="201" t="str">
        <f>"(Line "&amp;A129&amp;" * Line "&amp;A130&amp;")"</f>
        <v>(Line 68 * Line 69)</v>
      </c>
      <c r="G131" s="759"/>
      <c r="H131" s="216">
        <f>H129*H130</f>
        <v>16508.415218803555</v>
      </c>
    </row>
    <row r="132" spans="1:8">
      <c r="A132" s="230"/>
      <c r="B132" s="230"/>
      <c r="C132" s="242"/>
      <c r="E132" s="205"/>
      <c r="H132" s="201"/>
    </row>
    <row r="133" spans="1:8">
      <c r="A133" s="230"/>
      <c r="B133" s="242" t="s">
        <v>88</v>
      </c>
      <c r="E133" s="205"/>
      <c r="H133" s="201"/>
    </row>
    <row r="134" spans="1:8">
      <c r="A134" s="230">
        <f>+A131+1</f>
        <v>71</v>
      </c>
      <c r="B134" s="268"/>
      <c r="C134" s="228" t="s">
        <v>89</v>
      </c>
      <c r="D134" s="248"/>
      <c r="E134" s="248" t="str">
        <f>"(Note "&amp;B$300&amp;")"</f>
        <v>(Note E)</v>
      </c>
      <c r="F134" s="201" t="str">
        <f>"(Attachment 4, Line "&amp;'4 - Cost Support'!A93&amp;")"</f>
        <v>(Attachment 4, Line 35)</v>
      </c>
      <c r="H134" s="201"/>
    </row>
    <row r="135" spans="1:8">
      <c r="A135" s="230">
        <f>+A134+1</f>
        <v>72</v>
      </c>
      <c r="B135" s="268"/>
      <c r="C135" s="255" t="s">
        <v>90</v>
      </c>
      <c r="D135" s="282"/>
      <c r="E135" s="256" t="str">
        <f>"(Note "&amp;B310&amp;")"</f>
        <v>(Note O)</v>
      </c>
      <c r="F135" s="204" t="str">
        <f>"(Attachment 4, Line "&amp;'4 - Cost Support'!A84&amp;")"</f>
        <v>(Attachment 4, Line 32)</v>
      </c>
      <c r="G135" s="760"/>
      <c r="H135" s="204">
        <f>+'4 - Cost Support'!S84</f>
        <v>6306484</v>
      </c>
    </row>
    <row r="136" spans="1:8">
      <c r="A136" s="230">
        <f>+A135+1</f>
        <v>73</v>
      </c>
      <c r="B136" s="268"/>
      <c r="C136" s="228" t="s">
        <v>91</v>
      </c>
      <c r="E136" s="272"/>
      <c r="F136" s="201" t="str">
        <f>"(Line "&amp;A134&amp;" + Line "&amp;A135&amp;")"</f>
        <v>(Line 71 + Line 72)</v>
      </c>
      <c r="H136" s="207">
        <f>SUM(H134:H135)</f>
        <v>6306484</v>
      </c>
    </row>
    <row r="137" spans="1:8">
      <c r="A137" s="230"/>
      <c r="B137" s="268"/>
      <c r="C137" s="228"/>
      <c r="E137" s="272"/>
      <c r="F137" s="228"/>
      <c r="H137" s="215"/>
    </row>
    <row r="138" spans="1:8">
      <c r="A138" s="230">
        <f>+A136+1</f>
        <v>74</v>
      </c>
      <c r="B138" s="268"/>
      <c r="C138" s="228" t="s">
        <v>92</v>
      </c>
      <c r="E138" s="248"/>
      <c r="F138" s="228" t="str">
        <f>"(Line "&amp;A125&amp;")"</f>
        <v>(Line 64)</v>
      </c>
      <c r="H138" s="207">
        <f>H125</f>
        <v>0</v>
      </c>
    </row>
    <row r="139" spans="1:8">
      <c r="A139" s="230">
        <f>+A138+1</f>
        <v>75</v>
      </c>
      <c r="B139" s="230"/>
      <c r="C139" s="228" t="s">
        <v>21</v>
      </c>
      <c r="D139" s="228"/>
      <c r="F139" s="204" t="str">
        <f>"(Line "&amp;A$27&amp;")"</f>
        <v>(Line 12)</v>
      </c>
      <c r="G139" s="770"/>
      <c r="H139" s="461">
        <f>H27</f>
        <v>0.22074546692968111</v>
      </c>
    </row>
    <row r="140" spans="1:8">
      <c r="A140" s="230">
        <f>+A139+1</f>
        <v>76</v>
      </c>
      <c r="B140" s="230"/>
      <c r="C140" s="276" t="s">
        <v>65</v>
      </c>
      <c r="D140" s="249"/>
      <c r="E140" s="250"/>
      <c r="F140" s="201" t="str">
        <f>"(Line "&amp;A138&amp;" * Line "&amp;A139&amp;")"</f>
        <v>(Line 74 * Line 75)</v>
      </c>
      <c r="G140" s="773"/>
      <c r="H140" s="216">
        <f>+H138*H139</f>
        <v>0</v>
      </c>
    </row>
    <row r="141" spans="1:8">
      <c r="A141" s="230"/>
      <c r="B141" s="230"/>
      <c r="C141" s="242"/>
      <c r="E141" s="205"/>
      <c r="F141" s="201"/>
      <c r="G141" s="770"/>
      <c r="H141" s="212"/>
    </row>
    <row r="142" spans="1:8">
      <c r="A142" s="230">
        <f>+A140+1</f>
        <v>77</v>
      </c>
      <c r="B142" s="230"/>
      <c r="C142" s="242" t="s">
        <v>93</v>
      </c>
      <c r="E142" s="205"/>
      <c r="F142" s="201" t="str">
        <f>"(Lines "&amp;A131&amp;" + "&amp;A136&amp;" + "&amp;A140&amp;")"</f>
        <v>(Lines 70 + 73 + 76)</v>
      </c>
      <c r="H142" s="207">
        <f>+H131+H136+H140</f>
        <v>6322992.4152188031</v>
      </c>
    </row>
    <row r="143" spans="1:8">
      <c r="A143" s="230"/>
      <c r="B143" s="230"/>
      <c r="C143" s="242"/>
      <c r="E143" s="205"/>
      <c r="F143" s="201"/>
      <c r="H143" s="201"/>
    </row>
    <row r="144" spans="1:8" ht="21" thickBot="1">
      <c r="A144" s="230">
        <f>+A142+1</f>
        <v>78</v>
      </c>
      <c r="B144" s="230"/>
      <c r="C144" s="278" t="s">
        <v>94</v>
      </c>
      <c r="D144" s="283"/>
      <c r="E144" s="284"/>
      <c r="F144" s="217" t="str">
        <f>"(Lines "&amp;A121&amp;" + "&amp;A142&amp;")"</f>
        <v>(Lines 62 + 77)</v>
      </c>
      <c r="G144" s="762"/>
      <c r="H144" s="477">
        <f>+H121+H142</f>
        <v>19511048.876679722</v>
      </c>
    </row>
    <row r="145" spans="1:8">
      <c r="B145" s="230"/>
      <c r="C145" s="242"/>
      <c r="E145" s="205"/>
      <c r="H145" s="203"/>
    </row>
    <row r="146" spans="1:8">
      <c r="A146" s="244" t="s">
        <v>95</v>
      </c>
      <c r="B146" s="245"/>
      <c r="C146" s="281"/>
      <c r="D146" s="206"/>
      <c r="E146" s="246"/>
      <c r="F146" s="206"/>
      <c r="G146" s="769"/>
      <c r="H146" s="199"/>
    </row>
    <row r="147" spans="1:8">
      <c r="A147" s="242"/>
      <c r="B147" s="230"/>
      <c r="C147" s="242"/>
      <c r="E147" s="205"/>
      <c r="H147" s="203"/>
    </row>
    <row r="148" spans="1:8">
      <c r="A148" s="230"/>
      <c r="B148" s="243" t="s">
        <v>96</v>
      </c>
      <c r="F148" s="268"/>
      <c r="H148" s="218"/>
    </row>
    <row r="149" spans="1:8">
      <c r="A149" s="230">
        <f>+A144+1</f>
        <v>79</v>
      </c>
      <c r="B149" s="268"/>
      <c r="C149" s="228" t="s">
        <v>97</v>
      </c>
      <c r="E149" s="248" t="str">
        <f>"(Note "&amp;B$302&amp;")"</f>
        <v>(Note G)</v>
      </c>
      <c r="F149" s="201" t="str">
        <f>"(Attachment 4, Line "&amp;'4 - Cost Support'!A108&amp;")"</f>
        <v>(Attachment 4, Line 38)</v>
      </c>
      <c r="H149" s="207">
        <f>+'4 - Cost Support'!S108</f>
        <v>12312515.803168779</v>
      </c>
    </row>
    <row r="150" spans="1:8">
      <c r="A150" s="230">
        <f>+A149+1</f>
        <v>80</v>
      </c>
      <c r="B150" s="268"/>
      <c r="C150" s="228" t="s">
        <v>98</v>
      </c>
      <c r="E150" s="248" t="str">
        <f>"(Note "&amp;B$308&amp;")"</f>
        <v>(Note M)</v>
      </c>
      <c r="F150" s="201" t="str">
        <f>"(Attachment 4, Line "&amp;'4 - Cost Support'!A192&amp;")"</f>
        <v>(Attachment 4, Line 75)</v>
      </c>
      <c r="H150" s="207">
        <f>+'4 - Cost Support'!H192</f>
        <v>0</v>
      </c>
    </row>
    <row r="151" spans="1:8">
      <c r="A151" s="230"/>
      <c r="B151" s="268"/>
      <c r="C151" s="228"/>
      <c r="E151" s="248"/>
      <c r="F151" s="228"/>
      <c r="H151" s="207"/>
    </row>
    <row r="152" spans="1:8">
      <c r="A152" s="230">
        <f>+A150+1</f>
        <v>81</v>
      </c>
      <c r="B152" s="268"/>
      <c r="C152" s="228" t="s">
        <v>99</v>
      </c>
      <c r="E152" s="248" t="str">
        <f>"(Note "&amp;B$302&amp;")"</f>
        <v>(Note G)</v>
      </c>
      <c r="F152" s="201" t="str">
        <f>"(Attachment 4, Line "&amp;'4 - Cost Support'!A109&amp;")"</f>
        <v>(Attachment 4, Line 39)</v>
      </c>
      <c r="H152" s="207">
        <f>+'4 - Cost Support'!S109</f>
        <v>1379988.1187838376</v>
      </c>
    </row>
    <row r="153" spans="1:8">
      <c r="A153" s="230">
        <f>+A152+1</f>
        <v>82</v>
      </c>
      <c r="B153" s="268"/>
      <c r="C153" s="261" t="s">
        <v>100</v>
      </c>
      <c r="D153" s="255"/>
      <c r="E153" s="256" t="str">
        <f>"(Note "&amp;B296&amp;" &amp; "&amp;B$302&amp;")"</f>
        <v>(Note A &amp; G)</v>
      </c>
      <c r="F153" s="204" t="str">
        <f>"(Attachment 4, Line "&amp;'4 - Cost Support'!A110&amp;")"</f>
        <v>(Attachment 4, Line 40)</v>
      </c>
      <c r="G153" s="760"/>
      <c r="H153" s="204">
        <f>+'4 - Cost Support'!S110</f>
        <v>4743652.9778962573</v>
      </c>
    </row>
    <row r="154" spans="1:8">
      <c r="A154" s="230">
        <f>+A153+1</f>
        <v>83</v>
      </c>
      <c r="B154" s="268"/>
      <c r="C154" s="228" t="s">
        <v>68</v>
      </c>
      <c r="F154" s="201" t="str">
        <f>"(Line "&amp;A152&amp;" + Line "&amp;A153&amp;")"</f>
        <v>(Line 81 + Line 82)</v>
      </c>
      <c r="H154" s="207">
        <f>+H152+H153</f>
        <v>6123641.0966800954</v>
      </c>
    </row>
    <row r="155" spans="1:8">
      <c r="A155" s="230">
        <f>+A154+1</f>
        <v>84</v>
      </c>
      <c r="B155" s="268"/>
      <c r="C155" s="261" t="s">
        <v>29</v>
      </c>
      <c r="D155" s="261"/>
      <c r="E155" s="273"/>
      <c r="F155" s="255" t="str">
        <f>"(Line "&amp;A$16&amp;")"</f>
        <v>(Line 5)</v>
      </c>
      <c r="G155" s="772"/>
      <c r="H155" s="460">
        <f>H16</f>
        <v>0.12783050741274057</v>
      </c>
    </row>
    <row r="156" spans="1:8">
      <c r="A156" s="230">
        <f>+A155+1</f>
        <v>85</v>
      </c>
      <c r="B156" s="268"/>
      <c r="C156" s="228" t="s">
        <v>101</v>
      </c>
      <c r="F156" s="201" t="str">
        <f>"(Line "&amp;A154&amp;" * Line "&amp;A155&amp;")"</f>
        <v>(Line 83 * Line 84)</v>
      </c>
      <c r="G156" s="770"/>
      <c r="H156" s="207">
        <f>H154*H155</f>
        <v>782788.1486021278</v>
      </c>
    </row>
    <row r="157" spans="1:8">
      <c r="A157" s="272"/>
      <c r="B157" s="285"/>
      <c r="C157" s="228"/>
      <c r="F157" s="228"/>
      <c r="G157" s="770"/>
      <c r="H157" s="219"/>
    </row>
    <row r="158" spans="1:8" s="9" customFormat="1" ht="21" thickBot="1">
      <c r="A158" s="230">
        <f>+A156+1</f>
        <v>86</v>
      </c>
      <c r="B158" s="286" t="s">
        <v>102</v>
      </c>
      <c r="C158" s="286"/>
      <c r="D158" s="278"/>
      <c r="E158" s="279"/>
      <c r="F158" s="286" t="str">
        <f>"(Lines "&amp;A149&amp;" + "&amp;A150&amp;" + "&amp;A156&amp;")"</f>
        <v>(Lines 79 + 80 + 85)</v>
      </c>
      <c r="G158" s="762"/>
      <c r="H158" s="477">
        <f>+H149+H150+H156</f>
        <v>13095303.951770907</v>
      </c>
    </row>
    <row r="159" spans="1:8">
      <c r="H159" s="268"/>
    </row>
    <row r="160" spans="1:8">
      <c r="A160" s="244" t="s">
        <v>103</v>
      </c>
      <c r="B160" s="245"/>
      <c r="C160" s="281"/>
      <c r="D160" s="206"/>
      <c r="E160" s="287"/>
      <c r="F160" s="206"/>
      <c r="G160" s="769"/>
      <c r="H160" s="478"/>
    </row>
    <row r="161" spans="1:8">
      <c r="A161" s="266"/>
      <c r="B161" s="230"/>
      <c r="C161" s="242"/>
      <c r="E161" s="205"/>
      <c r="H161" s="479"/>
    </row>
    <row r="162" spans="1:8">
      <c r="A162" s="230">
        <f>+A158+1</f>
        <v>87</v>
      </c>
      <c r="B162" s="228" t="s">
        <v>104</v>
      </c>
      <c r="C162" s="271"/>
      <c r="E162" s="248"/>
      <c r="F162" s="201" t="str">
        <f>"(Attachment 2, Line "&amp;'2 - Other Taxes'!A29&amp;")"</f>
        <v>(Attachment 2, Line 11)</v>
      </c>
      <c r="G162" s="803"/>
      <c r="H162" s="207">
        <f>+'2 - Other Taxes'!G29</f>
        <v>22431446.258510835</v>
      </c>
    </row>
    <row r="163" spans="1:8">
      <c r="A163" s="230"/>
      <c r="F163" s="228"/>
      <c r="H163" s="268"/>
    </row>
    <row r="164" spans="1:8" ht="21" thickBot="1">
      <c r="A164" s="230">
        <f>+A162+1</f>
        <v>88</v>
      </c>
      <c r="B164" s="278" t="s">
        <v>105</v>
      </c>
      <c r="C164" s="278"/>
      <c r="D164" s="278"/>
      <c r="E164" s="279"/>
      <c r="F164" s="280" t="str">
        <f>"(Line "&amp;A162&amp;")"</f>
        <v>(Line 87)</v>
      </c>
      <c r="G164" s="762"/>
      <c r="H164" s="477">
        <f>H162</f>
        <v>22431446.258510835</v>
      </c>
    </row>
    <row r="165" spans="1:8">
      <c r="A165" s="244" t="s">
        <v>106</v>
      </c>
      <c r="B165" s="245"/>
      <c r="C165" s="281"/>
      <c r="D165" s="206"/>
      <c r="E165" s="246"/>
      <c r="F165" s="206"/>
      <c r="G165" s="769"/>
      <c r="H165" s="199"/>
    </row>
    <row r="166" spans="1:8">
      <c r="B166" s="230"/>
      <c r="C166" s="242"/>
      <c r="E166" s="205"/>
      <c r="H166" s="533"/>
    </row>
    <row r="167" spans="1:8">
      <c r="A167" s="230">
        <f>+A164+1</f>
        <v>89</v>
      </c>
      <c r="B167" s="288" t="s">
        <v>107</v>
      </c>
      <c r="E167" s="248"/>
      <c r="F167" s="201" t="str">
        <f>"(Attachment 4, Line "&amp;'4 - Cost Support'!A132&amp;")"</f>
        <v>(Attachment 4, Line 50)</v>
      </c>
      <c r="G167" s="770"/>
      <c r="H167" s="201">
        <f>+'4 - Cost Support'!S132</f>
        <v>32593454.886673559</v>
      </c>
    </row>
    <row r="168" spans="1:8">
      <c r="A168" s="230"/>
      <c r="B168" s="230"/>
      <c r="C168" s="201"/>
      <c r="G168" s="770"/>
      <c r="H168" s="201"/>
    </row>
    <row r="169" spans="1:8">
      <c r="A169" s="230">
        <f>+A167+1</f>
        <v>90</v>
      </c>
      <c r="B169" s="288" t="s">
        <v>108</v>
      </c>
      <c r="E169" s="248"/>
      <c r="F169" s="201" t="str">
        <f>"(Attachment 4, Line "&amp;'4 - Cost Support'!A133&amp;")"</f>
        <v>(Attachment 4, Line 51)</v>
      </c>
      <c r="G169" s="770"/>
      <c r="H169" s="201">
        <f>+'4 - Cost Support'!S133</f>
        <v>0</v>
      </c>
    </row>
    <row r="170" spans="1:8">
      <c r="A170" s="230"/>
      <c r="B170" s="242" t="s">
        <v>109</v>
      </c>
      <c r="E170" s="205"/>
      <c r="F170" s="201"/>
      <c r="G170" s="770"/>
      <c r="H170" s="201"/>
    </row>
    <row r="171" spans="1:8">
      <c r="A171" s="230"/>
      <c r="B171" s="242" t="s">
        <v>110</v>
      </c>
      <c r="E171" s="205"/>
      <c r="F171" s="201"/>
      <c r="G171" s="770"/>
      <c r="H171" s="201"/>
    </row>
    <row r="172" spans="1:8">
      <c r="A172" s="230">
        <f>+A169+1</f>
        <v>91</v>
      </c>
      <c r="B172" s="230"/>
      <c r="C172" s="201" t="s">
        <v>111</v>
      </c>
      <c r="D172" s="201"/>
      <c r="E172" s="248" t="str">
        <f>"(Note "&amp;B$306&amp;")"</f>
        <v>(Note K)</v>
      </c>
      <c r="F172" s="201" t="str">
        <f>"(Attachment 4, Line "&amp;'4 - Cost Support'!A134&amp;")"</f>
        <v>(Attachment 4, Line 52)</v>
      </c>
      <c r="G172" s="770"/>
      <c r="H172" s="201">
        <f>+'4 - Cost Support'!T134</f>
        <v>-905172972.42130852</v>
      </c>
    </row>
    <row r="173" spans="1:8">
      <c r="A173" s="230">
        <f>A172+1</f>
        <v>92</v>
      </c>
      <c r="B173" s="230"/>
      <c r="C173" s="201" t="s">
        <v>112</v>
      </c>
      <c r="D173" s="201"/>
      <c r="E173" s="248" t="str">
        <f>"(Note "&amp;B$306&amp;" )"</f>
        <v>(Note K )</v>
      </c>
      <c r="F173" s="201" t="str">
        <f>"(Attachment 4, Line "&amp;'4 - Cost Support'!A135&amp;")"</f>
        <v>(Attachment 4, Line 53)</v>
      </c>
      <c r="G173" s="770"/>
      <c r="H173" s="201">
        <f>+'4 - Cost Support'!T135</f>
        <v>27242376.5999</v>
      </c>
    </row>
    <row r="174" spans="1:8">
      <c r="A174" s="230">
        <f>A173+1</f>
        <v>93</v>
      </c>
      <c r="B174" s="230"/>
      <c r="C174" s="201" t="s">
        <v>113</v>
      </c>
      <c r="D174" s="201"/>
      <c r="E174" s="248" t="str">
        <f>"(Note "&amp;B$306&amp;" )"</f>
        <v>(Note K )</v>
      </c>
      <c r="F174" s="201" t="str">
        <f>"(Attachment 4, Line "&amp;'4 - Cost Support'!A146&amp;")"</f>
        <v>(Attachment 4, Line 64)</v>
      </c>
      <c r="G174" s="770"/>
      <c r="H174" s="201">
        <f>+'4 - Cost Support'!T146</f>
        <v>0</v>
      </c>
    </row>
    <row r="175" spans="1:8">
      <c r="A175" s="230">
        <f>+A174+1</f>
        <v>94</v>
      </c>
      <c r="B175" s="230"/>
      <c r="C175" s="204" t="s">
        <v>114</v>
      </c>
      <c r="D175" s="204"/>
      <c r="E175" s="256" t="str">
        <f>"(Note "&amp;B$306&amp;")"</f>
        <v>(Note K)</v>
      </c>
      <c r="F175" s="204" t="str">
        <f>"(Attachment 4, Line "&amp;'4 - Cost Support'!A136&amp;")"</f>
        <v>(Attachment 4, Line 54)</v>
      </c>
      <c r="G175" s="770"/>
      <c r="H175" s="204">
        <f>+'4 - Cost Support'!T136</f>
        <v>0</v>
      </c>
    </row>
    <row r="176" spans="1:8">
      <c r="A176" s="230">
        <f>+A175+1</f>
        <v>95</v>
      </c>
      <c r="B176" s="230"/>
      <c r="C176" s="288" t="s">
        <v>110</v>
      </c>
      <c r="D176" s="201"/>
      <c r="F176" s="197" t="str">
        <f>"(Line "&amp;A172&amp;" - "&amp;A173&amp;" - "&amp;A174&amp;" - "&amp;A175&amp;")"</f>
        <v>(Line 91 - 92 - 93 - 94)</v>
      </c>
      <c r="H176" s="201">
        <f>H172-H173-H174-H175</f>
        <v>-932415349.02120852</v>
      </c>
    </row>
    <row r="177" spans="1:8">
      <c r="A177" s="230"/>
      <c r="B177" s="230"/>
      <c r="E177" s="205"/>
      <c r="F177" s="201"/>
      <c r="H177" s="201"/>
    </row>
    <row r="178" spans="1:8">
      <c r="A178" s="230">
        <f>+A176+1</f>
        <v>96</v>
      </c>
      <c r="B178" s="230"/>
      <c r="C178" s="242" t="s">
        <v>115</v>
      </c>
      <c r="E178" s="248" t="str">
        <f>"(Note "&amp;B$306&amp;")"</f>
        <v>(Note K)</v>
      </c>
      <c r="F178" s="201" t="str">
        <f>"(Attachment 4, Line "&amp;'4 - Cost Support'!A137&amp;")"</f>
        <v>(Attachment 4, Line 55)</v>
      </c>
      <c r="G178" s="770"/>
      <c r="H178" s="201">
        <f>+'4 - Cost Support'!T137</f>
        <v>-771916478.49334645</v>
      </c>
    </row>
    <row r="179" spans="1:8">
      <c r="A179" s="230"/>
      <c r="B179" s="230"/>
      <c r="C179" s="197" t="s">
        <v>116</v>
      </c>
      <c r="E179" s="248" t="str">
        <f>"(Note "&amp;B$306&amp;")"</f>
        <v>(Note K)</v>
      </c>
      <c r="F179" s="201" t="str">
        <f>"(Attachment 4, Line "&amp;'4 - Cost Support'!A138&amp;")"</f>
        <v>(Attachment 4, Line 56)</v>
      </c>
      <c r="G179" s="770"/>
      <c r="H179" s="201">
        <f>+'4 - Cost Support'!T138</f>
        <v>1551017.9999999893</v>
      </c>
    </row>
    <row r="180" spans="1:8">
      <c r="A180" s="230">
        <f>+A178+1</f>
        <v>97</v>
      </c>
      <c r="B180" s="230"/>
      <c r="C180" s="197" t="s">
        <v>117</v>
      </c>
      <c r="E180" s="248" t="str">
        <f>"(Note "&amp;B$306&amp;")"</f>
        <v>(Note K)</v>
      </c>
      <c r="F180" s="201" t="str">
        <f>"(Attachment 4, Line "&amp;'4 - Cost Support'!A139&amp;")"</f>
        <v>(Attachment 4, Line 57)</v>
      </c>
      <c r="G180" s="770"/>
      <c r="H180" s="201">
        <f>+'4 - Cost Support'!T139</f>
        <v>0</v>
      </c>
    </row>
    <row r="181" spans="1:8">
      <c r="A181" s="230">
        <f t="shared" ref="A181:A192" si="1">+A180+1</f>
        <v>98</v>
      </c>
      <c r="B181" s="230"/>
      <c r="C181" s="197" t="s">
        <v>118</v>
      </c>
      <c r="E181" s="248" t="str">
        <f t="shared" ref="E181:E182" si="2">"(Note "&amp;B$306&amp;")"</f>
        <v>(Note K)</v>
      </c>
      <c r="F181" s="201" t="str">
        <f>"(Attachment 4, Line "&amp;'4 - Cost Support'!A140&amp;")"</f>
        <v>(Attachment 4, Line 58)</v>
      </c>
      <c r="G181" s="770"/>
      <c r="H181" s="201">
        <f>+'4 - Cost Support'!T140</f>
        <v>2368135.56</v>
      </c>
    </row>
    <row r="182" spans="1:8">
      <c r="A182" s="230">
        <f t="shared" si="1"/>
        <v>99</v>
      </c>
      <c r="B182" s="230"/>
      <c r="C182" s="197" t="s">
        <v>119</v>
      </c>
      <c r="E182" s="248" t="str">
        <f t="shared" si="2"/>
        <v>(Note K)</v>
      </c>
      <c r="F182" s="201" t="str">
        <f>"(Attachment 4, Line "&amp;'4 - Cost Support'!A141&amp;")"</f>
        <v>(Attachment 4, Line 59)</v>
      </c>
      <c r="G182" s="770"/>
      <c r="H182" s="201">
        <f>+'4 - Cost Support'!T141</f>
        <v>0</v>
      </c>
    </row>
    <row r="183" spans="1:8">
      <c r="A183" s="230">
        <f t="shared" si="1"/>
        <v>100</v>
      </c>
      <c r="B183" s="230"/>
      <c r="C183" s="197" t="s">
        <v>120</v>
      </c>
      <c r="E183" s="248" t="str">
        <f>"(Note "&amp;B$306&amp;")"</f>
        <v>(Note K)</v>
      </c>
      <c r="F183" s="201" t="str">
        <f>"(Attachment 4, Line "&amp;'4 - Cost Support'!A142&amp;")"</f>
        <v>(Attachment 4, Line 60)</v>
      </c>
      <c r="G183" s="770"/>
      <c r="H183" s="201">
        <f>+'4 - Cost Support'!T142</f>
        <v>0</v>
      </c>
    </row>
    <row r="184" spans="1:8">
      <c r="A184" s="230">
        <f t="shared" si="1"/>
        <v>101</v>
      </c>
      <c r="B184" s="230"/>
      <c r="C184" s="197" t="s">
        <v>121</v>
      </c>
      <c r="D184" s="285"/>
      <c r="E184" s="248" t="str">
        <f>"(Note "&amp;B$306&amp;")"</f>
        <v>(Note K)</v>
      </c>
      <c r="F184" s="201" t="str">
        <f>"(Attachment 4, Line "&amp;'4 - Cost Support'!A143&amp;")"</f>
        <v>(Attachment 4, Line 61)</v>
      </c>
      <c r="G184" s="770"/>
      <c r="H184" s="201">
        <f>+'4 - Cost Support'!T143</f>
        <v>-1167533.5</v>
      </c>
    </row>
    <row r="185" spans="1:8">
      <c r="A185" s="230">
        <f>+A184+1</f>
        <v>102</v>
      </c>
      <c r="B185" s="230"/>
      <c r="C185" s="197" t="s">
        <v>122</v>
      </c>
      <c r="D185" s="285"/>
      <c r="E185" s="248" t="str">
        <f t="shared" ref="E185:E186" si="3">"(Note "&amp;B$306&amp;")"</f>
        <v>(Note K)</v>
      </c>
      <c r="F185" s="201" t="str">
        <f>"(Attachment 4, Line "&amp;'4 - Cost Support'!A144&amp;")"</f>
        <v>(Attachment 4, Line 62)</v>
      </c>
      <c r="G185" s="770"/>
      <c r="H185" s="201">
        <f>+'4 - Cost Support'!T144</f>
        <v>0</v>
      </c>
    </row>
    <row r="186" spans="1:8">
      <c r="A186" s="230">
        <f>+A185+1</f>
        <v>103</v>
      </c>
      <c r="B186" s="230"/>
      <c r="C186" s="255" t="s">
        <v>123</v>
      </c>
      <c r="D186" s="473"/>
      <c r="E186" s="256" t="str">
        <f t="shared" si="3"/>
        <v>(Note K)</v>
      </c>
      <c r="F186" s="204" t="str">
        <f>"(Attachment 4, Line "&amp;'4 - Cost Support'!A145&amp;")"</f>
        <v>(Attachment 4, Line 63)</v>
      </c>
      <c r="G186" s="770"/>
      <c r="H186" s="204">
        <f>+'4 - Cost Support'!T145</f>
        <v>0</v>
      </c>
    </row>
    <row r="187" spans="1:8" ht="60.75">
      <c r="A187" s="230">
        <f>+A186+1</f>
        <v>104</v>
      </c>
      <c r="B187" s="230"/>
      <c r="C187" s="242" t="s">
        <v>124</v>
      </c>
      <c r="F187" s="490" t="str">
        <f>"(Line "&amp;A178&amp;" + "&amp;A180&amp;" + "&amp;A181&amp;" + "&amp;A182&amp;" + "&amp;A183&amp;" + "&amp;A184&amp;" + "&amp;A185&amp;" + "&amp;A186&amp;")"</f>
        <v>(Line 96 + 97 + 98 + 99 + 100 + 101 + 102 + 103)</v>
      </c>
      <c r="H187" s="201">
        <f>+SUM(H178:H186)</f>
        <v>-769164858.43334651</v>
      </c>
    </row>
    <row r="188" spans="1:8">
      <c r="A188" s="230"/>
      <c r="B188" s="230"/>
      <c r="C188" s="242" t="s">
        <v>125</v>
      </c>
      <c r="F188" s="490"/>
      <c r="H188" s="201"/>
    </row>
    <row r="189" spans="1:8">
      <c r="A189" s="230">
        <f>+A187+1</f>
        <v>105</v>
      </c>
      <c r="B189" s="230"/>
      <c r="C189" s="242" t="s">
        <v>126</v>
      </c>
      <c r="F189" s="201" t="str">
        <f>+"(Line "&amp;A178&amp;")"</f>
        <v>(Line 96)</v>
      </c>
      <c r="H189" s="201">
        <f>+H178</f>
        <v>-771916478.49334645</v>
      </c>
    </row>
    <row r="190" spans="1:8">
      <c r="A190" s="230">
        <f t="shared" ref="A190" si="4">+A189+1</f>
        <v>106</v>
      </c>
      <c r="B190" s="230"/>
      <c r="C190" s="242" t="s">
        <v>127</v>
      </c>
      <c r="E190" s="248"/>
      <c r="F190" s="201" t="str">
        <f>+"(Line "&amp;A174&amp;")"</f>
        <v>(Line 93)</v>
      </c>
      <c r="H190" s="201">
        <f>+'4 - Cost Support'!T146</f>
        <v>0</v>
      </c>
    </row>
    <row r="191" spans="1:8">
      <c r="A191" s="230">
        <f t="shared" si="1"/>
        <v>107</v>
      </c>
      <c r="B191" s="230"/>
      <c r="C191" s="242" t="s">
        <v>110</v>
      </c>
      <c r="E191" s="248"/>
      <c r="F191" s="204" t="str">
        <f>+"(Line "&amp;A176&amp;")"</f>
        <v>(Line 95)</v>
      </c>
      <c r="H191" s="201">
        <f>H176</f>
        <v>-932415349.02120852</v>
      </c>
    </row>
    <row r="192" spans="1:8">
      <c r="A192" s="230">
        <f t="shared" si="1"/>
        <v>108</v>
      </c>
      <c r="B192" s="230"/>
      <c r="C192" s="276" t="s">
        <v>128</v>
      </c>
      <c r="D192" s="249"/>
      <c r="E192" s="257"/>
      <c r="F192" s="201" t="str">
        <f>"(Line "&amp;A189&amp;" + Line"&amp;A190&amp;" + Line "&amp;A191&amp;")"</f>
        <v>(Line 105 + Line106 + Line 107)</v>
      </c>
      <c r="G192" s="773"/>
      <c r="H192" s="202">
        <f>+H189+H190+H191</f>
        <v>-1704331827.514555</v>
      </c>
    </row>
    <row r="193" spans="1:8">
      <c r="A193" s="230"/>
      <c r="B193" s="230"/>
      <c r="G193" s="770"/>
      <c r="H193" s="205"/>
    </row>
    <row r="194" spans="1:8">
      <c r="A194" s="230">
        <f>+A192+1</f>
        <v>109</v>
      </c>
      <c r="B194" s="230"/>
      <c r="C194" s="228" t="s">
        <v>129</v>
      </c>
      <c r="D194" s="197" t="s">
        <v>130</v>
      </c>
      <c r="E194" s="248"/>
      <c r="F194" s="201" t="str">
        <f>"(Line "&amp;A189&amp;" / Line "&amp;A192&amp;")"</f>
        <v>(Line 105 / Line 108)</v>
      </c>
      <c r="G194" s="770"/>
      <c r="H194" s="480">
        <f>+H189/H192</f>
        <v>0.45291443017821265</v>
      </c>
    </row>
    <row r="195" spans="1:8">
      <c r="A195" s="230">
        <f>+A194+1</f>
        <v>110</v>
      </c>
      <c r="B195" s="230"/>
      <c r="C195" s="228" t="s">
        <v>131</v>
      </c>
      <c r="D195" s="197" t="s">
        <v>127</v>
      </c>
      <c r="E195" s="248"/>
      <c r="F195" s="201" t="str">
        <f>"(Line "&amp;A190&amp;" / Line "&amp;A192&amp;")"</f>
        <v>(Line 106 / Line 108)</v>
      </c>
      <c r="G195" s="770"/>
      <c r="H195" s="481">
        <f>+H190/H192</f>
        <v>0</v>
      </c>
    </row>
    <row r="196" spans="1:8">
      <c r="A196" s="230">
        <f>+A195+1</f>
        <v>111</v>
      </c>
      <c r="B196" s="230"/>
      <c r="C196" s="228" t="s">
        <v>132</v>
      </c>
      <c r="D196" s="197" t="s">
        <v>110</v>
      </c>
      <c r="E196" s="248"/>
      <c r="F196" s="201" t="str">
        <f>"(Line "&amp;A191&amp;" / Line "&amp;A192&amp;")"</f>
        <v>(Line 107 / Line 108)</v>
      </c>
      <c r="G196" s="770"/>
      <c r="H196" s="480">
        <f>+H191/H192</f>
        <v>0.54708556982178735</v>
      </c>
    </row>
    <row r="197" spans="1:8">
      <c r="A197" s="230"/>
      <c r="B197" s="230"/>
      <c r="C197" s="289"/>
      <c r="F197" s="201"/>
      <c r="G197" s="770"/>
      <c r="H197" s="207"/>
    </row>
    <row r="198" spans="1:8">
      <c r="A198" s="230">
        <f>+A196+1</f>
        <v>112</v>
      </c>
      <c r="B198" s="230"/>
      <c r="C198" s="289" t="s">
        <v>133</v>
      </c>
      <c r="D198" s="197" t="s">
        <v>130</v>
      </c>
      <c r="F198" s="201" t="str">
        <f>"(Line "&amp;A167&amp;" / Line "&amp;A187&amp;")"</f>
        <v>(Line 89 / Line 104)</v>
      </c>
      <c r="G198" s="770"/>
      <c r="H198" s="480">
        <f>+H167/H187*-1</f>
        <v>4.2375122224201311E-2</v>
      </c>
    </row>
    <row r="199" spans="1:8">
      <c r="A199" s="230">
        <f>+A198+1</f>
        <v>113</v>
      </c>
      <c r="B199" s="230"/>
      <c r="C199" s="289" t="s">
        <v>134</v>
      </c>
      <c r="D199" s="197" t="s">
        <v>127</v>
      </c>
      <c r="F199" s="201" t="str">
        <f>"(Line "&amp;A169&amp;" / Line "&amp;A190&amp;")"</f>
        <v>(Line 90 / Line 106)</v>
      </c>
      <c r="G199" s="770"/>
      <c r="H199" s="480">
        <f>+IF(H190=0,0,H169/H190)</f>
        <v>0</v>
      </c>
    </row>
    <row r="200" spans="1:8">
      <c r="A200" s="230">
        <f>+A199+1</f>
        <v>114</v>
      </c>
      <c r="B200" s="230"/>
      <c r="C200" s="289" t="s">
        <v>135</v>
      </c>
      <c r="D200" s="197" t="s">
        <v>110</v>
      </c>
      <c r="E200" s="248" t="str">
        <f>"(Note "&amp;B$302&amp;")"</f>
        <v>(Note G)</v>
      </c>
      <c r="F200" s="201" t="s">
        <v>136</v>
      </c>
      <c r="G200" s="770"/>
      <c r="H200" s="632">
        <v>9.8500000000000004E-2</v>
      </c>
    </row>
    <row r="201" spans="1:8">
      <c r="A201" s="230"/>
      <c r="B201" s="230"/>
      <c r="C201" s="289"/>
      <c r="F201" s="201"/>
      <c r="G201" s="770"/>
      <c r="H201" s="268"/>
    </row>
    <row r="202" spans="1:8">
      <c r="A202" s="230">
        <f>+A200+1</f>
        <v>115</v>
      </c>
      <c r="B202" s="230"/>
      <c r="C202" s="228" t="s">
        <v>137</v>
      </c>
      <c r="D202" s="197" t="s">
        <v>138</v>
      </c>
      <c r="F202" s="201" t="str">
        <f>"(Line "&amp;A194&amp;" * Line "&amp;A198&amp;")"</f>
        <v>(Line 109 * Line 112)</v>
      </c>
      <c r="G202" s="763"/>
      <c r="H202" s="481">
        <f>H194*H198</f>
        <v>1.9192304335906251E-2</v>
      </c>
    </row>
    <row r="203" spans="1:8">
      <c r="A203" s="230">
        <f>+A202+1</f>
        <v>116</v>
      </c>
      <c r="B203" s="230"/>
      <c r="C203" s="228" t="s">
        <v>139</v>
      </c>
      <c r="D203" s="197" t="s">
        <v>127</v>
      </c>
      <c r="F203" s="201" t="str">
        <f>"(Line "&amp;A195&amp;" * Line "&amp;A199&amp;")"</f>
        <v>(Line 110 * Line 113)</v>
      </c>
      <c r="H203" s="481">
        <f>H195*H199</f>
        <v>0</v>
      </c>
    </row>
    <row r="204" spans="1:8">
      <c r="A204" s="230">
        <f>+A203+1</f>
        <v>117</v>
      </c>
      <c r="B204" s="273"/>
      <c r="C204" s="261" t="s">
        <v>140</v>
      </c>
      <c r="D204" s="255" t="s">
        <v>110</v>
      </c>
      <c r="E204" s="273"/>
      <c r="F204" s="204" t="str">
        <f>"(Line "&amp;A196&amp;" * Line "&amp;A200&amp;")"</f>
        <v>(Line 111 * Line 114)</v>
      </c>
      <c r="G204" s="772"/>
      <c r="H204" s="482">
        <f>H196*H200</f>
        <v>5.3887928627446055E-2</v>
      </c>
    </row>
    <row r="205" spans="1:8" s="9" customFormat="1">
      <c r="A205" s="230">
        <f>+A204+1</f>
        <v>118</v>
      </c>
      <c r="B205" s="242" t="s">
        <v>141</v>
      </c>
      <c r="C205" s="242"/>
      <c r="D205" s="242"/>
      <c r="E205" s="227"/>
      <c r="F205" s="201" t="str">
        <f>"(Lines "&amp;A202&amp;" + "&amp;A203&amp;" + "&amp;A204&amp;")"</f>
        <v>(Lines 115 + 116 + 117)</v>
      </c>
      <c r="G205" s="763"/>
      <c r="H205" s="483">
        <f>SUM(H202:H204)</f>
        <v>7.308023296335231E-2</v>
      </c>
    </row>
    <row r="206" spans="1:8" s="9" customFormat="1">
      <c r="A206" s="227"/>
      <c r="B206" s="227"/>
      <c r="C206" s="242"/>
      <c r="D206" s="242"/>
      <c r="E206" s="227"/>
      <c r="F206" s="288"/>
      <c r="G206" s="763"/>
      <c r="H206" s="484"/>
    </row>
    <row r="207" spans="1:8" ht="21" thickBot="1">
      <c r="A207" s="230">
        <f>+A205+1</f>
        <v>119</v>
      </c>
      <c r="B207" s="290" t="s">
        <v>142</v>
      </c>
      <c r="C207" s="283"/>
      <c r="D207" s="278"/>
      <c r="E207" s="291"/>
      <c r="F207" s="217" t="str">
        <f>"(Line "&amp;A114&amp;" * Line "&amp;A205&amp;")"</f>
        <v>(Line 59 * Line 118)</v>
      </c>
      <c r="G207" s="764"/>
      <c r="H207" s="477">
        <f>H114*H205</f>
        <v>23416431.790143866</v>
      </c>
    </row>
    <row r="208" spans="1:8">
      <c r="A208" s="244" t="s">
        <v>143</v>
      </c>
      <c r="B208" s="245"/>
      <c r="C208" s="281"/>
      <c r="D208" s="206"/>
      <c r="E208" s="287"/>
      <c r="F208" s="206"/>
      <c r="G208" s="769"/>
      <c r="H208" s="199"/>
    </row>
    <row r="209" spans="1:8">
      <c r="A209" s="230" t="s">
        <v>144</v>
      </c>
      <c r="B209" s="292" t="s">
        <v>145</v>
      </c>
      <c r="E209" s="205"/>
      <c r="F209" s="201"/>
      <c r="G209" s="774"/>
    </row>
    <row r="210" spans="1:8">
      <c r="A210" s="230">
        <f>+A207+1</f>
        <v>120</v>
      </c>
      <c r="B210" s="230"/>
      <c r="C210" s="197" t="s">
        <v>146</v>
      </c>
      <c r="E210" s="248"/>
      <c r="H210" s="221">
        <v>0.21</v>
      </c>
    </row>
    <row r="211" spans="1:8">
      <c r="A211" s="230">
        <f>+A210+1</f>
        <v>121</v>
      </c>
      <c r="B211" s="230"/>
      <c r="C211" s="197" t="s">
        <v>147</v>
      </c>
      <c r="D211" s="293"/>
      <c r="F211" s="201" t="str">
        <f>"(Attachment 4, Line "&amp;'4 - Cost Support'!A153&amp;")"</f>
        <v>(Attachment 4, Line 65)</v>
      </c>
      <c r="H211" s="223">
        <f>+'4 - Cost Support'!S153</f>
        <v>0</v>
      </c>
    </row>
    <row r="212" spans="1:8">
      <c r="A212" s="230">
        <f>+A211+1</f>
        <v>122</v>
      </c>
      <c r="B212" s="230"/>
      <c r="C212" s="197" t="s">
        <v>148</v>
      </c>
      <c r="D212" s="293"/>
      <c r="F212" s="201" t="str">
        <f>"(Attachment 4, Line "&amp;'4 - Cost Support'!A154&amp;")"</f>
        <v>(Attachment 4, Line 66)</v>
      </c>
      <c r="H212" s="355">
        <f>+'4 - Cost Support'!S154</f>
        <v>1.8499999999999999E-2</v>
      </c>
    </row>
    <row r="213" spans="1:8">
      <c r="A213" s="230">
        <f>+A212+1</f>
        <v>123</v>
      </c>
      <c r="B213" s="230"/>
      <c r="C213" s="197" t="s">
        <v>149</v>
      </c>
      <c r="D213" s="197" t="s">
        <v>150</v>
      </c>
      <c r="F213" s="197" t="s">
        <v>151</v>
      </c>
      <c r="H213" s="221">
        <v>0</v>
      </c>
    </row>
    <row r="214" spans="1:8">
      <c r="A214" s="230">
        <f>+A213+1</f>
        <v>124</v>
      </c>
      <c r="B214" s="230"/>
      <c r="C214" s="197" t="s">
        <v>152</v>
      </c>
      <c r="D214" s="294" t="s">
        <v>153</v>
      </c>
      <c r="H214" s="222">
        <f>+H210+H211+H212-(H211+H212)*H210-(H210*H213*H211)</f>
        <v>0.22461499999999998</v>
      </c>
    </row>
    <row r="215" spans="1:8" s="46" customFormat="1">
      <c r="A215" s="230">
        <f>A214+1</f>
        <v>125</v>
      </c>
      <c r="B215" s="197"/>
      <c r="C215" s="197" t="s">
        <v>154</v>
      </c>
      <c r="D215" s="197"/>
      <c r="E215" s="197"/>
      <c r="F215" s="197"/>
      <c r="G215" s="757"/>
      <c r="H215" s="223">
        <f>H214/(1-H214)</f>
        <v>0.28968189995937499</v>
      </c>
    </row>
    <row r="216" spans="1:8" s="46" customFormat="1">
      <c r="A216" s="230">
        <f>+A215+1</f>
        <v>126</v>
      </c>
      <c r="B216" s="197"/>
      <c r="C216" s="197" t="s">
        <v>155</v>
      </c>
      <c r="D216" s="197"/>
      <c r="E216" s="197"/>
      <c r="F216" s="197"/>
      <c r="G216" s="757"/>
      <c r="H216" s="223">
        <f>1/(1-H214)</f>
        <v>1.2896818999593751</v>
      </c>
    </row>
    <row r="217" spans="1:8">
      <c r="A217" s="230"/>
      <c r="B217" s="230"/>
      <c r="E217" s="264"/>
      <c r="G217" s="774"/>
      <c r="H217" s="222"/>
    </row>
    <row r="218" spans="1:8">
      <c r="A218" s="230"/>
      <c r="B218" s="292" t="s">
        <v>156</v>
      </c>
      <c r="E218" s="248"/>
      <c r="G218" s="774"/>
      <c r="H218" s="224"/>
    </row>
    <row r="219" spans="1:8">
      <c r="A219" s="230">
        <f>+A216+1</f>
        <v>127</v>
      </c>
      <c r="B219" s="230"/>
      <c r="C219" s="197" t="s">
        <v>157</v>
      </c>
      <c r="D219" s="205"/>
      <c r="E219" s="248"/>
      <c r="F219" s="201" t="str">
        <f>"(Attachment 4, Line "&amp;'4 - Cost Support'!A161&amp;")"</f>
        <v>(Attachment 4, Line 68)</v>
      </c>
      <c r="G219" s="774"/>
      <c r="H219" s="201">
        <f>'4 - Cost Support'!S161</f>
        <v>-2877</v>
      </c>
    </row>
    <row r="220" spans="1:8">
      <c r="A220" s="230">
        <f t="shared" ref="A220:A225" si="5">+A219+1</f>
        <v>128</v>
      </c>
      <c r="B220" s="230"/>
      <c r="C220" s="197" t="s">
        <v>158</v>
      </c>
      <c r="D220" s="205"/>
      <c r="E220" s="248"/>
      <c r="F220" s="201" t="str">
        <f>"(Attachment 4, Line "&amp;'4 - Cost Support'!A160&amp;")"</f>
        <v>(Attachment 4, Line 67)</v>
      </c>
      <c r="G220" s="774"/>
      <c r="H220" s="201">
        <f>'4 - Cost Support'!S160</f>
        <v>-41415</v>
      </c>
    </row>
    <row r="221" spans="1:8">
      <c r="A221" s="230">
        <f t="shared" si="5"/>
        <v>129</v>
      </c>
      <c r="B221" s="230"/>
      <c r="C221" s="261" t="s">
        <v>29</v>
      </c>
      <c r="D221" s="261"/>
      <c r="E221" s="273"/>
      <c r="F221" s="255" t="str">
        <f>"(Line "&amp;A$16&amp;")"</f>
        <v>(Line 5)</v>
      </c>
      <c r="G221" s="772"/>
      <c r="H221" s="460">
        <f>+H16</f>
        <v>0.12783050741274057</v>
      </c>
    </row>
    <row r="222" spans="1:8">
      <c r="A222" s="230">
        <f t="shared" si="5"/>
        <v>130</v>
      </c>
      <c r="B222" s="230"/>
      <c r="C222" s="197" t="s">
        <v>159</v>
      </c>
      <c r="F222" s="201" t="str">
        <f>"(Line "&amp;A220&amp;" * Line "&amp;A221&amp;")"</f>
        <v>(Line 128 * Line 129)</v>
      </c>
      <c r="G222" s="770"/>
      <c r="H222" s="207">
        <f>+H220*H221</f>
        <v>-5294.1004644986506</v>
      </c>
    </row>
    <row r="223" spans="1:8">
      <c r="A223" s="230">
        <f t="shared" si="5"/>
        <v>131</v>
      </c>
      <c r="B223" s="230"/>
      <c r="C223" s="197" t="s">
        <v>160</v>
      </c>
      <c r="F223" s="201" t="str">
        <f>"(Line "&amp;A219&amp;" + Line "&amp;A222&amp;")"</f>
        <v>(Line 127 + Line 130)</v>
      </c>
      <c r="G223" s="770"/>
      <c r="H223" s="207">
        <f>+H219+H222</f>
        <v>-8171.1004644986506</v>
      </c>
    </row>
    <row r="224" spans="1:8">
      <c r="A224" s="230">
        <f t="shared" si="5"/>
        <v>132</v>
      </c>
      <c r="B224" s="230"/>
      <c r="C224" s="255" t="s">
        <v>155</v>
      </c>
      <c r="D224" s="255"/>
      <c r="E224" s="273"/>
      <c r="F224" s="255" t="str">
        <f>"(Line "&amp;A216&amp;")"</f>
        <v>(Line 126)</v>
      </c>
      <c r="G224" s="775"/>
      <c r="H224" s="452">
        <f>+H216</f>
        <v>1.2896818999593751</v>
      </c>
    </row>
    <row r="225" spans="1:8">
      <c r="A225" s="230">
        <f t="shared" si="5"/>
        <v>133</v>
      </c>
      <c r="B225" s="230"/>
      <c r="C225" s="243" t="s">
        <v>161</v>
      </c>
      <c r="E225" s="248"/>
      <c r="F225" s="201" t="str">
        <f>"(Line "&amp;A223&amp;" * Line "&amp;A224&amp;")"</f>
        <v>(Line 131 * Line 132)</v>
      </c>
      <c r="G225" s="770"/>
      <c r="H225" s="212">
        <f>+H223*H224</f>
        <v>-10538.120371813553</v>
      </c>
    </row>
    <row r="226" spans="1:8">
      <c r="A226" s="230"/>
      <c r="B226" s="230"/>
      <c r="C226" s="243"/>
      <c r="E226" s="248"/>
      <c r="F226" s="201"/>
      <c r="G226" s="770"/>
      <c r="H226" s="212"/>
    </row>
    <row r="227" spans="1:8">
      <c r="A227" s="230"/>
      <c r="B227" s="243" t="s">
        <v>162</v>
      </c>
      <c r="C227" s="243"/>
      <c r="E227" s="248"/>
      <c r="F227" s="201"/>
      <c r="G227" s="770"/>
      <c r="H227" s="212"/>
    </row>
    <row r="228" spans="1:8">
      <c r="A228" s="230">
        <f>+A225+1</f>
        <v>134</v>
      </c>
      <c r="B228" s="230"/>
      <c r="C228" s="197" t="s">
        <v>162</v>
      </c>
      <c r="D228" s="205"/>
      <c r="E228" s="248"/>
      <c r="F228" s="201" t="str">
        <f>"(Attachment 4, Line "&amp;'4 - Cost Support'!A162&amp;")"</f>
        <v>(Attachment 4, Line 69)</v>
      </c>
      <c r="G228" s="774"/>
      <c r="H228" s="201">
        <f>+'4 - Cost Support'!S162</f>
        <v>305383</v>
      </c>
    </row>
    <row r="229" spans="1:8">
      <c r="A229" s="230">
        <f>+A228+1</f>
        <v>135</v>
      </c>
      <c r="B229" s="230"/>
      <c r="C229" s="228" t="s">
        <v>163</v>
      </c>
      <c r="D229" s="205"/>
      <c r="E229" s="248"/>
      <c r="F229" s="201" t="str">
        <f>"(Line "&amp;A214&amp;" * Line "&amp;A228&amp;")"</f>
        <v>(Line 124 * Line 134)</v>
      </c>
      <c r="G229" s="774"/>
      <c r="H229" s="201">
        <f>+H228*H214</f>
        <v>68593.602545000002</v>
      </c>
    </row>
    <row r="230" spans="1:8">
      <c r="A230" s="230">
        <f>+A229+1</f>
        <v>136</v>
      </c>
      <c r="B230" s="230"/>
      <c r="C230" s="197" t="s">
        <v>155</v>
      </c>
      <c r="E230" s="273"/>
      <c r="F230" s="255" t="str">
        <f>"(Line "&amp;A216&amp;")"</f>
        <v>(Line 126)</v>
      </c>
      <c r="G230" s="774"/>
      <c r="H230" s="223">
        <f>+H216</f>
        <v>1.2896818999593751</v>
      </c>
    </row>
    <row r="231" spans="1:8">
      <c r="A231" s="230">
        <f>+A230+1</f>
        <v>137</v>
      </c>
      <c r="B231" s="230"/>
      <c r="C231" s="295" t="s">
        <v>164</v>
      </c>
      <c r="D231" s="249"/>
      <c r="E231" s="248"/>
      <c r="F231" s="201" t="str">
        <f>"(Line "&amp;A229&amp;" * Line "&amp;A230&amp;")"</f>
        <v>(Line 135 * Line 136)</v>
      </c>
      <c r="G231" s="773"/>
      <c r="H231" s="216">
        <f>+H229*H230</f>
        <v>88463.927655293825</v>
      </c>
    </row>
    <row r="232" spans="1:8">
      <c r="A232" s="230"/>
      <c r="B232" s="230"/>
      <c r="C232" s="243"/>
      <c r="E232" s="248"/>
      <c r="F232" s="201"/>
      <c r="G232" s="770"/>
      <c r="H232" s="212"/>
    </row>
    <row r="233" spans="1:8">
      <c r="A233" s="230"/>
      <c r="B233" s="243" t="s">
        <v>165</v>
      </c>
      <c r="C233" s="243"/>
      <c r="E233" s="248"/>
      <c r="F233" s="201"/>
      <c r="G233" s="770"/>
      <c r="H233" s="212"/>
    </row>
    <row r="234" spans="1:8">
      <c r="A234" s="230">
        <f>+A231+1</f>
        <v>138</v>
      </c>
      <c r="B234" s="230"/>
      <c r="C234" s="228" t="s">
        <v>166</v>
      </c>
      <c r="E234" s="248" t="str">
        <f>"(Note "&amp;B309&amp;")"</f>
        <v>(Note N)</v>
      </c>
      <c r="F234" s="201" t="str">
        <f>"(Attachment 4, Line "&amp;'4 - Cost Support'!A203&amp;")"</f>
        <v>(Attachment 4, Line 78)</v>
      </c>
      <c r="G234" s="799"/>
      <c r="H234" s="829">
        <f>+'4 - Cost Support'!R203</f>
        <v>-3038114.8514752002</v>
      </c>
    </row>
    <row r="235" spans="1:8">
      <c r="A235" s="230">
        <f>+A234+1</f>
        <v>139</v>
      </c>
      <c r="B235" s="230"/>
      <c r="C235" s="197" t="s">
        <v>155</v>
      </c>
      <c r="E235" s="256"/>
      <c r="F235" s="255" t="str">
        <f>+F224</f>
        <v>(Line 126)</v>
      </c>
      <c r="G235" s="774"/>
      <c r="H235" s="223">
        <f>+H216</f>
        <v>1.2896818999593751</v>
      </c>
    </row>
    <row r="236" spans="1:8">
      <c r="A236" s="230">
        <f>+A235+1</f>
        <v>140</v>
      </c>
      <c r="B236" s="230"/>
      <c r="C236" s="295" t="s">
        <v>167</v>
      </c>
      <c r="D236" s="249"/>
      <c r="E236" s="248"/>
      <c r="F236" s="201" t="str">
        <f>"(Line "&amp;A234&amp;" * Line "&amp;A235&amp;")"</f>
        <v>(Line 138 * Line 139)</v>
      </c>
      <c r="G236" s="773"/>
      <c r="H236" s="216">
        <f>+H234*H235</f>
        <v>-3918201.7339453306</v>
      </c>
    </row>
    <row r="237" spans="1:8" ht="142.5" customHeight="1">
      <c r="A237" s="230">
        <f>+A236+1</f>
        <v>141</v>
      </c>
      <c r="B237" s="242" t="s">
        <v>168</v>
      </c>
      <c r="D237" s="490" t="s">
        <v>169</v>
      </c>
      <c r="E237" s="205"/>
      <c r="F237" s="491" t="str">
        <f>"(Line "&amp;A215&amp;" * Line "&amp;A114&amp;" * (Line "&amp;A203&amp;" + Line "&amp;A204&amp;"))"</f>
        <v>(Line 125 * Line 59 * (Line 116 + Line 117))</v>
      </c>
      <c r="H237" s="212">
        <f>+H215*H114*(H203+H204)</f>
        <v>5001884.3394355439</v>
      </c>
    </row>
    <row r="238" spans="1:8" ht="21" thickBot="1">
      <c r="A238" s="230">
        <f>+A237+1</f>
        <v>142</v>
      </c>
      <c r="B238" s="296" t="s">
        <v>170</v>
      </c>
      <c r="C238" s="296"/>
      <c r="D238" s="251"/>
      <c r="E238" s="263"/>
      <c r="F238" s="297" t="str">
        <f>"(Line "&amp;A225&amp;" + Line "&amp;A231&amp;" + Line "&amp;A236&amp;" + Line "&amp;A237&amp;")"</f>
        <v>(Line 133 + Line 137 + Line 140 + Line 141)</v>
      </c>
      <c r="G238" s="765"/>
      <c r="H238" s="548">
        <f>H225+H231+H236+H237</f>
        <v>1161608.4127736934</v>
      </c>
    </row>
    <row r="239" spans="1:8" ht="21" thickTop="1">
      <c r="A239" s="230"/>
      <c r="B239" s="230"/>
      <c r="C239" s="294"/>
      <c r="F239" s="207"/>
      <c r="G239" s="774"/>
      <c r="H239" s="220"/>
    </row>
    <row r="240" spans="1:8">
      <c r="A240" s="244" t="s">
        <v>171</v>
      </c>
      <c r="B240" s="245"/>
      <c r="C240" s="281"/>
      <c r="D240" s="206"/>
      <c r="E240" s="246"/>
      <c r="F240" s="206"/>
      <c r="G240" s="769"/>
      <c r="H240" s="199"/>
    </row>
    <row r="241" spans="1:8">
      <c r="A241" s="230"/>
      <c r="H241" s="533"/>
    </row>
    <row r="242" spans="1:8">
      <c r="A242" s="230"/>
      <c r="B242" s="242" t="s">
        <v>172</v>
      </c>
    </row>
    <row r="243" spans="1:8">
      <c r="A243" s="230">
        <f>+A238+1</f>
        <v>143</v>
      </c>
      <c r="C243" s="197" t="s">
        <v>173</v>
      </c>
      <c r="F243" s="201" t="str">
        <f>"(Line "&amp;A57&amp;")"</f>
        <v>(Line 29)</v>
      </c>
      <c r="H243" s="207">
        <f>H57</f>
        <v>367842698.22026986</v>
      </c>
    </row>
    <row r="244" spans="1:8">
      <c r="A244" s="230">
        <f>+A243+1</f>
        <v>144</v>
      </c>
      <c r="C244" s="197" t="s">
        <v>75</v>
      </c>
      <c r="F244" s="204" t="str">
        <f>"(Line "&amp;A112&amp;")"</f>
        <v>(Line 58)</v>
      </c>
      <c r="H244" s="207">
        <f>H112</f>
        <v>-47421828.70981618</v>
      </c>
    </row>
    <row r="245" spans="1:8">
      <c r="A245" s="230">
        <f>+A244+1</f>
        <v>145</v>
      </c>
      <c r="B245" s="230"/>
      <c r="C245" s="276" t="s">
        <v>76</v>
      </c>
      <c r="D245" s="276"/>
      <c r="E245" s="298"/>
      <c r="F245" s="201" t="str">
        <f>"(Line "&amp;A114&amp;")"</f>
        <v>(Line 59)</v>
      </c>
      <c r="G245" s="759"/>
      <c r="H245" s="216">
        <f>SUM(H243:H244)</f>
        <v>320420869.5104537</v>
      </c>
    </row>
    <row r="246" spans="1:8">
      <c r="A246" s="230"/>
      <c r="B246" s="230"/>
      <c r="E246" s="205"/>
      <c r="H246" s="207"/>
    </row>
    <row r="247" spans="1:8">
      <c r="A247" s="230">
        <f>+A245+1</f>
        <v>146</v>
      </c>
      <c r="C247" s="197" t="s">
        <v>174</v>
      </c>
      <c r="F247" s="201" t="str">
        <f>"(Line "&amp;A144&amp;")"</f>
        <v>(Line 78)</v>
      </c>
      <c r="H247" s="207">
        <f>H144</f>
        <v>19511048.876679722</v>
      </c>
    </row>
    <row r="248" spans="1:8">
      <c r="A248" s="230">
        <f>+A247+1</f>
        <v>147</v>
      </c>
      <c r="C248" s="228" t="s">
        <v>102</v>
      </c>
      <c r="F248" s="201" t="str">
        <f>"(Line "&amp;A158&amp;")"</f>
        <v>(Line 86)</v>
      </c>
      <c r="H248" s="207">
        <f>H158</f>
        <v>13095303.951770907</v>
      </c>
    </row>
    <row r="249" spans="1:8">
      <c r="A249" s="230">
        <f>+A248+1</f>
        <v>148</v>
      </c>
      <c r="B249" s="230"/>
      <c r="C249" s="197" t="s">
        <v>175</v>
      </c>
      <c r="E249" s="205"/>
      <c r="F249" s="201" t="str">
        <f>"(Line "&amp;A164&amp;")"</f>
        <v>(Line 88)</v>
      </c>
      <c r="H249" s="207">
        <f>H164</f>
        <v>22431446.258510835</v>
      </c>
    </row>
    <row r="250" spans="1:8">
      <c r="A250" s="230">
        <f>+A249+1</f>
        <v>149</v>
      </c>
      <c r="B250" s="230"/>
      <c r="C250" s="294" t="s">
        <v>176</v>
      </c>
      <c r="E250" s="205"/>
      <c r="F250" s="201" t="str">
        <f>"(Line "&amp;A207&amp;")"</f>
        <v>(Line 119)</v>
      </c>
      <c r="H250" s="207">
        <f>H207</f>
        <v>23416431.790143866</v>
      </c>
    </row>
    <row r="251" spans="1:8">
      <c r="A251" s="230">
        <f>+A250+1</f>
        <v>150</v>
      </c>
      <c r="B251" s="230"/>
      <c r="C251" s="294" t="s">
        <v>177</v>
      </c>
      <c r="E251" s="205"/>
      <c r="F251" s="201" t="str">
        <f>"(Line "&amp;A238&amp;")"</f>
        <v>(Line 142)</v>
      </c>
      <c r="H251" s="207">
        <f>H238</f>
        <v>1161608.4127736934</v>
      </c>
    </row>
    <row r="252" spans="1:8">
      <c r="A252" s="230"/>
      <c r="B252" s="230"/>
      <c r="C252" s="294"/>
      <c r="E252" s="205"/>
      <c r="H252" s="207"/>
    </row>
    <row r="253" spans="1:8">
      <c r="A253" s="299">
        <f>+A251+1</f>
        <v>151</v>
      </c>
      <c r="B253" s="300"/>
      <c r="C253" s="301" t="s">
        <v>178</v>
      </c>
      <c r="D253" s="301"/>
      <c r="E253" s="701" t="str">
        <f>"(Note "&amp;B316&amp;")"</f>
        <v>(Note U)</v>
      </c>
      <c r="F253" s="302" t="str">
        <f>"(Sum Lines "&amp;A247&amp;" to "&amp;A251&amp;")"</f>
        <v>(Sum Lines 146 to 150)</v>
      </c>
      <c r="G253" s="776"/>
      <c r="H253" s="485">
        <f>SUM(H247:H251)</f>
        <v>79615839.289879024</v>
      </c>
    </row>
    <row r="254" spans="1:8">
      <c r="A254" s="227"/>
      <c r="B254" s="230"/>
      <c r="C254" s="242"/>
      <c r="D254" s="242"/>
      <c r="E254" s="303"/>
      <c r="F254" s="288"/>
      <c r="H254" s="212"/>
    </row>
    <row r="255" spans="1:8">
      <c r="A255" s="227"/>
      <c r="B255" s="243" t="s">
        <v>179</v>
      </c>
      <c r="C255" s="242"/>
      <c r="D255" s="242"/>
      <c r="E255" s="303"/>
      <c r="F255" s="288"/>
      <c r="H255" s="212"/>
    </row>
    <row r="256" spans="1:8">
      <c r="A256" s="230">
        <f>+A253+1</f>
        <v>152</v>
      </c>
      <c r="B256" s="230"/>
      <c r="C256" s="197" t="str">
        <f>+C33</f>
        <v>Transmission Plant In Service</v>
      </c>
      <c r="D256" s="242"/>
      <c r="E256" s="303"/>
      <c r="F256" s="201" t="str">
        <f>"(Line "&amp;A33&amp;")"</f>
        <v>(Line 13)</v>
      </c>
      <c r="H256" s="207">
        <f>H33</f>
        <v>607243842.25578296</v>
      </c>
    </row>
    <row r="257" spans="1:8">
      <c r="A257" s="230">
        <f>+A256+1</f>
        <v>153</v>
      </c>
      <c r="B257" s="230"/>
      <c r="C257" s="255" t="s">
        <v>180</v>
      </c>
      <c r="D257" s="304"/>
      <c r="E257" s="256" t="str">
        <f>"(Note "&amp;B$296&amp;" &amp; "&amp;B$304&amp;")"</f>
        <v>(Note A &amp; I)</v>
      </c>
      <c r="F257" s="204" t="str">
        <f>"(Attachment 4, Line "&amp;'4 - Cost Support'!A168&amp;")"</f>
        <v>(Attachment 4, Line 70)</v>
      </c>
      <c r="G257" s="760"/>
      <c r="H257" s="210">
        <f>+'4 - Cost Support'!T168</f>
        <v>2437669.9400000004</v>
      </c>
    </row>
    <row r="258" spans="1:8">
      <c r="A258" s="230">
        <f>+A257+1</f>
        <v>154</v>
      </c>
      <c r="B258" s="230"/>
      <c r="C258" s="197" t="s">
        <v>181</v>
      </c>
      <c r="D258" s="242"/>
      <c r="E258" s="303"/>
      <c r="F258" s="201" t="str">
        <f>"(Line "&amp;A256&amp;" - Line "&amp;A257&amp;")"</f>
        <v>(Line 152 - Line 153)</v>
      </c>
      <c r="H258" s="207">
        <f>H256-H257</f>
        <v>604806172.3157829</v>
      </c>
    </row>
    <row r="259" spans="1:8">
      <c r="A259" s="230">
        <f>+A258+1</f>
        <v>155</v>
      </c>
      <c r="B259" s="230"/>
      <c r="C259" s="197" t="s">
        <v>182</v>
      </c>
      <c r="D259" s="242"/>
      <c r="E259" s="303"/>
      <c r="F259" s="201" t="str">
        <f>"(Line "&amp;A258&amp;" / Line "&amp;A256&amp;")"</f>
        <v>(Line 154 / Line 152)</v>
      </c>
      <c r="H259" s="476">
        <f>H258/H256</f>
        <v>0.9959856819116607</v>
      </c>
    </row>
    <row r="260" spans="1:8">
      <c r="A260" s="230">
        <f>+A259+1</f>
        <v>156</v>
      </c>
      <c r="B260" s="230"/>
      <c r="C260" s="255" t="s">
        <v>183</v>
      </c>
      <c r="D260" s="304"/>
      <c r="E260" s="305"/>
      <c r="F260" s="204" t="str">
        <f>"(Line "&amp;A253&amp;")"</f>
        <v>(Line 151)</v>
      </c>
      <c r="G260" s="760"/>
      <c r="H260" s="210">
        <f>H253</f>
        <v>79615839.289879024</v>
      </c>
    </row>
    <row r="261" spans="1:8">
      <c r="A261" s="230">
        <f>+A260+1</f>
        <v>157</v>
      </c>
      <c r="B261" s="230"/>
      <c r="C261" s="242" t="s">
        <v>184</v>
      </c>
      <c r="D261" s="242"/>
      <c r="E261" s="303"/>
      <c r="F261" s="201" t="str">
        <f>"(Line "&amp;A259&amp;" * Line "&amp;A260&amp;")"</f>
        <v>(Line 155 * Line 156)</v>
      </c>
      <c r="H261" s="212">
        <f>H259*H260</f>
        <v>79296235.986099347</v>
      </c>
    </row>
    <row r="262" spans="1:8">
      <c r="A262" s="266"/>
      <c r="B262" s="230"/>
      <c r="E262" s="205"/>
      <c r="H262" s="479"/>
    </row>
    <row r="263" spans="1:8">
      <c r="A263" s="266"/>
      <c r="B263" s="243" t="s">
        <v>185</v>
      </c>
      <c r="E263" s="205"/>
      <c r="H263" s="479"/>
    </row>
    <row r="264" spans="1:8">
      <c r="A264" s="230">
        <f>+A261+1</f>
        <v>158</v>
      </c>
      <c r="C264" s="243" t="s">
        <v>186</v>
      </c>
      <c r="D264" s="285"/>
      <c r="E264" s="248"/>
      <c r="F264" s="201" t="str">
        <f>"(Attachment 3, Line "&amp;'3 - Revenue Credits'!A34&amp;")"</f>
        <v>(Attachment 3, Line 17)</v>
      </c>
      <c r="H264" s="207">
        <f>+'3 - Revenue Credits'!D34</f>
        <v>-2578753.02</v>
      </c>
    </row>
    <row r="265" spans="1:8" ht="21" thickBot="1">
      <c r="A265" s="230"/>
      <c r="B265" s="230"/>
      <c r="F265" s="306"/>
      <c r="H265" s="479"/>
    </row>
    <row r="266" spans="1:8" s="9" customFormat="1" ht="21" thickBot="1">
      <c r="A266" s="307">
        <f>+A264+1</f>
        <v>159</v>
      </c>
      <c r="B266" s="308"/>
      <c r="C266" s="309" t="s">
        <v>187</v>
      </c>
      <c r="D266" s="225"/>
      <c r="E266" s="310"/>
      <c r="F266" s="225" t="str">
        <f>"(Line "&amp;A261&amp;" + Line "&amp;A264&amp;")"</f>
        <v>(Line 157 + Line 158)</v>
      </c>
      <c r="G266" s="766"/>
      <c r="H266" s="486">
        <f>H261+H264</f>
        <v>76717482.966099352</v>
      </c>
    </row>
    <row r="267" spans="1:8" s="9" customFormat="1">
      <c r="A267" s="227"/>
      <c r="B267" s="242"/>
      <c r="C267" s="243"/>
      <c r="D267" s="288"/>
      <c r="E267" s="227"/>
      <c r="F267" s="288"/>
      <c r="G267" s="757"/>
      <c r="H267" s="212"/>
    </row>
    <row r="268" spans="1:8" s="9" customFormat="1">
      <c r="A268" s="244" t="s">
        <v>188</v>
      </c>
      <c r="B268" s="245"/>
      <c r="C268" s="281"/>
      <c r="D268" s="206"/>
      <c r="E268" s="246"/>
      <c r="F268" s="206"/>
      <c r="G268" s="769"/>
      <c r="H268" s="199"/>
    </row>
    <row r="269" spans="1:8">
      <c r="A269" s="266"/>
      <c r="B269" s="230"/>
      <c r="H269" s="479"/>
    </row>
    <row r="270" spans="1:8">
      <c r="A270" s="230"/>
      <c r="B270" s="242" t="s">
        <v>189</v>
      </c>
      <c r="H270" s="479"/>
    </row>
    <row r="271" spans="1:8">
      <c r="A271" s="230">
        <f>+A266+1</f>
        <v>160</v>
      </c>
      <c r="B271" s="230"/>
      <c r="C271" s="197" t="str">
        <f>+C260</f>
        <v>Gross Revenue Requirement</v>
      </c>
      <c r="F271" s="197" t="str">
        <f>"(Line "&amp;A253&amp;")"</f>
        <v>(Line 151)</v>
      </c>
      <c r="H271" s="212">
        <f>+H253</f>
        <v>79615839.289879024</v>
      </c>
    </row>
    <row r="272" spans="1:8">
      <c r="A272" s="230">
        <f>+A271+1</f>
        <v>161</v>
      </c>
      <c r="B272" s="230"/>
      <c r="C272" s="197" t="s">
        <v>190</v>
      </c>
      <c r="F272" s="197" t="str">
        <f>"(Line "&amp;A33&amp;" + Line "&amp;A46&amp;" + Line "&amp;A68&amp;")"</f>
        <v>(Line 13 + Line 21 + Line 32)</v>
      </c>
      <c r="H272" s="212">
        <f>+H33+H46+H68</f>
        <v>395608786.035474</v>
      </c>
    </row>
    <row r="273" spans="1:10">
      <c r="A273" s="230">
        <f>+A272+1</f>
        <v>162</v>
      </c>
      <c r="B273" s="230"/>
      <c r="C273" s="197" t="s">
        <v>191</v>
      </c>
      <c r="F273" s="197" t="str">
        <f>"(Line "&amp;A271&amp;" / Line "&amp;A272&amp;")"</f>
        <v>(Line 160 / Line 161)</v>
      </c>
      <c r="H273" s="487">
        <f>H271/H272</f>
        <v>0.20124891584874943</v>
      </c>
    </row>
    <row r="274" spans="1:10">
      <c r="A274" s="230">
        <f>+A273+1</f>
        <v>163</v>
      </c>
      <c r="B274" s="230"/>
      <c r="C274" s="197" t="s">
        <v>192</v>
      </c>
      <c r="F274" s="197" t="str">
        <f>"(Line "&amp;A271&amp;" - Line "&amp;A149&amp;") / Line "&amp;A272</f>
        <v>(Line 160 - Line 79) / Line 161</v>
      </c>
      <c r="H274" s="487">
        <f>(H271-H149)/H272</f>
        <v>0.17012595741661612</v>
      </c>
    </row>
    <row r="275" spans="1:10">
      <c r="A275" s="230">
        <f>+A274+1</f>
        <v>164</v>
      </c>
      <c r="B275" s="230"/>
      <c r="C275" s="197" t="s">
        <v>193</v>
      </c>
      <c r="F275" s="197" t="str">
        <f>"(Line "&amp;A271&amp;" - Line "&amp;A149&amp;" - Line "&amp;A250&amp;" - Line "&amp;A251&amp;") / Line "&amp;A272</f>
        <v>(Line 160 - Line 79 - Line 149 - Line 150) / Line 161</v>
      </c>
      <c r="H275" s="487">
        <f>(H271-H149-H250-H251)/H272</f>
        <v>0.10799882305940886</v>
      </c>
    </row>
    <row r="276" spans="1:10">
      <c r="A276" s="230"/>
      <c r="B276" s="230"/>
      <c r="H276" s="479"/>
    </row>
    <row r="277" spans="1:10">
      <c r="A277" s="230">
        <f>+A275+1</f>
        <v>165</v>
      </c>
      <c r="B277" s="230"/>
      <c r="C277" s="242" t="s">
        <v>187</v>
      </c>
      <c r="F277" s="197" t="str">
        <f>"(Line "&amp;A266&amp;")"</f>
        <v>(Line 159)</v>
      </c>
      <c r="H277" s="212">
        <f>H266</f>
        <v>76717482.966099352</v>
      </c>
    </row>
    <row r="278" spans="1:10">
      <c r="A278" s="230">
        <f t="shared" ref="A278:A283" si="6">+A277+1</f>
        <v>166</v>
      </c>
      <c r="B278" s="230"/>
      <c r="C278" s="197" t="s">
        <v>194</v>
      </c>
      <c r="E278" s="248" t="str">
        <f>"(Note "&amp;B$311&amp;")"</f>
        <v>(Note P)</v>
      </c>
      <c r="F278" s="201" t="str">
        <f>"(Attachment 6A, Line "&amp;'6A - NITS True-Up '!B41&amp;")"</f>
        <v>(Attachment 6A, Line F)</v>
      </c>
      <c r="G278" s="803"/>
      <c r="H278" s="212">
        <f>'6A - NITS True-Up '!I40</f>
        <v>-10235259.954446578</v>
      </c>
    </row>
    <row r="279" spans="1:10">
      <c r="A279" s="230">
        <f t="shared" si="6"/>
        <v>167</v>
      </c>
      <c r="B279" s="230"/>
      <c r="C279" s="197" t="s">
        <v>195</v>
      </c>
      <c r="E279" s="248"/>
      <c r="F279" s="201" t="str">
        <f>"(Attachment 11, Line "&amp;'11 - Corrections'!A30&amp;")"</f>
        <v>(Attachment 11, Line 11)</v>
      </c>
      <c r="H279" s="212">
        <f>+'11 - Corrections'!F30</f>
        <v>5864</v>
      </c>
    </row>
    <row r="280" spans="1:10">
      <c r="A280" s="230">
        <f t="shared" si="6"/>
        <v>168</v>
      </c>
      <c r="B280" s="230"/>
      <c r="C280" s="197" t="s">
        <v>196</v>
      </c>
      <c r="E280" s="248" t="str">
        <f>"(Note "&amp;B$312&amp;")"</f>
        <v>(Note Q)</v>
      </c>
      <c r="F280" s="201" t="str">
        <f>"(Attachment 7A, Line "&amp;'7A - Project ROE Adder'!A18&amp;")"</f>
        <v>(Attachment 7A, Line 9)</v>
      </c>
      <c r="H280" s="212">
        <f>+'7A - Project ROE Adder'!E18</f>
        <v>0</v>
      </c>
    </row>
    <row r="281" spans="1:10">
      <c r="A281" s="230">
        <f t="shared" si="6"/>
        <v>169</v>
      </c>
      <c r="B281" s="230"/>
      <c r="C281" s="197" t="s">
        <v>1024</v>
      </c>
      <c r="E281" s="248" t="str">
        <f>"(Note "&amp;B$313&amp;")"</f>
        <v>(Note R)</v>
      </c>
      <c r="F281" s="825" t="str">
        <f>"(Attachment 7B, Line "&amp;'7B - Schedule 12 Projects'!A17&amp;")"</f>
        <v>(Attachment 7B, Line 7)</v>
      </c>
      <c r="G281" s="803"/>
      <c r="H281" s="212">
        <f>+'7B - Schedule 12 Projects'!E19</f>
        <v>4444772.9889506204</v>
      </c>
      <c r="J281" s="830" t="s">
        <v>1020</v>
      </c>
    </row>
    <row r="282" spans="1:10">
      <c r="A282" s="230">
        <f t="shared" si="6"/>
        <v>170</v>
      </c>
      <c r="B282" s="230"/>
      <c r="C282" s="255" t="s">
        <v>197</v>
      </c>
      <c r="D282" s="462"/>
      <c r="E282" s="256" t="str">
        <f>"(Note "&amp;B$314&amp;")"</f>
        <v>(Note S)</v>
      </c>
      <c r="F282" s="204" t="str">
        <f>"(Attachment 4, Line "&amp;'4 - Cost Support'!A175</f>
        <v>(Attachment 4, Line 71</v>
      </c>
      <c r="G282" s="760"/>
      <c r="H282" s="488">
        <f>+'4 - Cost Support'!S175</f>
        <v>0</v>
      </c>
    </row>
    <row r="283" spans="1:10" ht="40.5">
      <c r="A283" s="230">
        <f t="shared" si="6"/>
        <v>171</v>
      </c>
      <c r="B283" s="230"/>
      <c r="C283" s="242" t="s">
        <v>198</v>
      </c>
      <c r="F283" s="828" t="str">
        <f>"(Line "&amp;A277&amp;" + "&amp;A278&amp;" + "&amp;A279&amp;" + "&amp;A280&amp;" - "&amp;A281&amp;" + "&amp;A282&amp;")"</f>
        <v>(Line 165 + 166 + 167 + 168 - 169 + 170)</v>
      </c>
      <c r="H283" s="827">
        <f>(H277+H278+H280-H281+H282+H279)</f>
        <v>62043314.022702157</v>
      </c>
      <c r="J283" s="830" t="s">
        <v>1019</v>
      </c>
    </row>
    <row r="284" spans="1:10">
      <c r="A284" s="230"/>
      <c r="B284" s="230"/>
      <c r="H284" s="489"/>
    </row>
    <row r="285" spans="1:10">
      <c r="A285" s="230"/>
      <c r="B285" s="243" t="s">
        <v>199</v>
      </c>
      <c r="H285" s="489"/>
    </row>
    <row r="286" spans="1:10">
      <c r="A286" s="230">
        <f>+A283+1</f>
        <v>172</v>
      </c>
      <c r="B286" s="230"/>
      <c r="C286" s="197" t="s">
        <v>200</v>
      </c>
      <c r="E286" s="248" t="str">
        <f>"(Note "&amp;B$303&amp;")"</f>
        <v>(Note H)</v>
      </c>
      <c r="F286" s="201" t="str">
        <f>"(Attachment 4, Line "&amp;'4 - Cost Support'!A183&amp;")"</f>
        <v>(Attachment 4, Line 72)</v>
      </c>
      <c r="H286" s="634">
        <v>3361.6</v>
      </c>
      <c r="J286" s="8" t="s">
        <v>1026</v>
      </c>
    </row>
    <row r="287" spans="1:10">
      <c r="A287" s="230">
        <f>+A286+1</f>
        <v>173</v>
      </c>
      <c r="B287" s="230"/>
      <c r="C287" s="197" t="s">
        <v>201</v>
      </c>
      <c r="D287" s="231"/>
      <c r="E287" s="311"/>
      <c r="F287" s="201" t="str">
        <f>"(Line "&amp;A283&amp;" / "&amp;A286&amp;")"</f>
        <v>(Line 171 / 172)</v>
      </c>
      <c r="G287" s="777"/>
      <c r="H287" s="504">
        <f>H283/H286</f>
        <v>18456.483229028487</v>
      </c>
    </row>
    <row r="288" spans="1:10" ht="21" thickBot="1">
      <c r="A288" s="230"/>
      <c r="B288" s="230"/>
      <c r="E288" s="311"/>
      <c r="F288" s="229"/>
      <c r="G288" s="777"/>
      <c r="H288" s="226"/>
    </row>
    <row r="289" spans="1:8">
      <c r="A289" s="640">
        <f>+A287+1</f>
        <v>174</v>
      </c>
      <c r="B289" s="641"/>
      <c r="C289" s="642" t="s">
        <v>202</v>
      </c>
      <c r="D289" s="641"/>
      <c r="E289" s="641"/>
      <c r="F289" s="643" t="str">
        <f>"(Line "&amp;A287&amp;")"</f>
        <v>(Line 173)</v>
      </c>
      <c r="G289" s="767"/>
      <c r="H289" s="644">
        <f>H287</f>
        <v>18456.483229028487</v>
      </c>
    </row>
    <row r="290" spans="1:8">
      <c r="A290" s="645">
        <f>+A289+1</f>
        <v>175</v>
      </c>
      <c r="B290" s="227"/>
      <c r="C290" s="243" t="s">
        <v>203</v>
      </c>
      <c r="D290" s="227"/>
      <c r="E290" s="227"/>
      <c r="F290" s="228" t="str">
        <f>"(Line "&amp;A289&amp;" / 12)"</f>
        <v>(Line 174 / 12)</v>
      </c>
      <c r="H290" s="646">
        <f>+H289/12</f>
        <v>1538.0402690857072</v>
      </c>
    </row>
    <row r="291" spans="1:8">
      <c r="A291" s="645">
        <f t="shared" ref="A291:A292" si="7">+A290+1</f>
        <v>176</v>
      </c>
      <c r="B291" s="227"/>
      <c r="C291" s="243" t="s">
        <v>204</v>
      </c>
      <c r="D291" s="227"/>
      <c r="E291" s="227"/>
      <c r="F291" s="228" t="str">
        <f>"(Line "&amp;A289&amp;" / 52)"</f>
        <v>(Line 174 / 52)</v>
      </c>
      <c r="H291" s="646">
        <f>+H289/52</f>
        <v>354.93236978900939</v>
      </c>
    </row>
    <row r="292" spans="1:8">
      <c r="A292" s="645">
        <f t="shared" si="7"/>
        <v>177</v>
      </c>
      <c r="B292" s="227"/>
      <c r="C292" s="243" t="s">
        <v>205</v>
      </c>
      <c r="D292" s="227"/>
      <c r="E292" s="227"/>
      <c r="F292" s="228" t="str">
        <f>"(Line "&amp;A291&amp;" / 5)"</f>
        <v>(Line 176 / 5)</v>
      </c>
      <c r="H292" s="646">
        <f>+H291/5</f>
        <v>70.986473957801877</v>
      </c>
    </row>
    <row r="293" spans="1:8" ht="21" thickBot="1">
      <c r="A293" s="647">
        <f>+A292+1</f>
        <v>178</v>
      </c>
      <c r="B293" s="648"/>
      <c r="C293" s="649" t="s">
        <v>206</v>
      </c>
      <c r="D293" s="648"/>
      <c r="E293" s="648"/>
      <c r="F293" s="651" t="str">
        <f>"(Line "&amp;A291&amp;" / 7)"</f>
        <v>(Line 176 / 7)</v>
      </c>
      <c r="G293" s="768"/>
      <c r="H293" s="650">
        <f>+H291/7</f>
        <v>50.704624255572767</v>
      </c>
    </row>
    <row r="294" spans="1:8">
      <c r="A294" s="227"/>
      <c r="B294" s="227"/>
      <c r="C294" s="243"/>
      <c r="D294" s="227"/>
      <c r="E294" s="227"/>
      <c r="F294" s="227"/>
      <c r="H294" s="504"/>
    </row>
    <row r="295" spans="1:8">
      <c r="A295" s="244" t="s">
        <v>4</v>
      </c>
      <c r="B295" s="245"/>
      <c r="C295" s="281"/>
      <c r="D295" s="206"/>
      <c r="E295" s="246"/>
      <c r="F295" s="206"/>
      <c r="G295" s="769"/>
      <c r="H295" s="199"/>
    </row>
    <row r="296" spans="1:8" ht="46.5" customHeight="1">
      <c r="A296" s="227"/>
      <c r="B296" s="230" t="s">
        <v>207</v>
      </c>
      <c r="C296" s="197" t="s">
        <v>208</v>
      </c>
      <c r="E296" s="311"/>
      <c r="F296" s="229"/>
      <c r="G296" s="777"/>
      <c r="H296" s="533"/>
    </row>
    <row r="297" spans="1:8" ht="38.25" customHeight="1">
      <c r="A297" s="227"/>
      <c r="B297" s="702" t="s">
        <v>209</v>
      </c>
      <c r="C297" s="861" t="s">
        <v>210</v>
      </c>
      <c r="D297" s="861"/>
      <c r="E297" s="861"/>
      <c r="F297" s="861"/>
      <c r="G297" s="861"/>
      <c r="H297" s="861"/>
    </row>
    <row r="298" spans="1:8" ht="28.15" customHeight="1">
      <c r="A298" s="227"/>
      <c r="B298" s="702" t="s">
        <v>211</v>
      </c>
      <c r="C298" s="197" t="s">
        <v>212</v>
      </c>
      <c r="E298" s="311"/>
      <c r="F298" s="229"/>
      <c r="G298" s="777"/>
      <c r="H298" s="226"/>
    </row>
    <row r="299" spans="1:8" ht="28.15" customHeight="1">
      <c r="A299" s="227"/>
      <c r="B299" s="702" t="s">
        <v>213</v>
      </c>
      <c r="C299" s="197" t="s">
        <v>214</v>
      </c>
      <c r="E299" s="311"/>
      <c r="F299" s="229"/>
      <c r="G299" s="777"/>
      <c r="H299" s="226"/>
    </row>
    <row r="300" spans="1:8" ht="38.25" customHeight="1">
      <c r="A300" s="227"/>
      <c r="B300" s="702" t="s">
        <v>215</v>
      </c>
      <c r="C300" s="861" t="s">
        <v>216</v>
      </c>
      <c r="D300" s="861"/>
      <c r="E300" s="861"/>
      <c r="F300" s="861"/>
      <c r="G300" s="861"/>
      <c r="H300" s="861"/>
    </row>
    <row r="301" spans="1:8" ht="28.15" customHeight="1">
      <c r="A301" s="227"/>
      <c r="B301" s="702" t="s">
        <v>217</v>
      </c>
      <c r="C301" s="197" t="s">
        <v>218</v>
      </c>
      <c r="E301" s="311"/>
      <c r="F301" s="229"/>
      <c r="G301" s="777"/>
      <c r="H301" s="229"/>
    </row>
    <row r="302" spans="1:8" ht="192.75" customHeight="1">
      <c r="A302" s="227"/>
      <c r="B302" s="702" t="s">
        <v>219</v>
      </c>
      <c r="C302" s="861" t="s">
        <v>220</v>
      </c>
      <c r="D302" s="861"/>
      <c r="E302" s="861"/>
      <c r="F302" s="861"/>
      <c r="G302" s="861"/>
      <c r="H302" s="861"/>
    </row>
    <row r="303" spans="1:8" ht="65.25" customHeight="1">
      <c r="A303" s="227"/>
      <c r="B303" s="702" t="s">
        <v>221</v>
      </c>
      <c r="C303" s="861" t="s">
        <v>222</v>
      </c>
      <c r="D303" s="861"/>
      <c r="E303" s="861"/>
      <c r="F303" s="861"/>
      <c r="G303" s="861"/>
      <c r="H303" s="861"/>
    </row>
    <row r="304" spans="1:8" ht="28.15" customHeight="1">
      <c r="A304" s="230"/>
      <c r="B304" s="702" t="s">
        <v>223</v>
      </c>
      <c r="C304" s="197" t="s">
        <v>224</v>
      </c>
      <c r="E304" s="311"/>
      <c r="F304" s="229"/>
      <c r="G304" s="777"/>
      <c r="H304" s="226"/>
    </row>
    <row r="305" spans="1:8" ht="150.75" customHeight="1">
      <c r="A305" s="312"/>
      <c r="B305" s="702" t="s">
        <v>225</v>
      </c>
      <c r="C305" s="861" t="s">
        <v>226</v>
      </c>
      <c r="D305" s="861"/>
      <c r="E305" s="861"/>
      <c r="F305" s="861"/>
      <c r="G305" s="861"/>
      <c r="H305" s="861"/>
    </row>
    <row r="306" spans="1:8" ht="47.25" customHeight="1">
      <c r="B306" s="702" t="s">
        <v>227</v>
      </c>
      <c r="C306" s="861" t="s">
        <v>228</v>
      </c>
      <c r="D306" s="861"/>
      <c r="E306" s="861"/>
      <c r="F306" s="861"/>
      <c r="G306" s="861"/>
      <c r="H306" s="861"/>
    </row>
    <row r="307" spans="1:8" ht="28.15" customHeight="1">
      <c r="A307" s="227"/>
      <c r="B307" s="702" t="s">
        <v>229</v>
      </c>
      <c r="C307" s="197" t="s">
        <v>230</v>
      </c>
      <c r="E307" s="311"/>
      <c r="F307" s="229"/>
      <c r="G307" s="777"/>
      <c r="H307" s="226"/>
    </row>
    <row r="308" spans="1:8" ht="28.15" customHeight="1">
      <c r="A308" s="8"/>
      <c r="B308" s="702" t="s">
        <v>231</v>
      </c>
      <c r="C308" s="197" t="s">
        <v>232</v>
      </c>
      <c r="E308" s="311"/>
      <c r="F308" s="229"/>
      <c r="G308" s="777"/>
      <c r="H308" s="229"/>
    </row>
    <row r="309" spans="1:8" ht="72.75" customHeight="1">
      <c r="A309" s="8"/>
      <c r="B309" s="702" t="s">
        <v>233</v>
      </c>
      <c r="C309" s="861" t="s">
        <v>234</v>
      </c>
      <c r="D309" s="861"/>
      <c r="E309" s="861"/>
      <c r="F309" s="861"/>
      <c r="G309" s="861"/>
      <c r="H309" s="861"/>
    </row>
    <row r="310" spans="1:8" ht="113.25" customHeight="1">
      <c r="A310" s="8"/>
      <c r="B310" s="703" t="s">
        <v>235</v>
      </c>
      <c r="C310" s="861" t="s">
        <v>236</v>
      </c>
      <c r="D310" s="861"/>
      <c r="E310" s="861"/>
      <c r="F310" s="861"/>
      <c r="G310" s="861"/>
      <c r="H310" s="861"/>
    </row>
    <row r="311" spans="1:8" ht="52.5" customHeight="1">
      <c r="A311" s="8"/>
      <c r="B311" s="703" t="s">
        <v>237</v>
      </c>
      <c r="C311" s="861" t="s">
        <v>238</v>
      </c>
      <c r="D311" s="861"/>
      <c r="E311" s="861"/>
      <c r="F311" s="861"/>
      <c r="G311" s="861"/>
      <c r="H311" s="861"/>
    </row>
    <row r="312" spans="1:8" ht="30.6" customHeight="1">
      <c r="A312" s="8"/>
      <c r="B312" s="703" t="s">
        <v>239</v>
      </c>
      <c r="C312" s="197" t="s">
        <v>240</v>
      </c>
    </row>
    <row r="313" spans="1:8" ht="45.75" customHeight="1">
      <c r="B313" s="703" t="s">
        <v>241</v>
      </c>
      <c r="C313" s="861" t="s">
        <v>242</v>
      </c>
      <c r="D313" s="861"/>
      <c r="E313" s="861"/>
      <c r="F313" s="861"/>
      <c r="G313" s="861"/>
      <c r="H313" s="861"/>
    </row>
    <row r="314" spans="1:8" ht="23.25" customHeight="1">
      <c r="B314" s="703" t="s">
        <v>243</v>
      </c>
      <c r="C314" s="197" t="s">
        <v>244</v>
      </c>
    </row>
    <row r="315" spans="1:8" ht="44.25" customHeight="1">
      <c r="B315" s="703" t="s">
        <v>245</v>
      </c>
      <c r="C315" s="861" t="s">
        <v>246</v>
      </c>
      <c r="D315" s="861"/>
      <c r="E315" s="861"/>
      <c r="F315" s="861"/>
      <c r="G315" s="861"/>
      <c r="H315" s="861"/>
    </row>
    <row r="316" spans="1:8" ht="29.25" customHeight="1">
      <c r="B316" s="703" t="s">
        <v>247</v>
      </c>
      <c r="C316" s="46" t="s">
        <v>248</v>
      </c>
      <c r="G316" s="778"/>
      <c r="H316" s="8"/>
    </row>
    <row r="317" spans="1:8" ht="35.25" customHeight="1">
      <c r="B317" s="703" t="s">
        <v>249</v>
      </c>
      <c r="C317" s="46" t="s">
        <v>250</v>
      </c>
      <c r="G317" s="778"/>
      <c r="H317" s="8"/>
    </row>
    <row r="318" spans="1:8" ht="48.75" customHeight="1">
      <c r="A318" s="227" t="s">
        <v>251</v>
      </c>
      <c r="B318" s="703" t="s">
        <v>252</v>
      </c>
      <c r="C318" s="862" t="s">
        <v>253</v>
      </c>
      <c r="D318" s="862"/>
      <c r="E318" s="862"/>
      <c r="F318" s="862"/>
      <c r="G318" s="862"/>
      <c r="H318" s="862"/>
    </row>
    <row r="319" spans="1:8">
      <c r="B319" s="703"/>
      <c r="G319" s="778"/>
      <c r="H319" s="8"/>
    </row>
    <row r="320" spans="1:8">
      <c r="G320" s="778"/>
      <c r="H320" s="8"/>
    </row>
    <row r="321" spans="7:8">
      <c r="G321" s="778"/>
      <c r="H321" s="8"/>
    </row>
    <row r="322" spans="7:8">
      <c r="G322" s="778"/>
      <c r="H322" s="8"/>
    </row>
    <row r="323" spans="7:8">
      <c r="G323" s="778"/>
      <c r="H323" s="8"/>
    </row>
    <row r="324" spans="7:8">
      <c r="G324" s="778"/>
      <c r="H324" s="8"/>
    </row>
    <row r="325" spans="7:8">
      <c r="G325" s="778"/>
      <c r="H325" s="8"/>
    </row>
    <row r="326" spans="7:8">
      <c r="G326" s="778"/>
      <c r="H326" s="8"/>
    </row>
    <row r="327" spans="7:8">
      <c r="G327" s="778"/>
      <c r="H327" s="8"/>
    </row>
    <row r="328" spans="7:8">
      <c r="G328" s="778"/>
      <c r="H328" s="8"/>
    </row>
    <row r="329" spans="7:8">
      <c r="G329" s="778"/>
      <c r="H329" s="8"/>
    </row>
    <row r="330" spans="7:8">
      <c r="G330" s="778"/>
      <c r="H330" s="8"/>
    </row>
    <row r="331" spans="7:8">
      <c r="G331" s="778"/>
      <c r="H331" s="8"/>
    </row>
    <row r="332" spans="7:8">
      <c r="G332" s="778"/>
      <c r="H332" s="8"/>
    </row>
    <row r="333" spans="7:8">
      <c r="G333" s="778"/>
      <c r="H333" s="8"/>
    </row>
    <row r="334" spans="7:8">
      <c r="G334" s="778"/>
      <c r="H334" s="8"/>
    </row>
    <row r="335" spans="7:8">
      <c r="G335" s="778"/>
      <c r="H335" s="8"/>
    </row>
    <row r="336" spans="7:8">
      <c r="G336" s="778"/>
      <c r="H336" s="8"/>
    </row>
    <row r="337" spans="7:8">
      <c r="G337" s="778"/>
      <c r="H337" s="8"/>
    </row>
    <row r="338" spans="7:8">
      <c r="G338" s="778"/>
      <c r="H338" s="8"/>
    </row>
    <row r="339" spans="7:8">
      <c r="G339" s="778"/>
      <c r="H339" s="8"/>
    </row>
    <row r="340" spans="7:8">
      <c r="G340" s="778"/>
      <c r="H340" s="8"/>
    </row>
    <row r="341" spans="7:8">
      <c r="G341" s="778"/>
      <c r="H341" s="8"/>
    </row>
    <row r="342" spans="7:8">
      <c r="G342" s="778"/>
      <c r="H342" s="8"/>
    </row>
    <row r="343" spans="7:8">
      <c r="G343" s="778"/>
      <c r="H343" s="8"/>
    </row>
    <row r="344" spans="7:8">
      <c r="G344" s="778"/>
      <c r="H344" s="8"/>
    </row>
    <row r="345" spans="7:8">
      <c r="G345" s="778"/>
      <c r="H345" s="8"/>
    </row>
    <row r="346" spans="7:8">
      <c r="G346" s="778"/>
      <c r="H346" s="8"/>
    </row>
    <row r="347" spans="7:8">
      <c r="G347" s="778"/>
      <c r="H347" s="8"/>
    </row>
    <row r="348" spans="7:8">
      <c r="G348" s="778"/>
      <c r="H348" s="8"/>
    </row>
    <row r="349" spans="7:8">
      <c r="G349" s="778"/>
      <c r="H349" s="8"/>
    </row>
    <row r="350" spans="7:8">
      <c r="G350" s="778"/>
      <c r="H350" s="8"/>
    </row>
    <row r="351" spans="7:8">
      <c r="G351" s="778"/>
      <c r="H351" s="8"/>
    </row>
    <row r="352" spans="7:8">
      <c r="G352" s="778"/>
      <c r="H352" s="8"/>
    </row>
    <row r="353" spans="7:8">
      <c r="G353" s="778"/>
      <c r="H353" s="8"/>
    </row>
    <row r="354" spans="7:8">
      <c r="G354" s="778"/>
      <c r="H354" s="8"/>
    </row>
    <row r="355" spans="7:8">
      <c r="G355" s="778"/>
      <c r="H355" s="8"/>
    </row>
    <row r="356" spans="7:8">
      <c r="G356" s="778"/>
      <c r="H356" s="8"/>
    </row>
    <row r="357" spans="7:8">
      <c r="G357" s="778"/>
      <c r="H357" s="8"/>
    </row>
    <row r="358" spans="7:8">
      <c r="G358" s="778"/>
      <c r="H358" s="8"/>
    </row>
    <row r="359" spans="7:8">
      <c r="G359" s="778"/>
      <c r="H359" s="8"/>
    </row>
    <row r="360" spans="7:8">
      <c r="G360" s="778"/>
      <c r="H360" s="8"/>
    </row>
    <row r="361" spans="7:8">
      <c r="G361" s="778"/>
      <c r="H361" s="8"/>
    </row>
    <row r="362" spans="7:8">
      <c r="G362" s="778"/>
      <c r="H362" s="8"/>
    </row>
    <row r="363" spans="7:8">
      <c r="G363" s="778"/>
      <c r="H363" s="8"/>
    </row>
    <row r="364" spans="7:8">
      <c r="G364" s="778"/>
      <c r="H364" s="8"/>
    </row>
    <row r="365" spans="7:8">
      <c r="G365" s="778"/>
      <c r="H365" s="8"/>
    </row>
    <row r="366" spans="7:8">
      <c r="G366" s="778"/>
      <c r="H366" s="8"/>
    </row>
    <row r="367" spans="7:8">
      <c r="G367" s="778"/>
      <c r="H367" s="8"/>
    </row>
    <row r="368" spans="7:8">
      <c r="G368" s="778"/>
      <c r="H368" s="8"/>
    </row>
    <row r="369" spans="7:8">
      <c r="G369" s="778"/>
      <c r="H369" s="8"/>
    </row>
    <row r="370" spans="7:8">
      <c r="G370" s="778"/>
      <c r="H370" s="8"/>
    </row>
    <row r="371" spans="7:8">
      <c r="G371" s="778"/>
      <c r="H371" s="8"/>
    </row>
    <row r="372" spans="7:8">
      <c r="G372" s="778"/>
      <c r="H372" s="8"/>
    </row>
    <row r="373" spans="7:8">
      <c r="G373" s="778"/>
      <c r="H373" s="8"/>
    </row>
    <row r="374" spans="7:8">
      <c r="G374" s="778"/>
      <c r="H374" s="8"/>
    </row>
    <row r="375" spans="7:8">
      <c r="G375" s="778"/>
      <c r="H375" s="8"/>
    </row>
    <row r="376" spans="7:8">
      <c r="G376" s="778"/>
      <c r="H376" s="8"/>
    </row>
    <row r="377" spans="7:8">
      <c r="G377" s="778"/>
      <c r="H377" s="8"/>
    </row>
    <row r="378" spans="7:8">
      <c r="G378" s="778"/>
      <c r="H378" s="8"/>
    </row>
    <row r="379" spans="7:8">
      <c r="G379" s="778"/>
      <c r="H379" s="8"/>
    </row>
    <row r="380" spans="7:8">
      <c r="G380" s="778"/>
      <c r="H380" s="8"/>
    </row>
    <row r="381" spans="7:8">
      <c r="G381" s="778"/>
      <c r="H381" s="8"/>
    </row>
    <row r="382" spans="7:8">
      <c r="G382" s="778"/>
      <c r="H382" s="8"/>
    </row>
    <row r="383" spans="7:8">
      <c r="G383" s="778"/>
      <c r="H383" s="8"/>
    </row>
    <row r="384" spans="7:8">
      <c r="G384" s="778"/>
      <c r="H384" s="8"/>
    </row>
    <row r="385" spans="7:8">
      <c r="G385" s="778"/>
      <c r="H385" s="8"/>
    </row>
    <row r="386" spans="7:8">
      <c r="G386" s="778"/>
      <c r="H386" s="8"/>
    </row>
    <row r="387" spans="7:8">
      <c r="G387" s="778"/>
      <c r="H387" s="8"/>
    </row>
    <row r="388" spans="7:8">
      <c r="G388" s="778"/>
      <c r="H388" s="8"/>
    </row>
    <row r="389" spans="7:8">
      <c r="G389" s="778"/>
      <c r="H389" s="8"/>
    </row>
    <row r="390" spans="7:8">
      <c r="G390" s="778"/>
      <c r="H390" s="8"/>
    </row>
    <row r="391" spans="7:8">
      <c r="G391" s="778"/>
      <c r="H391" s="8"/>
    </row>
    <row r="392" spans="7:8">
      <c r="G392" s="778"/>
      <c r="H392" s="8"/>
    </row>
    <row r="393" spans="7:8">
      <c r="G393" s="778"/>
      <c r="H393" s="8"/>
    </row>
    <row r="394" spans="7:8">
      <c r="G394" s="778"/>
      <c r="H394" s="8"/>
    </row>
    <row r="395" spans="7:8">
      <c r="G395" s="778"/>
      <c r="H395" s="8"/>
    </row>
    <row r="396" spans="7:8">
      <c r="G396" s="778"/>
      <c r="H396" s="8"/>
    </row>
    <row r="397" spans="7:8">
      <c r="G397" s="778"/>
      <c r="H397" s="8"/>
    </row>
    <row r="398" spans="7:8">
      <c r="G398" s="778"/>
      <c r="H398" s="8"/>
    </row>
    <row r="399" spans="7:8">
      <c r="G399" s="778"/>
      <c r="H399" s="8"/>
    </row>
    <row r="400" spans="7:8">
      <c r="G400" s="778"/>
      <c r="H400" s="8"/>
    </row>
    <row r="401" spans="7:8">
      <c r="G401" s="778"/>
      <c r="H401" s="8"/>
    </row>
    <row r="402" spans="7:8">
      <c r="G402" s="778"/>
      <c r="H402" s="8"/>
    </row>
    <row r="403" spans="7:8">
      <c r="G403" s="778"/>
      <c r="H403" s="8"/>
    </row>
    <row r="404" spans="7:8">
      <c r="G404" s="778"/>
      <c r="H404" s="8"/>
    </row>
    <row r="405" spans="7:8">
      <c r="G405" s="778"/>
      <c r="H405" s="8"/>
    </row>
    <row r="406" spans="7:8">
      <c r="G406" s="778"/>
      <c r="H406" s="8"/>
    </row>
    <row r="407" spans="7:8">
      <c r="G407" s="778"/>
      <c r="H407" s="8"/>
    </row>
    <row r="408" spans="7:8">
      <c r="G408" s="778"/>
      <c r="H408" s="8"/>
    </row>
    <row r="409" spans="7:8">
      <c r="G409" s="778"/>
      <c r="H409" s="8"/>
    </row>
    <row r="410" spans="7:8">
      <c r="G410" s="778"/>
      <c r="H410" s="8"/>
    </row>
    <row r="411" spans="7:8">
      <c r="G411" s="778"/>
      <c r="H411" s="8"/>
    </row>
    <row r="412" spans="7:8">
      <c r="G412" s="778"/>
      <c r="H412" s="8"/>
    </row>
    <row r="413" spans="7:8">
      <c r="G413" s="778"/>
      <c r="H413" s="8"/>
    </row>
    <row r="414" spans="7:8">
      <c r="G414" s="778"/>
      <c r="H414" s="8"/>
    </row>
    <row r="415" spans="7:8">
      <c r="G415" s="778"/>
      <c r="H415" s="8"/>
    </row>
    <row r="416" spans="7:8">
      <c r="G416" s="778"/>
      <c r="H416" s="8"/>
    </row>
    <row r="417" spans="7:8">
      <c r="G417" s="778"/>
      <c r="H417" s="8"/>
    </row>
    <row r="418" spans="7:8">
      <c r="G418" s="778"/>
      <c r="H418" s="8"/>
    </row>
    <row r="419" spans="7:8">
      <c r="G419" s="778"/>
      <c r="H419" s="8"/>
    </row>
    <row r="420" spans="7:8">
      <c r="G420" s="778"/>
      <c r="H420" s="8"/>
    </row>
    <row r="421" spans="7:8">
      <c r="G421" s="778"/>
      <c r="H421" s="8"/>
    </row>
    <row r="422" spans="7:8">
      <c r="G422" s="778"/>
      <c r="H422" s="8"/>
    </row>
    <row r="423" spans="7:8">
      <c r="G423" s="778"/>
      <c r="H423" s="8"/>
    </row>
    <row r="424" spans="7:8">
      <c r="G424" s="778"/>
      <c r="H424" s="8"/>
    </row>
    <row r="425" spans="7:8">
      <c r="G425" s="778"/>
      <c r="H425" s="8"/>
    </row>
    <row r="426" spans="7:8">
      <c r="G426" s="778"/>
      <c r="H426" s="8"/>
    </row>
    <row r="427" spans="7:8">
      <c r="G427" s="778"/>
      <c r="H427" s="8"/>
    </row>
    <row r="428" spans="7:8">
      <c r="G428" s="778"/>
      <c r="H428" s="8"/>
    </row>
    <row r="429" spans="7:8">
      <c r="G429" s="778"/>
      <c r="H429" s="8"/>
    </row>
    <row r="430" spans="7:8">
      <c r="G430" s="778"/>
      <c r="H430" s="8"/>
    </row>
    <row r="431" spans="7:8">
      <c r="G431" s="778"/>
      <c r="H431" s="8"/>
    </row>
    <row r="432" spans="7:8">
      <c r="G432" s="778"/>
      <c r="H432" s="8"/>
    </row>
    <row r="433" spans="7:8">
      <c r="G433" s="778"/>
      <c r="H433" s="8"/>
    </row>
    <row r="434" spans="7:8">
      <c r="G434" s="778"/>
      <c r="H434" s="8"/>
    </row>
    <row r="435" spans="7:8">
      <c r="G435" s="778"/>
      <c r="H435" s="8"/>
    </row>
    <row r="436" spans="7:8">
      <c r="G436" s="778"/>
      <c r="H436" s="8"/>
    </row>
    <row r="437" spans="7:8">
      <c r="G437" s="778"/>
      <c r="H437" s="8"/>
    </row>
    <row r="438" spans="7:8">
      <c r="G438" s="778"/>
      <c r="H438" s="8"/>
    </row>
    <row r="439" spans="7:8">
      <c r="G439" s="778"/>
      <c r="H439" s="8"/>
    </row>
    <row r="440" spans="7:8">
      <c r="G440" s="778"/>
      <c r="H440" s="8"/>
    </row>
    <row r="441" spans="7:8">
      <c r="G441" s="778"/>
      <c r="H441" s="8"/>
    </row>
    <row r="442" spans="7:8">
      <c r="G442" s="778"/>
      <c r="H442" s="8"/>
    </row>
    <row r="443" spans="7:8">
      <c r="G443" s="778"/>
      <c r="H443" s="8"/>
    </row>
    <row r="444" spans="7:8">
      <c r="G444" s="778"/>
      <c r="H444" s="8"/>
    </row>
    <row r="445" spans="7:8">
      <c r="G445" s="778"/>
      <c r="H445" s="8"/>
    </row>
    <row r="446" spans="7:8">
      <c r="G446" s="778"/>
      <c r="H446" s="8"/>
    </row>
    <row r="447" spans="7:8">
      <c r="G447" s="778"/>
      <c r="H447" s="8"/>
    </row>
    <row r="448" spans="7:8">
      <c r="G448" s="778"/>
      <c r="H448" s="8"/>
    </row>
    <row r="449" spans="7:8">
      <c r="G449" s="778"/>
      <c r="H449" s="8"/>
    </row>
    <row r="450" spans="7:8">
      <c r="G450" s="778"/>
      <c r="H450" s="8"/>
    </row>
    <row r="451" spans="7:8">
      <c r="G451" s="778"/>
      <c r="H451" s="8"/>
    </row>
    <row r="452" spans="7:8">
      <c r="G452" s="778"/>
      <c r="H452" s="8"/>
    </row>
    <row r="453" spans="7:8">
      <c r="G453" s="778"/>
      <c r="H453" s="8"/>
    </row>
    <row r="454" spans="7:8">
      <c r="G454" s="778"/>
      <c r="H454" s="8"/>
    </row>
    <row r="455" spans="7:8">
      <c r="G455" s="778"/>
      <c r="H455" s="8"/>
    </row>
    <row r="456" spans="7:8">
      <c r="G456" s="778"/>
      <c r="H456" s="8"/>
    </row>
    <row r="457" spans="7:8">
      <c r="G457" s="778"/>
      <c r="H457" s="8"/>
    </row>
    <row r="458" spans="7:8">
      <c r="G458" s="778"/>
      <c r="H458" s="8"/>
    </row>
    <row r="459" spans="7:8">
      <c r="G459" s="778"/>
      <c r="H459" s="8"/>
    </row>
    <row r="460" spans="7:8">
      <c r="G460" s="778"/>
      <c r="H460" s="8"/>
    </row>
    <row r="461" spans="7:8">
      <c r="G461" s="778"/>
      <c r="H461" s="8"/>
    </row>
    <row r="462" spans="7:8">
      <c r="G462" s="778"/>
      <c r="H462" s="8"/>
    </row>
    <row r="463" spans="7:8">
      <c r="G463" s="778"/>
      <c r="H463" s="8"/>
    </row>
    <row r="464" spans="7:8">
      <c r="G464" s="778"/>
      <c r="H464" s="8"/>
    </row>
    <row r="465" spans="7:8">
      <c r="G465" s="778"/>
      <c r="H465" s="8"/>
    </row>
    <row r="466" spans="7:8">
      <c r="G466" s="778"/>
      <c r="H466" s="8"/>
    </row>
    <row r="467" spans="7:8">
      <c r="G467" s="778"/>
      <c r="H467" s="8"/>
    </row>
    <row r="468" spans="7:8">
      <c r="G468" s="778"/>
      <c r="H468" s="8"/>
    </row>
    <row r="469" spans="7:8">
      <c r="G469" s="778"/>
      <c r="H469" s="8"/>
    </row>
    <row r="470" spans="7:8">
      <c r="G470" s="778"/>
      <c r="H470" s="8"/>
    </row>
    <row r="471" spans="7:8">
      <c r="G471" s="778"/>
      <c r="H471" s="8"/>
    </row>
    <row r="472" spans="7:8">
      <c r="G472" s="778"/>
      <c r="H472" s="8"/>
    </row>
    <row r="473" spans="7:8">
      <c r="G473" s="778"/>
      <c r="H473" s="8"/>
    </row>
    <row r="474" spans="7:8">
      <c r="G474" s="778"/>
      <c r="H474" s="8"/>
    </row>
    <row r="475" spans="7:8">
      <c r="G475" s="778"/>
      <c r="H475" s="8"/>
    </row>
    <row r="476" spans="7:8">
      <c r="G476" s="778"/>
      <c r="H476" s="8"/>
    </row>
    <row r="477" spans="7:8">
      <c r="G477" s="778"/>
      <c r="H477" s="8"/>
    </row>
    <row r="478" spans="7:8">
      <c r="G478" s="778"/>
      <c r="H478" s="8"/>
    </row>
    <row r="479" spans="7:8">
      <c r="G479" s="778"/>
      <c r="H479" s="8"/>
    </row>
    <row r="480" spans="7:8">
      <c r="G480" s="778"/>
      <c r="H480" s="8"/>
    </row>
    <row r="481" spans="7:8">
      <c r="G481" s="778"/>
      <c r="H481" s="8"/>
    </row>
    <row r="482" spans="7:8">
      <c r="G482" s="778"/>
      <c r="H482" s="8"/>
    </row>
    <row r="483" spans="7:8">
      <c r="G483" s="778"/>
      <c r="H483" s="8"/>
    </row>
    <row r="484" spans="7:8">
      <c r="G484" s="778"/>
      <c r="H484" s="8"/>
    </row>
    <row r="485" spans="7:8">
      <c r="G485" s="778"/>
      <c r="H485" s="8"/>
    </row>
    <row r="486" spans="7:8">
      <c r="G486" s="778"/>
      <c r="H486" s="8"/>
    </row>
    <row r="487" spans="7:8">
      <c r="G487" s="778"/>
      <c r="H487" s="8"/>
    </row>
    <row r="488" spans="7:8">
      <c r="G488" s="778"/>
      <c r="H488" s="8"/>
    </row>
    <row r="489" spans="7:8">
      <c r="G489" s="778"/>
      <c r="H489" s="8"/>
    </row>
    <row r="490" spans="7:8">
      <c r="G490" s="778"/>
      <c r="H490" s="8"/>
    </row>
    <row r="491" spans="7:8">
      <c r="G491" s="778"/>
      <c r="H491" s="8"/>
    </row>
    <row r="492" spans="7:8">
      <c r="G492" s="778"/>
      <c r="H492" s="8"/>
    </row>
    <row r="493" spans="7:8">
      <c r="G493" s="778"/>
      <c r="H493" s="8"/>
    </row>
    <row r="494" spans="7:8">
      <c r="G494" s="778"/>
      <c r="H494" s="8"/>
    </row>
    <row r="495" spans="7:8">
      <c r="G495" s="778"/>
      <c r="H495" s="8"/>
    </row>
    <row r="496" spans="7:8">
      <c r="G496" s="778"/>
      <c r="H496" s="8"/>
    </row>
    <row r="497" spans="7:8">
      <c r="G497" s="778"/>
      <c r="H497" s="8"/>
    </row>
    <row r="498" spans="7:8">
      <c r="G498" s="778"/>
      <c r="H498" s="8"/>
    </row>
    <row r="499" spans="7:8">
      <c r="G499" s="778"/>
      <c r="H499" s="8"/>
    </row>
    <row r="500" spans="7:8">
      <c r="G500" s="778"/>
      <c r="H500" s="8"/>
    </row>
    <row r="501" spans="7:8">
      <c r="G501" s="778"/>
      <c r="H501" s="8"/>
    </row>
    <row r="502" spans="7:8">
      <c r="G502" s="778"/>
      <c r="H502" s="8"/>
    </row>
    <row r="503" spans="7:8">
      <c r="G503" s="778"/>
      <c r="H503" s="8"/>
    </row>
    <row r="504" spans="7:8">
      <c r="G504" s="778"/>
      <c r="H504" s="8"/>
    </row>
    <row r="505" spans="7:8">
      <c r="G505" s="778"/>
      <c r="H505" s="8"/>
    </row>
    <row r="506" spans="7:8">
      <c r="G506" s="778"/>
      <c r="H506" s="8"/>
    </row>
    <row r="507" spans="7:8">
      <c r="G507" s="778"/>
      <c r="H507" s="8"/>
    </row>
    <row r="508" spans="7:8">
      <c r="G508" s="778"/>
      <c r="H508" s="8"/>
    </row>
    <row r="509" spans="7:8">
      <c r="G509" s="778"/>
      <c r="H509" s="8"/>
    </row>
    <row r="510" spans="7:8">
      <c r="G510" s="778"/>
      <c r="H510" s="8"/>
    </row>
    <row r="511" spans="7:8">
      <c r="G511" s="778"/>
      <c r="H511" s="8"/>
    </row>
    <row r="512" spans="7:8">
      <c r="G512" s="778"/>
      <c r="H512" s="8"/>
    </row>
    <row r="513" spans="7:8">
      <c r="G513" s="778"/>
      <c r="H513" s="8"/>
    </row>
    <row r="514" spans="7:8">
      <c r="G514" s="778"/>
      <c r="H514" s="8"/>
    </row>
    <row r="515" spans="7:8">
      <c r="G515" s="778"/>
      <c r="H515" s="8"/>
    </row>
    <row r="516" spans="7:8">
      <c r="G516" s="778"/>
      <c r="H516" s="8"/>
    </row>
    <row r="517" spans="7:8">
      <c r="G517" s="778"/>
      <c r="H517" s="8"/>
    </row>
    <row r="518" spans="7:8">
      <c r="G518" s="778"/>
      <c r="H518" s="8"/>
    </row>
    <row r="519" spans="7:8">
      <c r="G519" s="778"/>
      <c r="H519" s="8"/>
    </row>
    <row r="520" spans="7:8">
      <c r="G520" s="778"/>
      <c r="H520" s="8"/>
    </row>
    <row r="521" spans="7:8">
      <c r="G521" s="778"/>
      <c r="H521" s="8"/>
    </row>
    <row r="522" spans="7:8">
      <c r="G522" s="778"/>
      <c r="H522" s="8"/>
    </row>
    <row r="523" spans="7:8">
      <c r="G523" s="778"/>
      <c r="H523" s="8"/>
    </row>
    <row r="524" spans="7:8">
      <c r="G524" s="778"/>
      <c r="H524" s="8"/>
    </row>
    <row r="525" spans="7:8">
      <c r="G525" s="778"/>
      <c r="H525" s="8"/>
    </row>
    <row r="526" spans="7:8">
      <c r="G526" s="778"/>
      <c r="H526" s="8"/>
    </row>
    <row r="527" spans="7:8">
      <c r="G527" s="778"/>
      <c r="H527" s="8"/>
    </row>
    <row r="528" spans="7:8">
      <c r="G528" s="778"/>
      <c r="H528" s="8"/>
    </row>
    <row r="529" spans="7:8">
      <c r="G529" s="778"/>
      <c r="H529" s="8"/>
    </row>
    <row r="530" spans="7:8">
      <c r="G530" s="778"/>
      <c r="H530" s="8"/>
    </row>
    <row r="531" spans="7:8">
      <c r="G531" s="778"/>
      <c r="H531" s="8"/>
    </row>
    <row r="532" spans="7:8">
      <c r="G532" s="778"/>
      <c r="H532" s="8"/>
    </row>
    <row r="533" spans="7:8">
      <c r="G533" s="778"/>
      <c r="H533" s="8"/>
    </row>
    <row r="534" spans="7:8">
      <c r="G534" s="778"/>
      <c r="H534" s="8"/>
    </row>
    <row r="535" spans="7:8">
      <c r="G535" s="778"/>
      <c r="H535" s="8"/>
    </row>
    <row r="536" spans="7:8">
      <c r="G536" s="778"/>
      <c r="H536" s="8"/>
    </row>
    <row r="537" spans="7:8">
      <c r="G537" s="778"/>
      <c r="H537" s="8"/>
    </row>
    <row r="538" spans="7:8">
      <c r="G538" s="778"/>
      <c r="H538" s="8"/>
    </row>
    <row r="539" spans="7:8">
      <c r="G539" s="778"/>
      <c r="H539" s="8"/>
    </row>
    <row r="540" spans="7:8">
      <c r="G540" s="778"/>
      <c r="H540" s="8"/>
    </row>
    <row r="541" spans="7:8">
      <c r="G541" s="778"/>
      <c r="H541" s="8"/>
    </row>
    <row r="542" spans="7:8">
      <c r="G542" s="778"/>
      <c r="H542" s="8"/>
    </row>
    <row r="543" spans="7:8">
      <c r="G543" s="778"/>
      <c r="H543" s="8"/>
    </row>
    <row r="544" spans="7:8">
      <c r="G544" s="778"/>
      <c r="H544" s="8"/>
    </row>
    <row r="545" spans="7:8">
      <c r="G545" s="778"/>
      <c r="H545" s="8"/>
    </row>
    <row r="546" spans="7:8">
      <c r="G546" s="778"/>
      <c r="H546" s="8"/>
    </row>
    <row r="547" spans="7:8">
      <c r="G547" s="778"/>
      <c r="H547" s="8"/>
    </row>
    <row r="548" spans="7:8">
      <c r="G548" s="778"/>
      <c r="H548" s="8"/>
    </row>
    <row r="549" spans="7:8">
      <c r="G549" s="778"/>
      <c r="H549" s="8"/>
    </row>
    <row r="550" spans="7:8">
      <c r="G550" s="778"/>
      <c r="H550" s="8"/>
    </row>
    <row r="551" spans="7:8">
      <c r="G551" s="778"/>
      <c r="H551" s="8"/>
    </row>
    <row r="552" spans="7:8">
      <c r="G552" s="778"/>
      <c r="H552" s="8"/>
    </row>
    <row r="553" spans="7:8">
      <c r="G553" s="778"/>
      <c r="H553" s="8"/>
    </row>
    <row r="554" spans="7:8">
      <c r="G554" s="778"/>
      <c r="H554" s="8"/>
    </row>
    <row r="555" spans="7:8">
      <c r="G555" s="778"/>
      <c r="H555" s="8"/>
    </row>
    <row r="556" spans="7:8">
      <c r="G556" s="778"/>
      <c r="H556" s="8"/>
    </row>
    <row r="557" spans="7:8">
      <c r="G557" s="778"/>
      <c r="H557" s="8"/>
    </row>
    <row r="558" spans="7:8">
      <c r="G558" s="778"/>
      <c r="H558" s="8"/>
    </row>
    <row r="559" spans="7:8">
      <c r="G559" s="778"/>
      <c r="H559" s="8"/>
    </row>
    <row r="560" spans="7:8">
      <c r="G560" s="778"/>
      <c r="H560" s="8"/>
    </row>
    <row r="561" spans="7:8">
      <c r="G561" s="778"/>
      <c r="H561" s="8"/>
    </row>
    <row r="562" spans="7:8">
      <c r="G562" s="778"/>
      <c r="H562" s="8"/>
    </row>
    <row r="563" spans="7:8">
      <c r="G563" s="778"/>
      <c r="H563" s="8"/>
    </row>
    <row r="564" spans="7:8">
      <c r="G564" s="778"/>
      <c r="H564" s="8"/>
    </row>
    <row r="565" spans="7:8">
      <c r="G565" s="778"/>
      <c r="H565" s="8"/>
    </row>
    <row r="566" spans="7:8">
      <c r="G566" s="778"/>
      <c r="H566" s="8"/>
    </row>
    <row r="567" spans="7:8">
      <c r="G567" s="778"/>
      <c r="H567" s="8"/>
    </row>
    <row r="568" spans="7:8">
      <c r="G568" s="778"/>
      <c r="H568" s="8"/>
    </row>
    <row r="569" spans="7:8">
      <c r="G569" s="778"/>
      <c r="H569" s="8"/>
    </row>
    <row r="570" spans="7:8">
      <c r="G570" s="778"/>
      <c r="H570" s="8"/>
    </row>
    <row r="571" spans="7:8">
      <c r="G571" s="778"/>
      <c r="H571" s="8"/>
    </row>
    <row r="572" spans="7:8">
      <c r="G572" s="778"/>
      <c r="H572" s="8"/>
    </row>
    <row r="573" spans="7:8">
      <c r="G573" s="778"/>
      <c r="H573" s="8"/>
    </row>
    <row r="574" spans="7:8">
      <c r="G574" s="778"/>
      <c r="H574" s="8"/>
    </row>
    <row r="575" spans="7:8">
      <c r="G575" s="778"/>
      <c r="H575" s="8"/>
    </row>
    <row r="576" spans="7:8">
      <c r="G576" s="778"/>
      <c r="H576" s="8"/>
    </row>
    <row r="577" spans="7:8">
      <c r="G577" s="778"/>
      <c r="H577" s="8"/>
    </row>
    <row r="578" spans="7:8">
      <c r="G578" s="778"/>
      <c r="H578" s="8"/>
    </row>
    <row r="579" spans="7:8">
      <c r="G579" s="778"/>
      <c r="H579" s="8"/>
    </row>
    <row r="580" spans="7:8">
      <c r="G580" s="778"/>
      <c r="H580" s="8"/>
    </row>
    <row r="581" spans="7:8">
      <c r="G581" s="778"/>
      <c r="H581" s="8"/>
    </row>
    <row r="582" spans="7:8">
      <c r="G582" s="778"/>
      <c r="H582" s="8"/>
    </row>
    <row r="583" spans="7:8">
      <c r="G583" s="778"/>
      <c r="H583" s="8"/>
    </row>
    <row r="584" spans="7:8">
      <c r="G584" s="778"/>
      <c r="H584" s="8"/>
    </row>
    <row r="585" spans="7:8">
      <c r="G585" s="778"/>
      <c r="H585" s="8"/>
    </row>
    <row r="586" spans="7:8">
      <c r="G586" s="778"/>
      <c r="H586" s="8"/>
    </row>
    <row r="587" spans="7:8">
      <c r="G587" s="778"/>
      <c r="H587" s="8"/>
    </row>
    <row r="588" spans="7:8">
      <c r="G588" s="778"/>
      <c r="H588" s="8"/>
    </row>
    <row r="589" spans="7:8">
      <c r="G589" s="778"/>
      <c r="H589" s="8"/>
    </row>
    <row r="590" spans="7:8">
      <c r="G590" s="778"/>
      <c r="H590" s="8"/>
    </row>
    <row r="591" spans="7:8">
      <c r="G591" s="778"/>
      <c r="H591" s="8"/>
    </row>
    <row r="592" spans="7:8">
      <c r="G592" s="778"/>
      <c r="H592" s="8"/>
    </row>
    <row r="593" spans="7:8">
      <c r="G593" s="778"/>
      <c r="H593" s="8"/>
    </row>
    <row r="594" spans="7:8">
      <c r="G594" s="778"/>
      <c r="H594" s="8"/>
    </row>
    <row r="595" spans="7:8">
      <c r="G595" s="778"/>
      <c r="H595" s="8"/>
    </row>
    <row r="596" spans="7:8">
      <c r="G596" s="778"/>
      <c r="H596" s="8"/>
    </row>
    <row r="597" spans="7:8">
      <c r="G597" s="778"/>
      <c r="H597" s="8"/>
    </row>
    <row r="598" spans="7:8">
      <c r="G598" s="778"/>
      <c r="H598" s="8"/>
    </row>
    <row r="599" spans="7:8">
      <c r="G599" s="778"/>
      <c r="H599" s="8"/>
    </row>
    <row r="600" spans="7:8">
      <c r="G600" s="778"/>
      <c r="H600" s="8"/>
    </row>
    <row r="601" spans="7:8">
      <c r="G601" s="778"/>
      <c r="H601" s="8"/>
    </row>
    <row r="602" spans="7:8">
      <c r="G602" s="778"/>
      <c r="H602" s="8"/>
    </row>
    <row r="603" spans="7:8">
      <c r="G603" s="778"/>
      <c r="H603" s="8"/>
    </row>
    <row r="604" spans="7:8">
      <c r="G604" s="778"/>
      <c r="H604" s="8"/>
    </row>
    <row r="605" spans="7:8">
      <c r="G605" s="778"/>
      <c r="H605" s="8"/>
    </row>
    <row r="606" spans="7:8">
      <c r="G606" s="778"/>
      <c r="H606" s="8"/>
    </row>
    <row r="607" spans="7:8">
      <c r="G607" s="778"/>
      <c r="H607" s="8"/>
    </row>
    <row r="608" spans="7:8">
      <c r="G608" s="778"/>
      <c r="H608" s="8"/>
    </row>
    <row r="609" spans="7:8">
      <c r="G609" s="778"/>
      <c r="H609" s="8"/>
    </row>
    <row r="610" spans="7:8">
      <c r="G610" s="778"/>
      <c r="H610" s="8"/>
    </row>
    <row r="611" spans="7:8">
      <c r="G611" s="778"/>
      <c r="H611" s="8"/>
    </row>
    <row r="612" spans="7:8">
      <c r="G612" s="778"/>
      <c r="H612" s="8"/>
    </row>
    <row r="613" spans="7:8">
      <c r="G613" s="778"/>
      <c r="H613" s="8"/>
    </row>
    <row r="614" spans="7:8">
      <c r="G614" s="778"/>
      <c r="H614" s="8"/>
    </row>
    <row r="615" spans="7:8">
      <c r="G615" s="778"/>
      <c r="H615" s="8"/>
    </row>
    <row r="616" spans="7:8">
      <c r="G616" s="778"/>
      <c r="H616" s="8"/>
    </row>
    <row r="617" spans="7:8">
      <c r="G617" s="778"/>
      <c r="H617" s="8"/>
    </row>
    <row r="618" spans="7:8">
      <c r="G618" s="778"/>
      <c r="H618" s="8"/>
    </row>
    <row r="619" spans="7:8">
      <c r="G619" s="778"/>
      <c r="H619" s="8"/>
    </row>
    <row r="620" spans="7:8">
      <c r="G620" s="778"/>
      <c r="H620" s="8"/>
    </row>
    <row r="621" spans="7:8">
      <c r="G621" s="778"/>
      <c r="H621" s="8"/>
    </row>
    <row r="622" spans="7:8">
      <c r="G622" s="778"/>
      <c r="H622" s="8"/>
    </row>
    <row r="623" spans="7:8">
      <c r="G623" s="778"/>
      <c r="H623" s="8"/>
    </row>
    <row r="624" spans="7:8">
      <c r="G624" s="778"/>
      <c r="H624" s="8"/>
    </row>
    <row r="625" spans="7:8">
      <c r="G625" s="778"/>
      <c r="H625" s="8"/>
    </row>
    <row r="626" spans="7:8">
      <c r="G626" s="778"/>
      <c r="H626" s="8"/>
    </row>
    <row r="627" spans="7:8">
      <c r="G627" s="778"/>
      <c r="H627" s="8"/>
    </row>
    <row r="628" spans="7:8">
      <c r="G628" s="778"/>
      <c r="H628" s="8"/>
    </row>
    <row r="629" spans="7:8">
      <c r="G629" s="778"/>
      <c r="H629" s="8"/>
    </row>
    <row r="630" spans="7:8">
      <c r="G630" s="778"/>
      <c r="H630" s="8"/>
    </row>
    <row r="631" spans="7:8">
      <c r="G631" s="778"/>
      <c r="H631" s="8"/>
    </row>
    <row r="632" spans="7:8">
      <c r="G632" s="778"/>
      <c r="H632" s="8"/>
    </row>
    <row r="633" spans="7:8">
      <c r="G633" s="778"/>
      <c r="H633" s="8"/>
    </row>
    <row r="634" spans="7:8">
      <c r="G634" s="778"/>
      <c r="H634" s="8"/>
    </row>
    <row r="635" spans="7:8">
      <c r="G635" s="778"/>
      <c r="H635" s="8"/>
    </row>
    <row r="636" spans="7:8">
      <c r="G636" s="778"/>
      <c r="H636" s="8"/>
    </row>
    <row r="637" spans="7:8">
      <c r="G637" s="778"/>
      <c r="H637" s="8"/>
    </row>
    <row r="638" spans="7:8">
      <c r="G638" s="778"/>
      <c r="H638" s="8"/>
    </row>
    <row r="639" spans="7:8">
      <c r="G639" s="778"/>
      <c r="H639" s="8"/>
    </row>
    <row r="640" spans="7:8">
      <c r="G640" s="778"/>
      <c r="H640" s="8"/>
    </row>
    <row r="641" spans="7:8">
      <c r="G641" s="778"/>
      <c r="H641" s="8"/>
    </row>
    <row r="642" spans="7:8">
      <c r="G642" s="778"/>
      <c r="H642" s="8"/>
    </row>
    <row r="643" spans="7:8">
      <c r="G643" s="778"/>
      <c r="H643" s="8"/>
    </row>
    <row r="644" spans="7:8">
      <c r="G644" s="778"/>
      <c r="H644" s="8"/>
    </row>
    <row r="645" spans="7:8">
      <c r="G645" s="778"/>
      <c r="H645" s="8"/>
    </row>
    <row r="646" spans="7:8">
      <c r="G646" s="778"/>
      <c r="H646" s="8"/>
    </row>
    <row r="647" spans="7:8">
      <c r="G647" s="778"/>
      <c r="H647" s="8"/>
    </row>
    <row r="648" spans="7:8">
      <c r="G648" s="778"/>
      <c r="H648" s="8"/>
    </row>
    <row r="649" spans="7:8">
      <c r="G649" s="778"/>
      <c r="H649" s="8"/>
    </row>
    <row r="650" spans="7:8">
      <c r="G650" s="778"/>
      <c r="H650" s="8"/>
    </row>
    <row r="651" spans="7:8">
      <c r="G651" s="778"/>
      <c r="H651" s="8"/>
    </row>
    <row r="652" spans="7:8">
      <c r="G652" s="778"/>
      <c r="H652" s="8"/>
    </row>
    <row r="653" spans="7:8">
      <c r="G653" s="778"/>
      <c r="H653" s="8"/>
    </row>
    <row r="654" spans="7:8">
      <c r="G654" s="778"/>
      <c r="H654" s="8"/>
    </row>
    <row r="655" spans="7:8">
      <c r="G655" s="778"/>
      <c r="H655" s="8"/>
    </row>
    <row r="656" spans="7:8">
      <c r="G656" s="778"/>
      <c r="H656" s="8"/>
    </row>
    <row r="657" spans="7:8">
      <c r="G657" s="778"/>
      <c r="H657" s="8"/>
    </row>
    <row r="658" spans="7:8">
      <c r="G658" s="778"/>
      <c r="H658" s="8"/>
    </row>
    <row r="659" spans="7:8">
      <c r="G659" s="778"/>
      <c r="H659" s="8"/>
    </row>
    <row r="660" spans="7:8">
      <c r="G660" s="778"/>
      <c r="H660" s="8"/>
    </row>
    <row r="661" spans="7:8">
      <c r="G661" s="778"/>
      <c r="H661" s="8"/>
    </row>
    <row r="662" spans="7:8">
      <c r="G662" s="778"/>
      <c r="H662" s="8"/>
    </row>
    <row r="663" spans="7:8">
      <c r="G663" s="778"/>
      <c r="H663" s="8"/>
    </row>
    <row r="664" spans="7:8">
      <c r="G664" s="778"/>
      <c r="H664" s="8"/>
    </row>
    <row r="665" spans="7:8">
      <c r="G665" s="778"/>
      <c r="H665" s="8"/>
    </row>
    <row r="666" spans="7:8">
      <c r="G666" s="778"/>
      <c r="H666" s="8"/>
    </row>
    <row r="667" spans="7:8">
      <c r="G667" s="778"/>
      <c r="H667" s="8"/>
    </row>
    <row r="668" spans="7:8">
      <c r="G668" s="778"/>
      <c r="H668" s="8"/>
    </row>
    <row r="669" spans="7:8">
      <c r="G669" s="778"/>
      <c r="H669" s="8"/>
    </row>
    <row r="670" spans="7:8">
      <c r="G670" s="778"/>
      <c r="H670" s="8"/>
    </row>
    <row r="671" spans="7:8">
      <c r="G671" s="778"/>
      <c r="H671" s="8"/>
    </row>
    <row r="672" spans="7:8">
      <c r="G672" s="778"/>
      <c r="H672" s="8"/>
    </row>
    <row r="673" spans="7:8">
      <c r="G673" s="778"/>
      <c r="H673" s="8"/>
    </row>
    <row r="674" spans="7:8">
      <c r="G674" s="778"/>
      <c r="H674" s="8"/>
    </row>
    <row r="675" spans="7:8">
      <c r="G675" s="778"/>
      <c r="H675" s="8"/>
    </row>
    <row r="676" spans="7:8">
      <c r="G676" s="778"/>
      <c r="H676" s="8"/>
    </row>
    <row r="677" spans="7:8">
      <c r="G677" s="778"/>
      <c r="H677" s="8"/>
    </row>
    <row r="678" spans="7:8">
      <c r="G678" s="778"/>
      <c r="H678" s="8"/>
    </row>
    <row r="679" spans="7:8">
      <c r="G679" s="778"/>
      <c r="H679" s="8"/>
    </row>
    <row r="680" spans="7:8">
      <c r="G680" s="778"/>
      <c r="H680" s="8"/>
    </row>
    <row r="681" spans="7:8">
      <c r="G681" s="778"/>
      <c r="H681" s="8"/>
    </row>
    <row r="682" spans="7:8">
      <c r="G682" s="778"/>
      <c r="H682" s="8"/>
    </row>
    <row r="683" spans="7:8">
      <c r="G683" s="778"/>
      <c r="H683" s="8"/>
    </row>
    <row r="684" spans="7:8">
      <c r="G684" s="778"/>
      <c r="H684" s="8"/>
    </row>
    <row r="685" spans="7:8">
      <c r="G685" s="778"/>
      <c r="H685" s="8"/>
    </row>
    <row r="686" spans="7:8">
      <c r="G686" s="778"/>
      <c r="H686" s="8"/>
    </row>
    <row r="687" spans="7:8">
      <c r="G687" s="778"/>
      <c r="H687" s="8"/>
    </row>
    <row r="688" spans="7:8">
      <c r="G688" s="778"/>
      <c r="H688" s="8"/>
    </row>
    <row r="689" spans="7:8">
      <c r="G689" s="778"/>
      <c r="H689" s="8"/>
    </row>
    <row r="690" spans="7:8">
      <c r="G690" s="778"/>
      <c r="H690" s="8"/>
    </row>
    <row r="691" spans="7:8">
      <c r="G691" s="778"/>
      <c r="H691" s="8"/>
    </row>
    <row r="692" spans="7:8">
      <c r="G692" s="778"/>
      <c r="H692" s="8"/>
    </row>
    <row r="693" spans="7:8">
      <c r="G693" s="778"/>
      <c r="H693" s="8"/>
    </row>
    <row r="694" spans="7:8">
      <c r="G694" s="778"/>
      <c r="H694" s="8"/>
    </row>
    <row r="695" spans="7:8">
      <c r="G695" s="778"/>
      <c r="H695" s="8"/>
    </row>
    <row r="696" spans="7:8">
      <c r="G696" s="778"/>
      <c r="H696" s="8"/>
    </row>
    <row r="697" spans="7:8">
      <c r="G697" s="778"/>
      <c r="H697" s="8"/>
    </row>
    <row r="698" spans="7:8">
      <c r="G698" s="778"/>
      <c r="H698" s="8"/>
    </row>
    <row r="699" spans="7:8">
      <c r="G699" s="778"/>
      <c r="H699" s="8"/>
    </row>
    <row r="700" spans="7:8">
      <c r="G700" s="778"/>
      <c r="H700" s="8"/>
    </row>
    <row r="701" spans="7:8">
      <c r="G701" s="778"/>
      <c r="H701" s="8"/>
    </row>
    <row r="702" spans="7:8">
      <c r="G702" s="778"/>
      <c r="H702" s="8"/>
    </row>
    <row r="703" spans="7:8">
      <c r="G703" s="778"/>
      <c r="H703" s="8"/>
    </row>
    <row r="704" spans="7:8">
      <c r="G704" s="778"/>
      <c r="H704" s="8"/>
    </row>
    <row r="705" spans="7:8">
      <c r="G705" s="778"/>
      <c r="H705" s="8"/>
    </row>
    <row r="706" spans="7:8">
      <c r="G706" s="778"/>
      <c r="H706" s="8"/>
    </row>
    <row r="707" spans="7:8">
      <c r="G707" s="778"/>
      <c r="H707" s="8"/>
    </row>
    <row r="708" spans="7:8">
      <c r="G708" s="778"/>
      <c r="H708" s="8"/>
    </row>
    <row r="709" spans="7:8">
      <c r="G709" s="778"/>
      <c r="H709" s="8"/>
    </row>
    <row r="710" spans="7:8">
      <c r="G710" s="778"/>
      <c r="H710" s="8"/>
    </row>
    <row r="711" spans="7:8">
      <c r="G711" s="778"/>
      <c r="H711" s="8"/>
    </row>
    <row r="712" spans="7:8">
      <c r="G712" s="778"/>
      <c r="H712" s="8"/>
    </row>
    <row r="713" spans="7:8">
      <c r="G713" s="778"/>
      <c r="H713" s="8"/>
    </row>
    <row r="714" spans="7:8">
      <c r="G714" s="778"/>
      <c r="H714" s="8"/>
    </row>
    <row r="715" spans="7:8">
      <c r="G715" s="778"/>
      <c r="H715" s="8"/>
    </row>
    <row r="716" spans="7:8">
      <c r="G716" s="778"/>
      <c r="H716" s="8"/>
    </row>
    <row r="717" spans="7:8">
      <c r="G717" s="778"/>
      <c r="H717" s="8"/>
    </row>
    <row r="718" spans="7:8">
      <c r="G718" s="778"/>
      <c r="H718" s="8"/>
    </row>
    <row r="719" spans="7:8">
      <c r="G719" s="778"/>
      <c r="H719" s="8"/>
    </row>
    <row r="720" spans="7:8">
      <c r="G720" s="778"/>
      <c r="H720" s="8"/>
    </row>
    <row r="721" spans="7:8">
      <c r="G721" s="778"/>
      <c r="H721" s="8"/>
    </row>
    <row r="722" spans="7:8">
      <c r="G722" s="778"/>
      <c r="H722" s="8"/>
    </row>
    <row r="723" spans="7:8">
      <c r="G723" s="778"/>
      <c r="H723" s="8"/>
    </row>
    <row r="724" spans="7:8">
      <c r="G724" s="778"/>
      <c r="H724" s="8"/>
    </row>
    <row r="725" spans="7:8">
      <c r="G725" s="778"/>
      <c r="H725" s="8"/>
    </row>
    <row r="726" spans="7:8">
      <c r="G726" s="778"/>
      <c r="H726" s="8"/>
    </row>
    <row r="727" spans="7:8">
      <c r="G727" s="778"/>
      <c r="H727" s="8"/>
    </row>
    <row r="728" spans="7:8">
      <c r="G728" s="778"/>
      <c r="H728" s="8"/>
    </row>
    <row r="729" spans="7:8">
      <c r="G729" s="778"/>
      <c r="H729" s="8"/>
    </row>
    <row r="730" spans="7:8">
      <c r="G730" s="778"/>
      <c r="H730" s="8"/>
    </row>
    <row r="731" spans="7:8">
      <c r="G731" s="778"/>
      <c r="H731" s="8"/>
    </row>
    <row r="732" spans="7:8">
      <c r="G732" s="778"/>
      <c r="H732" s="8"/>
    </row>
    <row r="733" spans="7:8">
      <c r="G733" s="778"/>
      <c r="H733" s="8"/>
    </row>
    <row r="734" spans="7:8">
      <c r="G734" s="778"/>
      <c r="H734" s="8"/>
    </row>
    <row r="735" spans="7:8">
      <c r="G735" s="778"/>
      <c r="H735" s="8"/>
    </row>
    <row r="736" spans="7:8">
      <c r="G736" s="778"/>
      <c r="H736" s="8"/>
    </row>
    <row r="737" spans="7:8">
      <c r="G737" s="778"/>
      <c r="H737" s="8"/>
    </row>
    <row r="738" spans="7:8">
      <c r="G738" s="778"/>
      <c r="H738" s="8"/>
    </row>
    <row r="739" spans="7:8">
      <c r="G739" s="778"/>
      <c r="H739" s="8"/>
    </row>
    <row r="740" spans="7:8">
      <c r="G740" s="778"/>
      <c r="H740" s="8"/>
    </row>
    <row r="741" spans="7:8">
      <c r="G741" s="778"/>
      <c r="H741" s="8"/>
    </row>
    <row r="742" spans="7:8">
      <c r="G742" s="778"/>
      <c r="H742" s="8"/>
    </row>
    <row r="743" spans="7:8">
      <c r="G743" s="778"/>
      <c r="H743" s="8"/>
    </row>
    <row r="744" spans="7:8">
      <c r="G744" s="778"/>
      <c r="H744" s="8"/>
    </row>
    <row r="745" spans="7:8">
      <c r="G745" s="778"/>
      <c r="H745" s="8"/>
    </row>
    <row r="746" spans="7:8">
      <c r="G746" s="778"/>
      <c r="H746" s="8"/>
    </row>
    <row r="747" spans="7:8">
      <c r="G747" s="778"/>
      <c r="H747" s="8"/>
    </row>
    <row r="748" spans="7:8">
      <c r="G748" s="778"/>
      <c r="H748" s="8"/>
    </row>
    <row r="749" spans="7:8">
      <c r="G749" s="778"/>
      <c r="H749" s="8"/>
    </row>
    <row r="750" spans="7:8">
      <c r="G750" s="778"/>
      <c r="H750" s="8"/>
    </row>
    <row r="751" spans="7:8">
      <c r="G751" s="778"/>
      <c r="H751" s="8"/>
    </row>
    <row r="752" spans="7:8">
      <c r="G752" s="778"/>
      <c r="H752" s="8"/>
    </row>
    <row r="753" spans="7:8">
      <c r="G753" s="778"/>
      <c r="H753" s="8"/>
    </row>
    <row r="754" spans="7:8">
      <c r="G754" s="778"/>
      <c r="H754" s="8"/>
    </row>
    <row r="755" spans="7:8">
      <c r="G755" s="778"/>
      <c r="H755" s="8"/>
    </row>
    <row r="756" spans="7:8">
      <c r="G756" s="778"/>
      <c r="H756" s="8"/>
    </row>
    <row r="757" spans="7:8">
      <c r="G757" s="778"/>
      <c r="H757" s="8"/>
    </row>
    <row r="758" spans="7:8">
      <c r="G758" s="778"/>
      <c r="H758" s="8"/>
    </row>
    <row r="759" spans="7:8">
      <c r="G759" s="778"/>
      <c r="H759" s="8"/>
    </row>
    <row r="760" spans="7:8">
      <c r="G760" s="778"/>
      <c r="H760" s="8"/>
    </row>
    <row r="761" spans="7:8">
      <c r="G761" s="778"/>
      <c r="H761" s="8"/>
    </row>
    <row r="762" spans="7:8">
      <c r="G762" s="778"/>
      <c r="H762" s="8"/>
    </row>
    <row r="763" spans="7:8">
      <c r="G763" s="778"/>
      <c r="H763" s="8"/>
    </row>
    <row r="764" spans="7:8">
      <c r="G764" s="778"/>
      <c r="H764" s="8"/>
    </row>
    <row r="765" spans="7:8">
      <c r="G765" s="778"/>
      <c r="H765" s="8"/>
    </row>
    <row r="766" spans="7:8">
      <c r="G766" s="778"/>
      <c r="H766" s="8"/>
    </row>
    <row r="767" spans="7:8">
      <c r="G767" s="778"/>
      <c r="H767" s="8"/>
    </row>
    <row r="768" spans="7:8">
      <c r="G768" s="778"/>
      <c r="H768" s="8"/>
    </row>
    <row r="769" spans="7:8">
      <c r="G769" s="778"/>
      <c r="H769" s="8"/>
    </row>
    <row r="770" spans="7:8">
      <c r="G770" s="778"/>
      <c r="H770" s="8"/>
    </row>
    <row r="771" spans="7:8">
      <c r="G771" s="778"/>
      <c r="H771" s="8"/>
    </row>
    <row r="772" spans="7:8">
      <c r="G772" s="778"/>
      <c r="H772" s="8"/>
    </row>
    <row r="773" spans="7:8">
      <c r="G773" s="778"/>
      <c r="H773" s="8"/>
    </row>
    <row r="774" spans="7:8">
      <c r="G774" s="778"/>
      <c r="H774" s="8"/>
    </row>
    <row r="775" spans="7:8">
      <c r="G775" s="778"/>
      <c r="H775" s="8"/>
    </row>
    <row r="776" spans="7:8">
      <c r="G776" s="778"/>
      <c r="H776" s="8"/>
    </row>
    <row r="777" spans="7:8">
      <c r="G777" s="778"/>
      <c r="H777" s="8"/>
    </row>
    <row r="778" spans="7:8">
      <c r="G778" s="778"/>
      <c r="H778" s="8"/>
    </row>
    <row r="779" spans="7:8">
      <c r="G779" s="778"/>
      <c r="H779" s="8"/>
    </row>
    <row r="780" spans="7:8">
      <c r="G780" s="778"/>
      <c r="H780" s="8"/>
    </row>
    <row r="781" spans="7:8">
      <c r="G781" s="778"/>
      <c r="H781" s="8"/>
    </row>
    <row r="782" spans="7:8">
      <c r="G782" s="778"/>
      <c r="H782" s="8"/>
    </row>
    <row r="783" spans="7:8">
      <c r="G783" s="778"/>
      <c r="H783" s="8"/>
    </row>
    <row r="784" spans="7:8">
      <c r="G784" s="778"/>
      <c r="H784" s="8"/>
    </row>
    <row r="785" spans="7:8">
      <c r="G785" s="778"/>
      <c r="H785" s="8"/>
    </row>
    <row r="786" spans="7:8">
      <c r="G786" s="778"/>
      <c r="H786" s="8"/>
    </row>
    <row r="787" spans="7:8">
      <c r="G787" s="778"/>
      <c r="H787" s="8"/>
    </row>
    <row r="788" spans="7:8">
      <c r="G788" s="778"/>
      <c r="H788" s="8"/>
    </row>
    <row r="789" spans="7:8">
      <c r="G789" s="778"/>
      <c r="H789" s="8"/>
    </row>
    <row r="790" spans="7:8">
      <c r="G790" s="778"/>
      <c r="H790" s="8"/>
    </row>
    <row r="791" spans="7:8">
      <c r="G791" s="778"/>
      <c r="H791" s="8"/>
    </row>
    <row r="792" spans="7:8">
      <c r="G792" s="778"/>
      <c r="H792" s="8"/>
    </row>
    <row r="793" spans="7:8">
      <c r="G793" s="778"/>
      <c r="H793" s="8"/>
    </row>
    <row r="794" spans="7:8">
      <c r="G794" s="778"/>
      <c r="H794" s="8"/>
    </row>
    <row r="795" spans="7:8">
      <c r="G795" s="778"/>
      <c r="H795" s="8"/>
    </row>
    <row r="796" spans="7:8">
      <c r="G796" s="778"/>
      <c r="H796" s="8"/>
    </row>
    <row r="797" spans="7:8">
      <c r="G797" s="778"/>
      <c r="H797" s="8"/>
    </row>
    <row r="798" spans="7:8">
      <c r="G798" s="778"/>
      <c r="H798" s="8"/>
    </row>
    <row r="799" spans="7:8">
      <c r="G799" s="778"/>
      <c r="H799" s="8"/>
    </row>
    <row r="800" spans="7:8">
      <c r="G800" s="778"/>
      <c r="H800" s="8"/>
    </row>
    <row r="801" spans="7:8">
      <c r="G801" s="778"/>
      <c r="H801" s="8"/>
    </row>
    <row r="802" spans="7:8">
      <c r="G802" s="778"/>
      <c r="H802" s="8"/>
    </row>
    <row r="803" spans="7:8">
      <c r="G803" s="778"/>
      <c r="H803" s="8"/>
    </row>
    <row r="804" spans="7:8">
      <c r="G804" s="778"/>
      <c r="H804" s="8"/>
    </row>
    <row r="805" spans="7:8">
      <c r="G805" s="778"/>
      <c r="H805" s="8"/>
    </row>
    <row r="806" spans="7:8">
      <c r="G806" s="778"/>
      <c r="H806" s="8"/>
    </row>
    <row r="807" spans="7:8">
      <c r="G807" s="778"/>
      <c r="H807" s="8"/>
    </row>
    <row r="808" spans="7:8">
      <c r="G808" s="778"/>
      <c r="H808" s="8"/>
    </row>
    <row r="809" spans="7:8">
      <c r="G809" s="778"/>
      <c r="H809" s="8"/>
    </row>
    <row r="810" spans="7:8">
      <c r="G810" s="778"/>
      <c r="H810" s="8"/>
    </row>
    <row r="811" spans="7:8">
      <c r="G811" s="778"/>
      <c r="H811" s="8"/>
    </row>
    <row r="812" spans="7:8">
      <c r="G812" s="778"/>
      <c r="H812" s="8"/>
    </row>
    <row r="813" spans="7:8">
      <c r="G813" s="778"/>
      <c r="H813" s="8"/>
    </row>
    <row r="814" spans="7:8">
      <c r="G814" s="778"/>
      <c r="H814" s="8"/>
    </row>
    <row r="815" spans="7:8">
      <c r="G815" s="778"/>
      <c r="H815" s="8"/>
    </row>
    <row r="816" spans="7:8">
      <c r="G816" s="778"/>
      <c r="H816" s="8"/>
    </row>
    <row r="817" spans="7:8">
      <c r="G817" s="778"/>
      <c r="H817" s="8"/>
    </row>
    <row r="818" spans="7:8">
      <c r="G818" s="778"/>
      <c r="H818" s="8"/>
    </row>
    <row r="819" spans="7:8">
      <c r="G819" s="778"/>
      <c r="H819" s="8"/>
    </row>
    <row r="820" spans="7:8">
      <c r="G820" s="778"/>
      <c r="H820" s="8"/>
    </row>
    <row r="821" spans="7:8">
      <c r="G821" s="778"/>
      <c r="H821" s="8"/>
    </row>
    <row r="822" spans="7:8">
      <c r="G822" s="778"/>
      <c r="H822" s="8"/>
    </row>
    <row r="823" spans="7:8">
      <c r="G823" s="778"/>
      <c r="H823" s="8"/>
    </row>
    <row r="824" spans="7:8">
      <c r="G824" s="778"/>
      <c r="H824" s="8"/>
    </row>
    <row r="825" spans="7:8">
      <c r="G825" s="778"/>
      <c r="H825" s="8"/>
    </row>
    <row r="826" spans="7:8">
      <c r="G826" s="778"/>
      <c r="H826" s="8"/>
    </row>
    <row r="827" spans="7:8">
      <c r="G827" s="778"/>
      <c r="H827" s="8"/>
    </row>
    <row r="828" spans="7:8">
      <c r="G828" s="778"/>
      <c r="H828" s="8"/>
    </row>
    <row r="829" spans="7:8">
      <c r="G829" s="778"/>
      <c r="H829" s="8"/>
    </row>
    <row r="830" spans="7:8">
      <c r="G830" s="778"/>
      <c r="H830" s="8"/>
    </row>
    <row r="831" spans="7:8">
      <c r="G831" s="778"/>
      <c r="H831" s="8"/>
    </row>
    <row r="832" spans="7:8">
      <c r="G832" s="778"/>
      <c r="H832" s="8"/>
    </row>
    <row r="833" spans="7:8">
      <c r="G833" s="778"/>
      <c r="H833" s="8"/>
    </row>
    <row r="834" spans="7:8">
      <c r="G834" s="778"/>
      <c r="H834" s="8"/>
    </row>
    <row r="835" spans="7:8">
      <c r="G835" s="778"/>
      <c r="H835" s="8"/>
    </row>
    <row r="836" spans="7:8">
      <c r="G836" s="778"/>
      <c r="H836" s="8"/>
    </row>
    <row r="837" spans="7:8">
      <c r="G837" s="778"/>
      <c r="H837" s="8"/>
    </row>
    <row r="838" spans="7:8">
      <c r="G838" s="778"/>
      <c r="H838" s="8"/>
    </row>
    <row r="839" spans="7:8">
      <c r="G839" s="778"/>
      <c r="H839" s="8"/>
    </row>
    <row r="840" spans="7:8">
      <c r="G840" s="778"/>
      <c r="H840" s="8"/>
    </row>
    <row r="841" spans="7:8">
      <c r="G841" s="778"/>
      <c r="H841" s="8"/>
    </row>
    <row r="842" spans="7:8">
      <c r="G842" s="778"/>
      <c r="H842" s="8"/>
    </row>
    <row r="843" spans="7:8">
      <c r="G843" s="778"/>
      <c r="H843" s="8"/>
    </row>
    <row r="844" spans="7:8">
      <c r="G844" s="778"/>
      <c r="H844" s="8"/>
    </row>
    <row r="845" spans="7:8">
      <c r="G845" s="778"/>
      <c r="H845" s="8"/>
    </row>
    <row r="846" spans="7:8">
      <c r="G846" s="778"/>
      <c r="H846" s="8"/>
    </row>
    <row r="847" spans="7:8">
      <c r="G847" s="778"/>
      <c r="H847" s="8"/>
    </row>
    <row r="848" spans="7:8">
      <c r="G848" s="778"/>
      <c r="H848" s="8"/>
    </row>
    <row r="849" spans="7:8">
      <c r="G849" s="778"/>
      <c r="H849" s="8"/>
    </row>
    <row r="850" spans="7:8">
      <c r="G850" s="778"/>
      <c r="H850" s="8"/>
    </row>
    <row r="851" spans="7:8">
      <c r="G851" s="778"/>
      <c r="H851" s="8"/>
    </row>
    <row r="852" spans="7:8">
      <c r="G852" s="778"/>
      <c r="H852" s="8"/>
    </row>
    <row r="853" spans="7:8">
      <c r="G853" s="778"/>
      <c r="H853" s="8"/>
    </row>
    <row r="854" spans="7:8">
      <c r="G854" s="778"/>
      <c r="H854" s="8"/>
    </row>
    <row r="855" spans="7:8">
      <c r="G855" s="778"/>
      <c r="H855" s="8"/>
    </row>
    <row r="856" spans="7:8">
      <c r="G856" s="778"/>
      <c r="H856" s="8"/>
    </row>
    <row r="857" spans="7:8">
      <c r="G857" s="778"/>
      <c r="H857" s="8"/>
    </row>
    <row r="858" spans="7:8">
      <c r="G858" s="778"/>
      <c r="H858" s="8"/>
    </row>
    <row r="859" spans="7:8">
      <c r="G859" s="778"/>
      <c r="H859" s="8"/>
    </row>
    <row r="860" spans="7:8">
      <c r="G860" s="778"/>
      <c r="H860" s="8"/>
    </row>
    <row r="861" spans="7:8">
      <c r="G861" s="778"/>
      <c r="H861" s="8"/>
    </row>
    <row r="862" spans="7:8">
      <c r="G862" s="778"/>
      <c r="H862" s="8"/>
    </row>
    <row r="863" spans="7:8">
      <c r="G863" s="778"/>
      <c r="H863" s="8"/>
    </row>
    <row r="864" spans="7:8">
      <c r="G864" s="778"/>
      <c r="H864" s="8"/>
    </row>
    <row r="865" spans="7:8">
      <c r="G865" s="778"/>
      <c r="H865" s="8"/>
    </row>
    <row r="866" spans="7:8">
      <c r="G866" s="778"/>
      <c r="H866" s="8"/>
    </row>
    <row r="867" spans="7:8">
      <c r="G867" s="778"/>
      <c r="H867" s="8"/>
    </row>
    <row r="868" spans="7:8">
      <c r="G868" s="778"/>
      <c r="H868" s="8"/>
    </row>
    <row r="869" spans="7:8">
      <c r="G869" s="778"/>
      <c r="H869" s="8"/>
    </row>
    <row r="870" spans="7:8">
      <c r="G870" s="778"/>
      <c r="H870" s="8"/>
    </row>
    <row r="871" spans="7:8">
      <c r="G871" s="778"/>
      <c r="H871" s="8"/>
    </row>
    <row r="872" spans="7:8">
      <c r="G872" s="778"/>
      <c r="H872" s="8"/>
    </row>
    <row r="873" spans="7:8">
      <c r="G873" s="778"/>
      <c r="H873" s="8"/>
    </row>
    <row r="874" spans="7:8">
      <c r="G874" s="778"/>
      <c r="H874" s="8"/>
    </row>
    <row r="875" spans="7:8">
      <c r="G875" s="778"/>
      <c r="H875" s="8"/>
    </row>
    <row r="876" spans="7:8">
      <c r="G876" s="778"/>
      <c r="H876" s="8"/>
    </row>
    <row r="877" spans="7:8">
      <c r="G877" s="778"/>
      <c r="H877" s="8"/>
    </row>
    <row r="878" spans="7:8">
      <c r="G878" s="778"/>
      <c r="H878" s="8"/>
    </row>
    <row r="879" spans="7:8">
      <c r="G879" s="778"/>
      <c r="H879" s="8"/>
    </row>
    <row r="880" spans="7:8">
      <c r="G880" s="778"/>
      <c r="H880" s="8"/>
    </row>
    <row r="881" spans="7:8">
      <c r="G881" s="778"/>
      <c r="H881" s="8"/>
    </row>
    <row r="882" spans="7:8">
      <c r="G882" s="778"/>
      <c r="H882" s="8"/>
    </row>
    <row r="883" spans="7:8">
      <c r="G883" s="778"/>
      <c r="H883" s="8"/>
    </row>
    <row r="884" spans="7:8">
      <c r="G884" s="778"/>
      <c r="H884" s="8"/>
    </row>
    <row r="885" spans="7:8">
      <c r="G885" s="778"/>
      <c r="H885" s="8"/>
    </row>
    <row r="886" spans="7:8">
      <c r="G886" s="778"/>
      <c r="H886" s="8"/>
    </row>
    <row r="887" spans="7:8">
      <c r="G887" s="778"/>
      <c r="H887" s="8"/>
    </row>
    <row r="888" spans="7:8">
      <c r="G888" s="778"/>
      <c r="H888" s="8"/>
    </row>
    <row r="889" spans="7:8">
      <c r="G889" s="778"/>
      <c r="H889" s="8"/>
    </row>
    <row r="890" spans="7:8">
      <c r="G890" s="778"/>
      <c r="H890" s="8"/>
    </row>
    <row r="891" spans="7:8">
      <c r="G891" s="778"/>
      <c r="H891" s="8"/>
    </row>
    <row r="892" spans="7:8">
      <c r="G892" s="778"/>
      <c r="H892" s="8"/>
    </row>
    <row r="893" spans="7:8">
      <c r="G893" s="778"/>
      <c r="H893" s="8"/>
    </row>
    <row r="894" spans="7:8">
      <c r="G894" s="778"/>
      <c r="H894" s="8"/>
    </row>
    <row r="895" spans="7:8">
      <c r="G895" s="778"/>
      <c r="H895" s="8"/>
    </row>
    <row r="896" spans="7:8">
      <c r="G896" s="778"/>
      <c r="H896" s="8"/>
    </row>
    <row r="897" spans="7:8">
      <c r="G897" s="778"/>
      <c r="H897" s="8"/>
    </row>
    <row r="898" spans="7:8">
      <c r="G898" s="778"/>
      <c r="H898" s="8"/>
    </row>
    <row r="899" spans="7:8">
      <c r="G899" s="778"/>
      <c r="H899" s="8"/>
    </row>
    <row r="900" spans="7:8">
      <c r="G900" s="778"/>
      <c r="H900" s="8"/>
    </row>
    <row r="901" spans="7:8">
      <c r="G901" s="778"/>
      <c r="H901" s="8"/>
    </row>
    <row r="902" spans="7:8">
      <c r="G902" s="778"/>
      <c r="H902" s="8"/>
    </row>
    <row r="903" spans="7:8">
      <c r="G903" s="778"/>
      <c r="H903" s="8"/>
    </row>
    <row r="904" spans="7:8">
      <c r="G904" s="778"/>
      <c r="H904" s="8"/>
    </row>
    <row r="905" spans="7:8">
      <c r="G905" s="778"/>
      <c r="H905" s="8"/>
    </row>
    <row r="906" spans="7:8">
      <c r="G906" s="778"/>
      <c r="H906" s="8"/>
    </row>
    <row r="907" spans="7:8">
      <c r="G907" s="778"/>
      <c r="H907" s="8"/>
    </row>
    <row r="908" spans="7:8">
      <c r="G908" s="778"/>
      <c r="H908" s="8"/>
    </row>
    <row r="909" spans="7:8">
      <c r="G909" s="778"/>
      <c r="H909" s="8"/>
    </row>
    <row r="910" spans="7:8">
      <c r="G910" s="778"/>
      <c r="H910" s="8"/>
    </row>
    <row r="911" spans="7:8">
      <c r="G911" s="778"/>
      <c r="H911" s="8"/>
    </row>
    <row r="912" spans="7:8">
      <c r="G912" s="778"/>
      <c r="H912" s="8"/>
    </row>
    <row r="913" spans="7:8">
      <c r="G913" s="778"/>
      <c r="H913" s="8"/>
    </row>
    <row r="914" spans="7:8">
      <c r="G914" s="778"/>
      <c r="H914" s="8"/>
    </row>
    <row r="915" spans="7:8">
      <c r="G915" s="778"/>
      <c r="H915" s="8"/>
    </row>
    <row r="916" spans="7:8">
      <c r="G916" s="778"/>
      <c r="H916" s="8"/>
    </row>
    <row r="917" spans="7:8">
      <c r="G917" s="778"/>
      <c r="H917" s="8"/>
    </row>
    <row r="918" spans="7:8">
      <c r="G918" s="778"/>
      <c r="H918" s="8"/>
    </row>
    <row r="919" spans="7:8">
      <c r="G919" s="778"/>
      <c r="H919" s="8"/>
    </row>
    <row r="920" spans="7:8">
      <c r="G920" s="778"/>
      <c r="H920" s="8"/>
    </row>
    <row r="921" spans="7:8">
      <c r="G921" s="778"/>
      <c r="H921" s="8"/>
    </row>
    <row r="922" spans="7:8">
      <c r="G922" s="778"/>
      <c r="H922" s="8"/>
    </row>
    <row r="923" spans="7:8">
      <c r="G923" s="778"/>
      <c r="H923" s="8"/>
    </row>
    <row r="924" spans="7:8">
      <c r="G924" s="778"/>
      <c r="H924" s="8"/>
    </row>
    <row r="925" spans="7:8">
      <c r="G925" s="778"/>
      <c r="H925" s="8"/>
    </row>
    <row r="926" spans="7:8">
      <c r="G926" s="778"/>
      <c r="H926" s="8"/>
    </row>
    <row r="927" spans="7:8">
      <c r="G927" s="778"/>
      <c r="H927" s="8"/>
    </row>
    <row r="928" spans="7:8">
      <c r="G928" s="778"/>
      <c r="H928" s="8"/>
    </row>
    <row r="929" spans="7:8">
      <c r="G929" s="778"/>
      <c r="H929" s="8"/>
    </row>
    <row r="930" spans="7:8">
      <c r="G930" s="778"/>
      <c r="H930" s="8"/>
    </row>
    <row r="931" spans="7:8">
      <c r="G931" s="778"/>
      <c r="H931" s="8"/>
    </row>
    <row r="932" spans="7:8">
      <c r="G932" s="778"/>
      <c r="H932" s="8"/>
    </row>
    <row r="933" spans="7:8">
      <c r="G933" s="778"/>
      <c r="H933" s="8"/>
    </row>
    <row r="934" spans="7:8">
      <c r="G934" s="778"/>
      <c r="H934" s="8"/>
    </row>
    <row r="935" spans="7:8">
      <c r="G935" s="778"/>
      <c r="H935" s="8"/>
    </row>
    <row r="936" spans="7:8">
      <c r="G936" s="778"/>
      <c r="H936" s="8"/>
    </row>
    <row r="937" spans="7:8">
      <c r="G937" s="778"/>
      <c r="H937" s="8"/>
    </row>
    <row r="938" spans="7:8">
      <c r="G938" s="778"/>
      <c r="H938" s="8"/>
    </row>
    <row r="939" spans="7:8">
      <c r="G939" s="778"/>
      <c r="H939" s="8"/>
    </row>
    <row r="940" spans="7:8">
      <c r="G940" s="778"/>
      <c r="H940" s="8"/>
    </row>
    <row r="941" spans="7:8">
      <c r="G941" s="778"/>
      <c r="H941" s="8"/>
    </row>
    <row r="942" spans="7:8">
      <c r="G942" s="778"/>
      <c r="H942" s="8"/>
    </row>
    <row r="943" spans="7:8">
      <c r="G943" s="778"/>
      <c r="H943" s="8"/>
    </row>
    <row r="944" spans="7:8">
      <c r="G944" s="778"/>
      <c r="H944" s="8"/>
    </row>
    <row r="945" spans="7:8">
      <c r="G945" s="778"/>
      <c r="H945" s="8"/>
    </row>
    <row r="946" spans="7:8">
      <c r="G946" s="778"/>
      <c r="H946" s="8"/>
    </row>
    <row r="947" spans="7:8">
      <c r="G947" s="778"/>
      <c r="H947" s="8"/>
    </row>
    <row r="948" spans="7:8">
      <c r="G948" s="778"/>
      <c r="H948" s="8"/>
    </row>
    <row r="949" spans="7:8">
      <c r="G949" s="778"/>
      <c r="H949" s="8"/>
    </row>
    <row r="950" spans="7:8">
      <c r="G950" s="778"/>
      <c r="H950" s="8"/>
    </row>
    <row r="951" spans="7:8">
      <c r="G951" s="778"/>
      <c r="H951" s="8"/>
    </row>
    <row r="952" spans="7:8">
      <c r="G952" s="778"/>
      <c r="H952" s="8"/>
    </row>
    <row r="953" spans="7:8">
      <c r="G953" s="778"/>
      <c r="H953" s="8"/>
    </row>
    <row r="954" spans="7:8">
      <c r="G954" s="778"/>
      <c r="H954" s="8"/>
    </row>
    <row r="955" spans="7:8">
      <c r="G955" s="778"/>
      <c r="H955" s="8"/>
    </row>
    <row r="956" spans="7:8">
      <c r="G956" s="778"/>
      <c r="H956" s="8"/>
    </row>
    <row r="957" spans="7:8">
      <c r="G957" s="778"/>
      <c r="H957" s="8"/>
    </row>
    <row r="958" spans="7:8">
      <c r="G958" s="778"/>
      <c r="H958" s="8"/>
    </row>
    <row r="959" spans="7:8">
      <c r="G959" s="778"/>
      <c r="H959" s="8"/>
    </row>
    <row r="960" spans="7:8">
      <c r="G960" s="778"/>
      <c r="H960" s="8"/>
    </row>
    <row r="961" spans="7:8">
      <c r="G961" s="778"/>
      <c r="H961" s="8"/>
    </row>
    <row r="962" spans="7:8">
      <c r="G962" s="778"/>
      <c r="H962" s="8"/>
    </row>
    <row r="963" spans="7:8">
      <c r="G963" s="778"/>
      <c r="H963" s="8"/>
    </row>
    <row r="964" spans="7:8">
      <c r="G964" s="778"/>
      <c r="H964" s="8"/>
    </row>
    <row r="965" spans="7:8">
      <c r="G965" s="778"/>
      <c r="H965" s="8"/>
    </row>
    <row r="966" spans="7:8">
      <c r="G966" s="778"/>
      <c r="H966" s="8"/>
    </row>
    <row r="967" spans="7:8">
      <c r="G967" s="778"/>
      <c r="H967" s="8"/>
    </row>
    <row r="968" spans="7:8">
      <c r="G968" s="778"/>
      <c r="H968" s="8"/>
    </row>
    <row r="969" spans="7:8">
      <c r="G969" s="778"/>
      <c r="H969" s="8"/>
    </row>
    <row r="970" spans="7:8">
      <c r="G970" s="778"/>
      <c r="H970" s="8"/>
    </row>
    <row r="971" spans="7:8">
      <c r="G971" s="778"/>
      <c r="H971" s="8"/>
    </row>
    <row r="972" spans="7:8">
      <c r="G972" s="778"/>
      <c r="H972" s="8"/>
    </row>
    <row r="973" spans="7:8">
      <c r="G973" s="778"/>
      <c r="H973" s="8"/>
    </row>
    <row r="974" spans="7:8">
      <c r="G974" s="778"/>
      <c r="H974" s="8"/>
    </row>
    <row r="975" spans="7:8">
      <c r="G975" s="778"/>
      <c r="H975" s="8"/>
    </row>
    <row r="976" spans="7:8">
      <c r="G976" s="778"/>
      <c r="H976" s="8"/>
    </row>
    <row r="977" spans="7:8">
      <c r="G977" s="778"/>
      <c r="H977" s="8"/>
    </row>
    <row r="978" spans="7:8">
      <c r="G978" s="778"/>
      <c r="H978" s="8"/>
    </row>
    <row r="979" spans="7:8">
      <c r="G979" s="778"/>
      <c r="H979" s="8"/>
    </row>
    <row r="980" spans="7:8">
      <c r="G980" s="778"/>
      <c r="H980" s="8"/>
    </row>
    <row r="981" spans="7:8">
      <c r="G981" s="778"/>
      <c r="H981" s="8"/>
    </row>
    <row r="982" spans="7:8">
      <c r="G982" s="778"/>
      <c r="H982" s="8"/>
    </row>
    <row r="983" spans="7:8">
      <c r="G983" s="778"/>
      <c r="H983" s="8"/>
    </row>
    <row r="984" spans="7:8">
      <c r="G984" s="778"/>
      <c r="H984" s="8"/>
    </row>
    <row r="985" spans="7:8">
      <c r="G985" s="778"/>
      <c r="H985" s="8"/>
    </row>
    <row r="986" spans="7:8">
      <c r="G986" s="778"/>
      <c r="H986" s="8"/>
    </row>
    <row r="987" spans="7:8">
      <c r="G987" s="778"/>
      <c r="H987" s="8"/>
    </row>
    <row r="988" spans="7:8">
      <c r="G988" s="778"/>
      <c r="H988" s="8"/>
    </row>
    <row r="989" spans="7:8">
      <c r="G989" s="778"/>
      <c r="H989" s="8"/>
    </row>
    <row r="990" spans="7:8">
      <c r="G990" s="778"/>
      <c r="H990" s="8"/>
    </row>
    <row r="991" spans="7:8">
      <c r="G991" s="778"/>
      <c r="H991" s="8"/>
    </row>
    <row r="992" spans="7:8">
      <c r="G992" s="778"/>
      <c r="H992" s="8"/>
    </row>
    <row r="993" spans="7:8">
      <c r="G993" s="778"/>
      <c r="H993" s="8"/>
    </row>
    <row r="994" spans="7:8">
      <c r="G994" s="778"/>
      <c r="H994" s="8"/>
    </row>
    <row r="995" spans="7:8">
      <c r="G995" s="778"/>
      <c r="H995" s="8"/>
    </row>
    <row r="996" spans="7:8">
      <c r="G996" s="778"/>
      <c r="H996" s="8"/>
    </row>
    <row r="997" spans="7:8">
      <c r="G997" s="778"/>
      <c r="H997" s="8"/>
    </row>
    <row r="998" spans="7:8">
      <c r="G998" s="778"/>
      <c r="H998" s="8"/>
    </row>
    <row r="999" spans="7:8">
      <c r="G999" s="778"/>
      <c r="H999" s="8"/>
    </row>
    <row r="1000" spans="7:8">
      <c r="G1000" s="778"/>
      <c r="H1000" s="8"/>
    </row>
    <row r="1001" spans="7:8">
      <c r="G1001" s="778"/>
      <c r="H1001" s="8"/>
    </row>
    <row r="1002" spans="7:8">
      <c r="G1002" s="778"/>
      <c r="H1002" s="8"/>
    </row>
    <row r="1003" spans="7:8">
      <c r="G1003" s="778"/>
      <c r="H1003" s="8"/>
    </row>
    <row r="1004" spans="7:8">
      <c r="G1004" s="778"/>
      <c r="H1004" s="8"/>
    </row>
    <row r="1005" spans="7:8">
      <c r="G1005" s="778"/>
      <c r="H1005" s="8"/>
    </row>
    <row r="1006" spans="7:8">
      <c r="G1006" s="778"/>
      <c r="H1006" s="8"/>
    </row>
    <row r="1007" spans="7:8">
      <c r="G1007" s="778"/>
      <c r="H1007" s="8"/>
    </row>
    <row r="1008" spans="7:8">
      <c r="G1008" s="778"/>
      <c r="H1008" s="8"/>
    </row>
    <row r="1009" spans="7:8">
      <c r="G1009" s="778"/>
      <c r="H1009" s="8"/>
    </row>
    <row r="1010" spans="7:8">
      <c r="G1010" s="778"/>
      <c r="H1010" s="8"/>
    </row>
    <row r="1011" spans="7:8">
      <c r="G1011" s="778"/>
      <c r="H1011" s="8"/>
    </row>
    <row r="1012" spans="7:8">
      <c r="G1012" s="778"/>
      <c r="H1012" s="8"/>
    </row>
    <row r="1013" spans="7:8">
      <c r="G1013" s="778"/>
      <c r="H1013" s="8"/>
    </row>
    <row r="1014" spans="7:8">
      <c r="G1014" s="778"/>
      <c r="H1014" s="8"/>
    </row>
    <row r="1015" spans="7:8">
      <c r="G1015" s="778"/>
      <c r="H1015" s="8"/>
    </row>
    <row r="1016" spans="7:8">
      <c r="G1016" s="778"/>
      <c r="H1016" s="8"/>
    </row>
    <row r="1017" spans="7:8">
      <c r="G1017" s="778"/>
      <c r="H1017" s="8"/>
    </row>
    <row r="1018" spans="7:8">
      <c r="G1018" s="778"/>
      <c r="H1018" s="8"/>
    </row>
    <row r="1019" spans="7:8">
      <c r="G1019" s="778"/>
      <c r="H1019" s="8"/>
    </row>
    <row r="1020" spans="7:8">
      <c r="G1020" s="778"/>
      <c r="H1020" s="8"/>
    </row>
    <row r="1021" spans="7:8">
      <c r="G1021" s="778"/>
      <c r="H1021" s="8"/>
    </row>
    <row r="1022" spans="7:8">
      <c r="G1022" s="778"/>
      <c r="H1022" s="8"/>
    </row>
    <row r="1023" spans="7:8">
      <c r="G1023" s="778"/>
      <c r="H1023" s="8"/>
    </row>
    <row r="1024" spans="7:8">
      <c r="G1024" s="778"/>
      <c r="H1024" s="8"/>
    </row>
    <row r="1025" spans="7:8">
      <c r="G1025" s="778"/>
      <c r="H1025" s="8"/>
    </row>
    <row r="1026" spans="7:8">
      <c r="G1026" s="778"/>
      <c r="H1026" s="8"/>
    </row>
    <row r="1027" spans="7:8">
      <c r="G1027" s="778"/>
      <c r="H1027" s="8"/>
    </row>
    <row r="1028" spans="7:8">
      <c r="G1028" s="778"/>
      <c r="H1028" s="8"/>
    </row>
    <row r="1029" spans="7:8">
      <c r="G1029" s="778"/>
      <c r="H1029" s="8"/>
    </row>
    <row r="1030" spans="7:8">
      <c r="G1030" s="778"/>
      <c r="H1030" s="8"/>
    </row>
    <row r="1031" spans="7:8">
      <c r="G1031" s="778"/>
      <c r="H1031" s="8"/>
    </row>
    <row r="1032" spans="7:8">
      <c r="G1032" s="778"/>
      <c r="H1032" s="8"/>
    </row>
    <row r="1033" spans="7:8">
      <c r="G1033" s="778"/>
      <c r="H1033" s="8"/>
    </row>
    <row r="1034" spans="7:8">
      <c r="G1034" s="778"/>
      <c r="H1034" s="8"/>
    </row>
    <row r="1035" spans="7:8">
      <c r="G1035" s="778"/>
      <c r="H1035" s="8"/>
    </row>
    <row r="1036" spans="7:8">
      <c r="G1036" s="778"/>
      <c r="H1036" s="8"/>
    </row>
    <row r="1037" spans="7:8">
      <c r="G1037" s="778"/>
      <c r="H1037" s="8"/>
    </row>
    <row r="1038" spans="7:8">
      <c r="G1038" s="778"/>
      <c r="H1038" s="8"/>
    </row>
    <row r="1039" spans="7:8">
      <c r="G1039" s="778"/>
      <c r="H1039" s="8"/>
    </row>
    <row r="1040" spans="7:8">
      <c r="G1040" s="778"/>
      <c r="H1040" s="8"/>
    </row>
    <row r="1041" spans="7:8">
      <c r="G1041" s="778"/>
      <c r="H1041" s="8"/>
    </row>
    <row r="1042" spans="7:8">
      <c r="G1042" s="778"/>
      <c r="H1042" s="8"/>
    </row>
    <row r="1043" spans="7:8">
      <c r="G1043" s="778"/>
      <c r="H1043" s="8"/>
    </row>
    <row r="1044" spans="7:8">
      <c r="G1044" s="778"/>
      <c r="H1044" s="8"/>
    </row>
    <row r="1045" spans="7:8">
      <c r="G1045" s="778"/>
      <c r="H1045" s="8"/>
    </row>
    <row r="1046" spans="7:8">
      <c r="G1046" s="778"/>
      <c r="H1046" s="8"/>
    </row>
    <row r="1047" spans="7:8">
      <c r="G1047" s="778"/>
      <c r="H1047" s="8"/>
    </row>
    <row r="1048" spans="7:8">
      <c r="G1048" s="778"/>
      <c r="H1048" s="8"/>
    </row>
    <row r="1049" spans="7:8">
      <c r="G1049" s="778"/>
      <c r="H1049" s="8"/>
    </row>
    <row r="1050" spans="7:8">
      <c r="G1050" s="778"/>
      <c r="H1050" s="8"/>
    </row>
    <row r="1051" spans="7:8">
      <c r="G1051" s="778"/>
      <c r="H1051" s="8"/>
    </row>
    <row r="1052" spans="7:8">
      <c r="G1052" s="778"/>
      <c r="H1052" s="8"/>
    </row>
    <row r="1053" spans="7:8">
      <c r="G1053" s="778"/>
      <c r="H1053" s="8"/>
    </row>
    <row r="1054" spans="7:8">
      <c r="G1054" s="778"/>
      <c r="H1054" s="8"/>
    </row>
    <row r="1055" spans="7:8">
      <c r="G1055" s="778"/>
      <c r="H1055" s="8"/>
    </row>
    <row r="1056" spans="7:8">
      <c r="G1056" s="778"/>
      <c r="H1056" s="8"/>
    </row>
    <row r="1057" spans="7:8">
      <c r="G1057" s="778"/>
      <c r="H1057" s="8"/>
    </row>
    <row r="1058" spans="7:8">
      <c r="G1058" s="778"/>
      <c r="H1058" s="8"/>
    </row>
    <row r="1059" spans="7:8">
      <c r="G1059" s="778"/>
      <c r="H1059" s="8"/>
    </row>
    <row r="1060" spans="7:8">
      <c r="G1060" s="778"/>
      <c r="H1060" s="8"/>
    </row>
    <row r="1061" spans="7:8">
      <c r="G1061" s="778"/>
      <c r="H1061" s="8"/>
    </row>
    <row r="1062" spans="7:8">
      <c r="G1062" s="778"/>
      <c r="H1062" s="8"/>
    </row>
    <row r="1063" spans="7:8">
      <c r="G1063" s="778"/>
      <c r="H1063" s="8"/>
    </row>
    <row r="1064" spans="7:8">
      <c r="G1064" s="778"/>
      <c r="H1064" s="8"/>
    </row>
    <row r="1065" spans="7:8">
      <c r="G1065" s="778"/>
      <c r="H1065" s="8"/>
    </row>
    <row r="1066" spans="7:8">
      <c r="G1066" s="778"/>
      <c r="H1066" s="8"/>
    </row>
    <row r="1067" spans="7:8">
      <c r="G1067" s="778"/>
      <c r="H1067" s="8"/>
    </row>
    <row r="1068" spans="7:8">
      <c r="G1068" s="778"/>
      <c r="H1068" s="8"/>
    </row>
    <row r="1069" spans="7:8">
      <c r="G1069" s="778"/>
      <c r="H1069" s="8"/>
    </row>
    <row r="1070" spans="7:8">
      <c r="G1070" s="778"/>
      <c r="H1070" s="8"/>
    </row>
    <row r="1071" spans="7:8">
      <c r="G1071" s="778"/>
      <c r="H1071" s="8"/>
    </row>
    <row r="1072" spans="7:8">
      <c r="G1072" s="778"/>
      <c r="H1072" s="8"/>
    </row>
    <row r="1073" spans="7:8">
      <c r="G1073" s="778"/>
      <c r="H1073" s="8"/>
    </row>
    <row r="1074" spans="7:8">
      <c r="G1074" s="778"/>
      <c r="H1074" s="8"/>
    </row>
    <row r="1075" spans="7:8">
      <c r="G1075" s="778"/>
      <c r="H1075" s="8"/>
    </row>
    <row r="1076" spans="7:8">
      <c r="G1076" s="778"/>
      <c r="H1076" s="8"/>
    </row>
    <row r="1077" spans="7:8">
      <c r="G1077" s="778"/>
      <c r="H1077" s="8"/>
    </row>
    <row r="1078" spans="7:8">
      <c r="G1078" s="778"/>
      <c r="H1078" s="8"/>
    </row>
    <row r="1079" spans="7:8">
      <c r="G1079" s="778"/>
      <c r="H1079" s="8"/>
    </row>
    <row r="1080" spans="7:8">
      <c r="G1080" s="778"/>
      <c r="H1080" s="8"/>
    </row>
    <row r="1081" spans="7:8">
      <c r="G1081" s="778"/>
      <c r="H1081" s="8"/>
    </row>
    <row r="1082" spans="7:8">
      <c r="G1082" s="778"/>
      <c r="H1082" s="8"/>
    </row>
    <row r="1083" spans="7:8">
      <c r="G1083" s="778"/>
      <c r="H1083" s="8"/>
    </row>
    <row r="1084" spans="7:8">
      <c r="G1084" s="778"/>
      <c r="H1084" s="8"/>
    </row>
    <row r="1085" spans="7:8">
      <c r="G1085" s="778"/>
      <c r="H1085" s="8"/>
    </row>
    <row r="1086" spans="7:8">
      <c r="G1086" s="778"/>
      <c r="H1086" s="8"/>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09:H309"/>
    <mergeCell ref="C313:H313"/>
    <mergeCell ref="C305:H305"/>
    <mergeCell ref="C318:H318"/>
    <mergeCell ref="C300:H300"/>
    <mergeCell ref="C306:H306"/>
    <mergeCell ref="C311:H311"/>
    <mergeCell ref="C315:H315"/>
    <mergeCell ref="C310:H310"/>
    <mergeCell ref="D2:F2"/>
    <mergeCell ref="D3:F3"/>
    <mergeCell ref="C297:H297"/>
    <mergeCell ref="C302:H302"/>
    <mergeCell ref="C303:H303"/>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topLeftCell="B1" zoomScale="70" zoomScaleNormal="70" workbookViewId="0">
      <selection activeCell="H18" sqref="H18"/>
    </sheetView>
  </sheetViews>
  <sheetFormatPr defaultColWidth="18.7109375" defaultRowHeight="15"/>
  <cols>
    <col min="1" max="1" width="5.5703125" style="45" customWidth="1"/>
    <col min="2" max="2" width="65.7109375" style="154" customWidth="1"/>
    <col min="3" max="3" width="60.5703125" style="45" bestFit="1" customWidth="1"/>
    <col min="4" max="4" width="22.7109375" style="45" customWidth="1"/>
    <col min="5" max="5" width="28.7109375" style="45" customWidth="1"/>
    <col min="6" max="6" width="24.28515625" style="45" customWidth="1"/>
    <col min="7" max="7" width="24" style="45" bestFit="1" customWidth="1"/>
    <col min="8" max="8" width="24" style="45" customWidth="1"/>
    <col min="9" max="9" width="124.7109375" style="45" customWidth="1"/>
    <col min="10" max="16384" width="18.7109375" style="45"/>
  </cols>
  <sheetData>
    <row r="1" spans="1:9" ht="18">
      <c r="B1" s="867" t="str">
        <f>+'Appendix A'!A3</f>
        <v>Dayton Power and Light</v>
      </c>
      <c r="C1" s="867"/>
      <c r="D1" s="867"/>
      <c r="E1" s="867"/>
      <c r="F1" s="867"/>
      <c r="G1" s="867"/>
      <c r="H1" s="867"/>
      <c r="I1" s="867"/>
    </row>
    <row r="2" spans="1:9" ht="18">
      <c r="B2" s="867" t="s">
        <v>1</v>
      </c>
      <c r="C2" s="867"/>
      <c r="D2" s="867"/>
      <c r="E2" s="867"/>
      <c r="F2" s="867"/>
      <c r="G2" s="867"/>
      <c r="H2" s="867"/>
      <c r="I2" s="867"/>
    </row>
    <row r="3" spans="1:9" s="151" customFormat="1" ht="18">
      <c r="B3" s="867" t="s">
        <v>999</v>
      </c>
      <c r="C3" s="867"/>
      <c r="D3" s="867"/>
      <c r="E3" s="867"/>
      <c r="F3" s="867"/>
      <c r="G3" s="867"/>
      <c r="H3" s="867"/>
      <c r="I3" s="867"/>
    </row>
    <row r="5" spans="1:9" ht="18">
      <c r="B5" s="2"/>
      <c r="C5" s="1"/>
      <c r="D5" s="153" t="s">
        <v>254</v>
      </c>
      <c r="E5" s="153"/>
      <c r="G5" s="153"/>
      <c r="H5" s="153"/>
      <c r="I5" s="628"/>
    </row>
    <row r="6" spans="1:9" ht="18">
      <c r="D6" s="153" t="s">
        <v>57</v>
      </c>
      <c r="E6" s="153" t="s">
        <v>255</v>
      </c>
      <c r="F6" s="153" t="s">
        <v>256</v>
      </c>
      <c r="G6" s="153"/>
      <c r="H6" s="153" t="s">
        <v>68</v>
      </c>
      <c r="I6" s="629"/>
    </row>
    <row r="7" spans="1:9" ht="18">
      <c r="D7" s="153" t="s">
        <v>257</v>
      </c>
      <c r="E7" s="153" t="s">
        <v>257</v>
      </c>
      <c r="F7" s="153" t="s">
        <v>257</v>
      </c>
      <c r="G7" s="153"/>
      <c r="H7" s="153" t="s">
        <v>258</v>
      </c>
      <c r="I7" s="629"/>
    </row>
    <row r="8" spans="1:9" s="344" customFormat="1" ht="25.5">
      <c r="B8" s="347"/>
    </row>
    <row r="9" spans="1:9" ht="15.75">
      <c r="A9" s="59">
        <v>1</v>
      </c>
      <c r="C9" s="58" t="s">
        <v>259</v>
      </c>
      <c r="D9" s="156">
        <f>+E45</f>
        <v>0</v>
      </c>
      <c r="E9" s="156">
        <f>+F45</f>
        <v>435258</v>
      </c>
      <c r="F9" s="156">
        <f>+G45</f>
        <v>2232305.02</v>
      </c>
      <c r="G9" s="156"/>
      <c r="H9" s="156"/>
      <c r="I9" s="91" t="str">
        <f>"(Line "&amp;A45&amp;")"</f>
        <v>(Line 26)</v>
      </c>
    </row>
    <row r="10" spans="1:9" ht="15.75">
      <c r="A10" s="59">
        <f>+A9+1</f>
        <v>2</v>
      </c>
      <c r="C10" s="58" t="s">
        <v>260</v>
      </c>
      <c r="D10" s="156">
        <f>+E64</f>
        <v>-3787611</v>
      </c>
      <c r="E10" s="156">
        <f t="shared" ref="E10:F10" si="0">+F64</f>
        <v>0</v>
      </c>
      <c r="F10" s="156">
        <f t="shared" si="0"/>
        <v>0</v>
      </c>
      <c r="G10" s="156"/>
      <c r="H10" s="156"/>
      <c r="I10" s="91" t="str">
        <f>"(Line "&amp;A64&amp;")"</f>
        <v>(Line 29)</v>
      </c>
    </row>
    <row r="11" spans="1:9" ht="15.75">
      <c r="A11" s="59">
        <f>+A10+1</f>
        <v>3</v>
      </c>
      <c r="C11" s="58" t="s">
        <v>261</v>
      </c>
      <c r="D11" s="454">
        <f>+E92</f>
        <v>-997338</v>
      </c>
      <c r="E11" s="454">
        <f t="shared" ref="E11:F11" si="1">+F92</f>
        <v>0</v>
      </c>
      <c r="F11" s="454">
        <f t="shared" si="1"/>
        <v>805104</v>
      </c>
      <c r="G11" s="454"/>
      <c r="H11" s="156"/>
      <c r="I11" s="91" t="str">
        <f>"(Line "&amp;A92&amp;")"</f>
        <v>(Line 38)</v>
      </c>
    </row>
    <row r="12" spans="1:9" ht="15.75">
      <c r="A12" s="59">
        <f t="shared" ref="A12:A17" si="2">+A11+1</f>
        <v>4</v>
      </c>
      <c r="C12" s="58" t="s">
        <v>91</v>
      </c>
      <c r="D12" s="156">
        <f>+SUM(D9:D11)</f>
        <v>-4784949</v>
      </c>
      <c r="E12" s="156">
        <f t="shared" ref="E12:F12" si="3">+SUM(E9:E11)</f>
        <v>435258</v>
      </c>
      <c r="F12" s="156">
        <f t="shared" si="3"/>
        <v>3037409.02</v>
      </c>
      <c r="G12" s="156"/>
      <c r="H12" s="156"/>
      <c r="I12" s="91" t="str">
        <f>"(Line "&amp;A9&amp;" + Line "&amp;A10&amp;" + Line "&amp;A11&amp;")"</f>
        <v>(Line 1 + Line 2 + Line 3)</v>
      </c>
    </row>
    <row r="13" spans="1:9" ht="15.75">
      <c r="A13" s="59">
        <f t="shared" si="2"/>
        <v>5</v>
      </c>
      <c r="C13" s="58" t="s">
        <v>13</v>
      </c>
      <c r="F13" s="463">
        <f>'Appendix A'!H16</f>
        <v>0.12783050741274057</v>
      </c>
      <c r="I13" s="19" t="str">
        <f>"(Appendix A, Line "&amp;'Appendix A'!A16&amp;")"</f>
        <v>(Appendix A, Line 5)</v>
      </c>
    </row>
    <row r="14" spans="1:9" ht="15.75">
      <c r="A14" s="59">
        <f t="shared" si="2"/>
        <v>6</v>
      </c>
      <c r="C14" s="58" t="s">
        <v>21</v>
      </c>
      <c r="E14" s="463">
        <f>'Appendix A'!H27</f>
        <v>0.22074546692968111</v>
      </c>
      <c r="I14" s="19" t="str">
        <f>"(Appendix A, Line "&amp;'Appendix A'!A27&amp;")"</f>
        <v>(Appendix A, Line 12)</v>
      </c>
    </row>
    <row r="15" spans="1:9" ht="15.75">
      <c r="A15" s="59">
        <f>+A14+1</f>
        <v>7</v>
      </c>
      <c r="C15" s="58" t="s">
        <v>262</v>
      </c>
      <c r="D15" s="156">
        <f>+D12</f>
        <v>-4784949</v>
      </c>
      <c r="E15" s="156">
        <f>+E14*E12</f>
        <v>96081.23044487914</v>
      </c>
      <c r="F15" s="156">
        <f>+F13*F12</f>
        <v>388273.53624663508</v>
      </c>
      <c r="G15" s="156"/>
      <c r="H15" s="157">
        <f>SUM(D15:F15)</f>
        <v>-4300594.2333084857</v>
      </c>
      <c r="I15" s="91" t="str">
        <f>"(Line "&amp;A12&amp;" * Line "&amp;A13&amp;" or Line "&amp;A14&amp;")"</f>
        <v>(Line 4 * Line 5 or Line 6)</v>
      </c>
    </row>
    <row r="16" spans="1:9" ht="15.75">
      <c r="A16" s="59">
        <f t="shared" si="2"/>
        <v>8</v>
      </c>
      <c r="C16" s="58" t="s">
        <v>263</v>
      </c>
      <c r="D16" s="156">
        <f>+'1C - ADIT Prior Year'!D15</f>
        <v>-36976390</v>
      </c>
      <c r="E16" s="156">
        <f>+'1C - ADIT Prior Year'!E15</f>
        <v>95360.717240820668</v>
      </c>
      <c r="F16" s="156">
        <f>+'1C - ADIT Prior Year'!F15</f>
        <v>-1207010.9322111425</v>
      </c>
      <c r="G16" s="156"/>
      <c r="H16" s="157">
        <f t="shared" ref="H16:H17" si="4">SUM(D16:F16)</f>
        <v>-38088040.214970328</v>
      </c>
      <c r="I16" s="91" t="str">
        <f>"(Attachment 1C - ADIT Prior Year, Line "&amp;A15&amp;")"</f>
        <v>(Attachment 1C - ADIT Prior Year, Line 7)</v>
      </c>
    </row>
    <row r="17" spans="1:21" ht="15.75">
      <c r="A17" s="59">
        <f t="shared" si="2"/>
        <v>9</v>
      </c>
      <c r="C17" s="58" t="s">
        <v>264</v>
      </c>
      <c r="D17" s="156">
        <f>(D15+D16)/2</f>
        <v>-20880669.5</v>
      </c>
      <c r="E17" s="156">
        <f>(E15+E16)/2</f>
        <v>95720.973842849897</v>
      </c>
      <c r="F17" s="156">
        <f>(F15+F16)/2</f>
        <v>-409368.69798225374</v>
      </c>
      <c r="G17" s="156"/>
      <c r="H17" s="157">
        <f t="shared" si="4"/>
        <v>-21194317.224139407</v>
      </c>
      <c r="I17" s="91" t="str">
        <f>"(Average of Line "&amp;A15&amp;" + Line "&amp;A16&amp;")"</f>
        <v>(Average of Line 7 + Line 8)</v>
      </c>
      <c r="J17" s="343"/>
    </row>
    <row r="18" spans="1:21" ht="15.75">
      <c r="A18" s="59">
        <f>+A17+1</f>
        <v>10</v>
      </c>
      <c r="C18" s="58" t="s">
        <v>265</v>
      </c>
      <c r="D18" s="454">
        <f>+'1B - ADIT Proration'!J24</f>
        <v>-34367029.202739723</v>
      </c>
      <c r="E18" s="454">
        <f>+'1B - ADIT Proration'!N24</f>
        <v>0</v>
      </c>
      <c r="F18" s="454">
        <f>+'1B - ADIT Proration'!R24</f>
        <v>-1189648.3209712941</v>
      </c>
      <c r="G18" s="156"/>
      <c r="H18" s="699">
        <f>+D18+E18+F18</f>
        <v>-35556677.523711018</v>
      </c>
      <c r="I18" s="91" t="str">
        <f>"(Attachment 1B, Line "&amp;'1B - ADIT Proration'!A24&amp;")"</f>
        <v>(Attachment 1B, Line 14)</v>
      </c>
    </row>
    <row r="19" spans="1:21" ht="15.75">
      <c r="A19" s="59">
        <f>+A18+1</f>
        <v>11</v>
      </c>
      <c r="C19" s="155" t="s">
        <v>266</v>
      </c>
      <c r="D19" s="156">
        <f>+D17+D18</f>
        <v>-55247698.702739723</v>
      </c>
      <c r="E19" s="156">
        <f>+E17+E18</f>
        <v>95720.973842849897</v>
      </c>
      <c r="F19" s="156">
        <f>+F17+F18</f>
        <v>-1599017.0189535478</v>
      </c>
      <c r="G19" s="157"/>
      <c r="H19" s="157">
        <f>+H17+H18</f>
        <v>-56750994.747850426</v>
      </c>
      <c r="I19" s="91" t="str">
        <f>"(Line "&amp;A17&amp;" + Line "&amp;A18&amp;")"</f>
        <v>(Line 9 + Line 10)</v>
      </c>
    </row>
    <row r="20" spans="1:21" ht="15.75">
      <c r="C20" s="155"/>
      <c r="D20" s="156"/>
      <c r="E20" s="156"/>
      <c r="F20" s="156"/>
      <c r="G20" s="157"/>
      <c r="H20" s="157"/>
      <c r="I20" s="158"/>
    </row>
    <row r="21" spans="1:21" ht="15.75">
      <c r="C21" s="155"/>
      <c r="D21" s="156"/>
      <c r="E21" s="156"/>
      <c r="F21" s="156"/>
      <c r="G21" s="157"/>
      <c r="H21" s="157"/>
      <c r="I21" s="158"/>
    </row>
    <row r="22" spans="1:21" ht="15.75">
      <c r="B22" s="58"/>
    </row>
    <row r="23" spans="1:21">
      <c r="B23" s="45" t="s">
        <v>267</v>
      </c>
      <c r="D23" s="156"/>
    </row>
    <row r="24" spans="1:21">
      <c r="B24" s="45"/>
    </row>
    <row r="25" spans="1:21">
      <c r="B25" s="154" t="s">
        <v>268</v>
      </c>
    </row>
    <row r="26" spans="1:21">
      <c r="B26" s="154" t="s">
        <v>269</v>
      </c>
    </row>
    <row r="27" spans="1:21">
      <c r="G27" s="155"/>
      <c r="H27" s="155"/>
    </row>
    <row r="28" spans="1:21" ht="15.75">
      <c r="B28" s="159" t="s">
        <v>207</v>
      </c>
      <c r="C28" s="159" t="s">
        <v>209</v>
      </c>
      <c r="D28" s="159" t="s">
        <v>211</v>
      </c>
      <c r="E28" s="159" t="s">
        <v>213</v>
      </c>
      <c r="F28" s="159" t="s">
        <v>215</v>
      </c>
      <c r="G28" s="159" t="s">
        <v>217</v>
      </c>
      <c r="H28" s="159"/>
      <c r="I28" s="159" t="s">
        <v>219</v>
      </c>
    </row>
    <row r="29" spans="1:21">
      <c r="B29" s="160" t="s">
        <v>990</v>
      </c>
      <c r="C29" s="153"/>
      <c r="D29" s="153"/>
      <c r="E29" s="153" t="s">
        <v>57</v>
      </c>
      <c r="F29" s="153" t="s">
        <v>255</v>
      </c>
      <c r="G29" s="153" t="s">
        <v>256</v>
      </c>
      <c r="H29" s="153"/>
    </row>
    <row r="30" spans="1:21" ht="14.45" customHeight="1" thickBot="1">
      <c r="C30" s="153" t="s">
        <v>68</v>
      </c>
      <c r="D30" s="153" t="s">
        <v>271</v>
      </c>
      <c r="E30" s="153" t="s">
        <v>257</v>
      </c>
      <c r="F30" s="153" t="s">
        <v>257</v>
      </c>
      <c r="G30" s="153" t="s">
        <v>257</v>
      </c>
      <c r="H30" s="153"/>
      <c r="I30" s="153" t="s">
        <v>272</v>
      </c>
    </row>
    <row r="31" spans="1:21" ht="28.5" customHeight="1">
      <c r="A31" s="59">
        <f>+A19+1</f>
        <v>12</v>
      </c>
      <c r="B31" s="332" t="s">
        <v>273</v>
      </c>
      <c r="C31" s="804">
        <v>489677.01999999996</v>
      </c>
      <c r="D31" s="805">
        <v>0</v>
      </c>
      <c r="E31" s="805">
        <v>0</v>
      </c>
      <c r="F31" s="807">
        <v>0</v>
      </c>
      <c r="G31" s="807">
        <f>+C31</f>
        <v>489677.01999999996</v>
      </c>
      <c r="H31" s="810"/>
      <c r="I31" s="811" t="s">
        <v>274</v>
      </c>
      <c r="Q31" s="346"/>
      <c r="R31" s="346"/>
      <c r="S31" s="346"/>
      <c r="T31" s="346"/>
      <c r="U31" s="346"/>
    </row>
    <row r="32" spans="1:21" ht="28.5" customHeight="1">
      <c r="A32" s="59">
        <f>+A31+1</f>
        <v>13</v>
      </c>
      <c r="B32" s="333" t="s">
        <v>275</v>
      </c>
      <c r="C32" s="806">
        <v>2707542</v>
      </c>
      <c r="D32" s="807">
        <f>+C32</f>
        <v>2707542</v>
      </c>
      <c r="E32" s="807">
        <v>0</v>
      </c>
      <c r="F32" s="807">
        <v>0</v>
      </c>
      <c r="G32" s="807">
        <v>0</v>
      </c>
      <c r="H32" s="809"/>
      <c r="I32" s="409" t="s">
        <v>276</v>
      </c>
      <c r="Q32" s="346"/>
      <c r="R32" s="346"/>
      <c r="S32" s="346"/>
      <c r="T32" s="346"/>
      <c r="U32" s="346"/>
    </row>
    <row r="33" spans="1:21" ht="39.75" customHeight="1">
      <c r="A33" s="59">
        <f t="shared" ref="A33:A44" si="5">+A32+1</f>
        <v>14</v>
      </c>
      <c r="B33" s="333" t="s">
        <v>277</v>
      </c>
      <c r="C33" s="806">
        <v>1006570</v>
      </c>
      <c r="D33" s="807">
        <v>0</v>
      </c>
      <c r="E33" s="807">
        <v>0</v>
      </c>
      <c r="F33" s="807">
        <v>0</v>
      </c>
      <c r="G33" s="807">
        <f t="shared" ref="G33" si="6">+C33</f>
        <v>1006570</v>
      </c>
      <c r="H33" s="809"/>
      <c r="I33" s="409" t="s">
        <v>274</v>
      </c>
      <c r="Q33" s="346"/>
      <c r="R33" s="346"/>
      <c r="S33" s="346"/>
      <c r="T33" s="346"/>
      <c r="U33" s="346"/>
    </row>
    <row r="34" spans="1:21" ht="39.75" customHeight="1">
      <c r="A34" s="59">
        <f t="shared" si="5"/>
        <v>15</v>
      </c>
      <c r="B34" s="505" t="s">
        <v>278</v>
      </c>
      <c r="C34" s="806">
        <v>-1010449</v>
      </c>
      <c r="D34" s="807">
        <v>0</v>
      </c>
      <c r="E34" s="807">
        <v>0</v>
      </c>
      <c r="F34" s="807">
        <f>+C34</f>
        <v>-1010449</v>
      </c>
      <c r="G34" s="807">
        <v>0</v>
      </c>
      <c r="H34" s="691"/>
      <c r="I34" s="407" t="s">
        <v>279</v>
      </c>
      <c r="Q34" s="346"/>
      <c r="R34" s="346"/>
      <c r="S34" s="346"/>
      <c r="T34" s="346"/>
      <c r="U34" s="346"/>
    </row>
    <row r="35" spans="1:21" ht="39.75" customHeight="1">
      <c r="A35" s="59">
        <f t="shared" si="5"/>
        <v>16</v>
      </c>
      <c r="B35" s="333" t="s">
        <v>280</v>
      </c>
      <c r="C35" s="806">
        <v>683160</v>
      </c>
      <c r="D35" s="807">
        <v>0</v>
      </c>
      <c r="E35" s="807">
        <v>0</v>
      </c>
      <c r="F35" s="807">
        <v>0</v>
      </c>
      <c r="G35" s="807">
        <f>+C35</f>
        <v>683160</v>
      </c>
      <c r="H35" s="691"/>
      <c r="I35" s="409" t="s">
        <v>281</v>
      </c>
      <c r="Q35" s="346"/>
      <c r="R35" s="346"/>
      <c r="S35" s="346"/>
      <c r="T35" s="346"/>
      <c r="U35" s="346"/>
    </row>
    <row r="36" spans="1:21" ht="39.75" customHeight="1">
      <c r="A36" s="59">
        <f t="shared" si="5"/>
        <v>17</v>
      </c>
      <c r="B36" s="333" t="s">
        <v>282</v>
      </c>
      <c r="C36" s="806">
        <v>937976</v>
      </c>
      <c r="D36" s="807">
        <f>+C36</f>
        <v>937976</v>
      </c>
      <c r="E36" s="807">
        <v>0</v>
      </c>
      <c r="F36" s="807">
        <v>0</v>
      </c>
      <c r="G36" s="807">
        <v>0</v>
      </c>
      <c r="H36" s="691"/>
      <c r="I36" s="409" t="s">
        <v>283</v>
      </c>
      <c r="Q36" s="346"/>
      <c r="R36" s="346"/>
      <c r="S36" s="346"/>
      <c r="T36" s="346"/>
      <c r="U36" s="346"/>
    </row>
    <row r="37" spans="1:21" ht="39.75" customHeight="1">
      <c r="A37" s="59">
        <f t="shared" si="5"/>
        <v>18</v>
      </c>
      <c r="B37" s="333" t="s">
        <v>284</v>
      </c>
      <c r="C37" s="806">
        <v>52898</v>
      </c>
      <c r="D37" s="807">
        <v>0</v>
      </c>
      <c r="E37" s="807">
        <v>0</v>
      </c>
      <c r="F37" s="807">
        <v>0</v>
      </c>
      <c r="G37" s="807">
        <f>+C37</f>
        <v>52898</v>
      </c>
      <c r="H37" s="691"/>
      <c r="I37" s="409" t="s">
        <v>285</v>
      </c>
      <c r="Q37" s="346"/>
      <c r="R37" s="346"/>
      <c r="S37" s="346"/>
      <c r="T37" s="346"/>
      <c r="U37" s="346"/>
    </row>
    <row r="38" spans="1:21" ht="39.75" customHeight="1">
      <c r="A38" s="59">
        <f t="shared" si="5"/>
        <v>19</v>
      </c>
      <c r="B38" s="333" t="s">
        <v>286</v>
      </c>
      <c r="C38" s="806">
        <v>425012</v>
      </c>
      <c r="D38" s="807">
        <f>+C38</f>
        <v>425012</v>
      </c>
      <c r="E38" s="807">
        <v>0</v>
      </c>
      <c r="F38" s="807">
        <v>0</v>
      </c>
      <c r="G38" s="807">
        <v>0</v>
      </c>
      <c r="H38" s="691"/>
      <c r="I38" s="409" t="s">
        <v>287</v>
      </c>
      <c r="Q38" s="346"/>
      <c r="R38" s="346"/>
      <c r="S38" s="346"/>
      <c r="T38" s="346"/>
      <c r="U38" s="346"/>
    </row>
    <row r="39" spans="1:21" ht="39.75" customHeight="1">
      <c r="A39" s="59">
        <f t="shared" si="5"/>
        <v>20</v>
      </c>
      <c r="B39" s="333" t="s">
        <v>288</v>
      </c>
      <c r="C39" s="806">
        <v>435258</v>
      </c>
      <c r="D39" s="807">
        <v>0</v>
      </c>
      <c r="E39" s="807">
        <v>0</v>
      </c>
      <c r="F39" s="807">
        <f>+C39</f>
        <v>435258</v>
      </c>
      <c r="G39" s="807">
        <v>0</v>
      </c>
      <c r="H39" s="691"/>
      <c r="I39" s="409" t="s">
        <v>289</v>
      </c>
      <c r="Q39" s="346"/>
      <c r="R39" s="346"/>
      <c r="S39" s="346"/>
      <c r="T39" s="346"/>
      <c r="U39" s="346"/>
    </row>
    <row r="40" spans="1:21" ht="39.75" customHeight="1">
      <c r="A40" s="59">
        <f t="shared" si="5"/>
        <v>21</v>
      </c>
      <c r="B40" s="333" t="s">
        <v>290</v>
      </c>
      <c r="C40" s="806">
        <v>1288335</v>
      </c>
      <c r="D40" s="807">
        <f>+C40</f>
        <v>1288335</v>
      </c>
      <c r="E40" s="807">
        <v>0</v>
      </c>
      <c r="F40" s="807">
        <v>0</v>
      </c>
      <c r="G40" s="807">
        <v>0</v>
      </c>
      <c r="H40" s="691"/>
      <c r="I40" s="409" t="s">
        <v>291</v>
      </c>
      <c r="Q40" s="346"/>
      <c r="R40" s="346"/>
      <c r="S40" s="346"/>
      <c r="T40" s="346"/>
      <c r="U40" s="346"/>
    </row>
    <row r="41" spans="1:21" ht="39.75" customHeight="1">
      <c r="A41" s="59">
        <f t="shared" si="5"/>
        <v>22</v>
      </c>
      <c r="B41" s="333" t="s">
        <v>292</v>
      </c>
      <c r="C41" s="806">
        <v>-223999</v>
      </c>
      <c r="D41" s="807">
        <f>+C41</f>
        <v>-223999</v>
      </c>
      <c r="E41" s="807">
        <v>0</v>
      </c>
      <c r="F41" s="807">
        <v>0</v>
      </c>
      <c r="G41" s="807">
        <v>0</v>
      </c>
      <c r="H41" s="691"/>
      <c r="I41" s="409" t="s">
        <v>293</v>
      </c>
      <c r="Q41" s="346"/>
      <c r="R41" s="346"/>
      <c r="S41" s="346"/>
      <c r="T41" s="346"/>
      <c r="U41" s="346"/>
    </row>
    <row r="42" spans="1:21" ht="39.75" customHeight="1">
      <c r="A42" s="59">
        <f>+A41+1</f>
        <v>23</v>
      </c>
      <c r="B42" s="333" t="s">
        <v>294</v>
      </c>
      <c r="C42" s="806">
        <v>3050627</v>
      </c>
      <c r="D42" s="807">
        <f>+C42</f>
        <v>3050627</v>
      </c>
      <c r="E42" s="807">
        <v>0</v>
      </c>
      <c r="F42" s="807">
        <v>0</v>
      </c>
      <c r="G42" s="807">
        <v>0</v>
      </c>
      <c r="H42" s="691"/>
      <c r="I42" s="335" t="s">
        <v>295</v>
      </c>
      <c r="Q42" s="346"/>
      <c r="R42" s="346"/>
      <c r="S42" s="346"/>
      <c r="T42" s="346"/>
      <c r="U42" s="346"/>
    </row>
    <row r="43" spans="1:21" ht="25.15" customHeight="1">
      <c r="A43" s="59">
        <f t="shared" si="5"/>
        <v>24</v>
      </c>
      <c r="B43" s="334" t="s">
        <v>296</v>
      </c>
      <c r="C43" s="808">
        <f t="shared" ref="C43:G43" si="7">SUM(C31:C42)</f>
        <v>9842607.0199999996</v>
      </c>
      <c r="D43" s="808">
        <f t="shared" si="7"/>
        <v>8185493</v>
      </c>
      <c r="E43" s="808">
        <f t="shared" si="7"/>
        <v>0</v>
      </c>
      <c r="F43" s="808">
        <f t="shared" si="7"/>
        <v>-575191</v>
      </c>
      <c r="G43" s="808">
        <f t="shared" si="7"/>
        <v>2232305.02</v>
      </c>
      <c r="H43" s="554"/>
      <c r="I43" s="161"/>
      <c r="Q43" s="346"/>
      <c r="R43" s="346"/>
      <c r="S43" s="346"/>
      <c r="T43" s="346"/>
      <c r="U43" s="346"/>
    </row>
    <row r="44" spans="1:21" ht="25.15" customHeight="1">
      <c r="A44" s="59">
        <f t="shared" si="5"/>
        <v>25</v>
      </c>
      <c r="B44" s="331" t="s">
        <v>297</v>
      </c>
      <c r="C44" s="555">
        <f>SUM(D44:G44)</f>
        <v>-1010449</v>
      </c>
      <c r="D44" s="555">
        <f>D34</f>
        <v>0</v>
      </c>
      <c r="E44" s="556">
        <f>E34</f>
        <v>0</v>
      </c>
      <c r="F44" s="557">
        <f>F34</f>
        <v>-1010449</v>
      </c>
      <c r="G44" s="557">
        <f>G34</f>
        <v>0</v>
      </c>
      <c r="H44" s="557"/>
      <c r="I44" s="167" t="s">
        <v>298</v>
      </c>
      <c r="Q44" s="346"/>
      <c r="R44" s="346"/>
      <c r="S44" s="346"/>
      <c r="T44" s="346"/>
      <c r="U44" s="346"/>
    </row>
    <row r="45" spans="1:21" ht="35.1" customHeight="1" thickBot="1">
      <c r="A45" s="59">
        <f>+A44+1</f>
        <v>26</v>
      </c>
      <c r="B45" s="330" t="s">
        <v>68</v>
      </c>
      <c r="C45" s="558">
        <f>+C43-C44</f>
        <v>10853056.02</v>
      </c>
      <c r="D45" s="558">
        <f t="shared" ref="D45:G45" si="8">+D43-D44</f>
        <v>8185493</v>
      </c>
      <c r="E45" s="558">
        <f t="shared" si="8"/>
        <v>0</v>
      </c>
      <c r="F45" s="558">
        <f t="shared" si="8"/>
        <v>435258</v>
      </c>
      <c r="G45" s="558">
        <f t="shared" si="8"/>
        <v>2232305.02</v>
      </c>
      <c r="H45" s="558"/>
      <c r="I45" s="329"/>
      <c r="Q45" s="346"/>
      <c r="R45" s="346"/>
      <c r="S45" s="346"/>
      <c r="T45" s="346"/>
      <c r="U45" s="346"/>
    </row>
    <row r="46" spans="1:21" ht="35.1" customHeight="1">
      <c r="B46" s="45" t="s">
        <v>299</v>
      </c>
      <c r="D46" s="156"/>
      <c r="E46" s="469"/>
      <c r="F46" s="59"/>
      <c r="I46" s="470"/>
    </row>
    <row r="47" spans="1:21" ht="19.149999999999999" customHeight="1">
      <c r="B47" s="864" t="s">
        <v>300</v>
      </c>
      <c r="C47" s="864"/>
      <c r="D47" s="864"/>
      <c r="E47" s="864"/>
      <c r="F47" s="864"/>
      <c r="G47" s="864"/>
      <c r="H47" s="864"/>
      <c r="I47" s="864"/>
    </row>
    <row r="48" spans="1:21" ht="18.600000000000001" customHeight="1">
      <c r="B48" s="154" t="s">
        <v>301</v>
      </c>
      <c r="G48" s="59"/>
      <c r="H48" s="59"/>
      <c r="I48" s="59"/>
    </row>
    <row r="49" spans="1:21" ht="19.149999999999999" customHeight="1">
      <c r="B49" s="154" t="s">
        <v>302</v>
      </c>
      <c r="G49" s="59"/>
      <c r="H49" s="59"/>
      <c r="I49" s="59"/>
    </row>
    <row r="50" spans="1:21" ht="16.899999999999999" customHeight="1">
      <c r="B50" s="154" t="s">
        <v>303</v>
      </c>
      <c r="G50" s="59"/>
      <c r="H50" s="59"/>
      <c r="I50" s="59"/>
    </row>
    <row r="51" spans="1:21" ht="15" customHeight="1">
      <c r="B51" s="864" t="s">
        <v>304</v>
      </c>
      <c r="C51" s="864"/>
      <c r="D51" s="864"/>
      <c r="E51" s="864"/>
      <c r="F51" s="864"/>
      <c r="G51" s="864"/>
      <c r="H51" s="864"/>
      <c r="I51" s="864"/>
    </row>
    <row r="52" spans="1:21">
      <c r="B52" s="154" t="s">
        <v>305</v>
      </c>
      <c r="C52" s="59"/>
      <c r="D52" s="471"/>
      <c r="E52" s="59"/>
      <c r="F52" s="59"/>
      <c r="G52" s="59"/>
      <c r="H52" s="59"/>
      <c r="I52" s="447"/>
    </row>
    <row r="53" spans="1:21" ht="15.75">
      <c r="C53" s="159"/>
      <c r="D53" s="159"/>
      <c r="E53" s="159"/>
      <c r="F53" s="159"/>
      <c r="G53" s="159"/>
      <c r="H53" s="159"/>
      <c r="I53" s="447"/>
    </row>
    <row r="54" spans="1:21" s="151" customFormat="1" ht="18">
      <c r="B54" s="865" t="str">
        <f>+B1</f>
        <v>Dayton Power and Light</v>
      </c>
      <c r="C54" s="866"/>
      <c r="D54" s="866"/>
      <c r="E54" s="866"/>
      <c r="F54" s="866"/>
      <c r="G54" s="866"/>
      <c r="H54" s="866"/>
      <c r="I54" s="866"/>
    </row>
    <row r="55" spans="1:21" s="151" customFormat="1" ht="18">
      <c r="B55" s="865" t="str">
        <f>+B2</f>
        <v xml:space="preserve">ATTACHMENT H-15A </v>
      </c>
      <c r="C55" s="865"/>
      <c r="D55" s="865"/>
      <c r="E55" s="865"/>
      <c r="F55" s="865"/>
      <c r="G55" s="865"/>
      <c r="H55" s="865"/>
      <c r="I55" s="865"/>
    </row>
    <row r="56" spans="1:21" s="151" customFormat="1" ht="18">
      <c r="B56" s="865" t="str">
        <f>+B3</f>
        <v>Attachment 1A - Accumulated Deferred Income Taxes (ADIT) Worksheet - Projected December 31, 2023</v>
      </c>
      <c r="C56" s="865"/>
      <c r="D56" s="865"/>
      <c r="E56" s="865"/>
      <c r="F56" s="865"/>
      <c r="G56" s="865"/>
      <c r="H56" s="865"/>
      <c r="I56" s="865"/>
    </row>
    <row r="57" spans="1:21" ht="18">
      <c r="B57" s="153"/>
      <c r="I57" s="628"/>
    </row>
    <row r="58" spans="1:21" ht="18">
      <c r="B58" s="159" t="s">
        <v>207</v>
      </c>
      <c r="C58" s="159" t="s">
        <v>209</v>
      </c>
      <c r="D58" s="159" t="s">
        <v>211</v>
      </c>
      <c r="E58" s="159" t="s">
        <v>213</v>
      </c>
      <c r="F58" s="159" t="s">
        <v>215</v>
      </c>
      <c r="G58" s="159" t="s">
        <v>217</v>
      </c>
      <c r="H58" s="159"/>
      <c r="I58" s="629"/>
    </row>
    <row r="59" spans="1:21" ht="18">
      <c r="B59" s="45"/>
      <c r="C59" s="153" t="s">
        <v>306</v>
      </c>
      <c r="D59" s="153"/>
      <c r="E59" s="153"/>
      <c r="F59" s="153"/>
      <c r="G59" s="153"/>
      <c r="H59" s="153"/>
      <c r="I59" s="629"/>
    </row>
    <row r="60" spans="1:21" ht="15.75">
      <c r="B60" s="155" t="s">
        <v>307</v>
      </c>
      <c r="C60" s="153"/>
      <c r="D60" s="153"/>
      <c r="E60" s="153" t="s">
        <v>57</v>
      </c>
      <c r="F60" s="153" t="s">
        <v>255</v>
      </c>
      <c r="G60" s="153" t="s">
        <v>256</v>
      </c>
      <c r="H60" s="153"/>
      <c r="I60" s="159" t="s">
        <v>219</v>
      </c>
    </row>
    <row r="61" spans="1:21" ht="15.75" thickBot="1">
      <c r="C61" s="153"/>
      <c r="D61" s="153" t="str">
        <f>+D30</f>
        <v>Excluded</v>
      </c>
      <c r="E61" s="153" t="s">
        <v>257</v>
      </c>
      <c r="F61" s="153" t="s">
        <v>257</v>
      </c>
      <c r="G61" s="153" t="s">
        <v>257</v>
      </c>
      <c r="H61" s="448"/>
      <c r="I61" s="153" t="s">
        <v>272</v>
      </c>
    </row>
    <row r="62" spans="1:21" ht="47.25" customHeight="1">
      <c r="A62" s="45">
        <f>+A45+1</f>
        <v>27</v>
      </c>
      <c r="B62" s="506" t="s">
        <v>308</v>
      </c>
      <c r="C62" s="812">
        <v>0</v>
      </c>
      <c r="D62" s="812">
        <v>0</v>
      </c>
      <c r="E62" s="805">
        <v>0</v>
      </c>
      <c r="F62" s="805">
        <v>0</v>
      </c>
      <c r="G62" s="805">
        <v>0</v>
      </c>
      <c r="H62" s="692"/>
      <c r="I62" s="507" t="str">
        <f>+'1D - ADIT True-up'!I65</f>
        <v>Tax and book differences resulting from accelerated tax depreciation .  Included in prorated amount</v>
      </c>
      <c r="Q62" s="345"/>
      <c r="R62" s="345"/>
      <c r="S62" s="345"/>
      <c r="T62" s="345"/>
      <c r="U62" s="345"/>
    </row>
    <row r="63" spans="1:21" ht="46.5" customHeight="1">
      <c r="A63" s="45">
        <f>+A62+1</f>
        <v>28</v>
      </c>
      <c r="B63" s="333" t="s">
        <v>991</v>
      </c>
      <c r="C63" s="807">
        <v>-3791761</v>
      </c>
      <c r="D63" s="807">
        <v>-4150</v>
      </c>
      <c r="E63" s="807">
        <v>-3787611</v>
      </c>
      <c r="F63" s="807">
        <v>0</v>
      </c>
      <c r="G63" s="807">
        <v>0</v>
      </c>
      <c r="H63" s="691"/>
      <c r="I63" s="655" t="s">
        <v>310</v>
      </c>
      <c r="Q63" s="345"/>
      <c r="R63" s="345"/>
      <c r="S63" s="345"/>
      <c r="T63" s="345"/>
      <c r="U63" s="345"/>
    </row>
    <row r="64" spans="1:21" ht="35.1" customHeight="1" thickBot="1">
      <c r="A64" s="45">
        <f>+A63+1</f>
        <v>29</v>
      </c>
      <c r="B64" s="330" t="s">
        <v>68</v>
      </c>
      <c r="C64" s="558">
        <f>+SUM(C62:C63)</f>
        <v>-3791761</v>
      </c>
      <c r="D64" s="558">
        <f t="shared" ref="D64:G64" si="9">+SUM(D62:D63)</f>
        <v>-4150</v>
      </c>
      <c r="E64" s="558">
        <f t="shared" si="9"/>
        <v>-3787611</v>
      </c>
      <c r="F64" s="558">
        <f t="shared" si="9"/>
        <v>0</v>
      </c>
      <c r="G64" s="558">
        <f t="shared" si="9"/>
        <v>0</v>
      </c>
      <c r="H64" s="558"/>
      <c r="I64" s="329"/>
      <c r="Q64" s="345"/>
      <c r="R64" s="345"/>
      <c r="S64" s="345"/>
      <c r="T64" s="345"/>
      <c r="U64" s="345"/>
    </row>
    <row r="65" spans="2:9" ht="25.15" customHeight="1">
      <c r="B65" s="45" t="s">
        <v>311</v>
      </c>
      <c r="E65" s="59"/>
      <c r="F65" s="469"/>
      <c r="I65" s="447"/>
    </row>
    <row r="66" spans="2:9" ht="21" customHeight="1">
      <c r="B66" s="154" t="s">
        <v>312</v>
      </c>
      <c r="G66" s="59"/>
      <c r="H66" s="59"/>
      <c r="I66" s="59"/>
    </row>
    <row r="67" spans="2:9" ht="15" customHeight="1">
      <c r="B67" s="154" t="s">
        <v>301</v>
      </c>
      <c r="G67" s="59"/>
      <c r="H67" s="59"/>
      <c r="I67" s="59"/>
    </row>
    <row r="68" spans="2:9" ht="19.149999999999999" customHeight="1">
      <c r="B68" s="154" t="s">
        <v>313</v>
      </c>
      <c r="G68" s="59"/>
      <c r="H68" s="59"/>
      <c r="I68" s="59"/>
    </row>
    <row r="69" spans="2:9" ht="18.600000000000001" customHeight="1">
      <c r="B69" s="154" t="s">
        <v>314</v>
      </c>
      <c r="G69" s="59"/>
      <c r="H69" s="59"/>
      <c r="I69" s="59"/>
    </row>
    <row r="70" spans="2:9" ht="18.600000000000001" customHeight="1">
      <c r="B70" s="864" t="s">
        <v>304</v>
      </c>
      <c r="C70" s="864"/>
      <c r="D70" s="864"/>
      <c r="E70" s="864"/>
      <c r="F70" s="864"/>
      <c r="G70" s="864"/>
      <c r="H70" s="864"/>
      <c r="I70" s="864"/>
    </row>
    <row r="71" spans="2:9">
      <c r="B71" s="154" t="s">
        <v>305</v>
      </c>
      <c r="C71" s="59"/>
      <c r="D71" s="471"/>
      <c r="E71" s="59"/>
      <c r="F71" s="59"/>
      <c r="G71" s="59"/>
      <c r="H71" s="59"/>
      <c r="I71" s="447"/>
    </row>
    <row r="72" spans="2:9">
      <c r="F72" s="59"/>
      <c r="G72" s="59"/>
      <c r="H72" s="59"/>
      <c r="I72" s="447"/>
    </row>
    <row r="73" spans="2:9">
      <c r="F73" s="59"/>
      <c r="G73" s="59"/>
      <c r="H73" s="59"/>
      <c r="I73" s="447"/>
    </row>
    <row r="74" spans="2:9" ht="15.75">
      <c r="B74" s="159"/>
    </row>
    <row r="75" spans="2:9" s="151" customFormat="1" ht="18">
      <c r="B75" s="172" t="str">
        <f>B1</f>
        <v>Dayton Power and Light</v>
      </c>
      <c r="C75" s="173"/>
      <c r="D75" s="173"/>
      <c r="E75" s="173"/>
      <c r="F75" s="173"/>
      <c r="G75" s="173"/>
      <c r="H75" s="173"/>
      <c r="I75" s="173"/>
    </row>
    <row r="76" spans="2:9" s="151" customFormat="1" ht="18">
      <c r="B76" s="865" t="str">
        <f>+B55</f>
        <v xml:space="preserve">ATTACHMENT H-15A </v>
      </c>
      <c r="C76" s="865"/>
      <c r="D76" s="865"/>
      <c r="E76" s="865"/>
      <c r="F76" s="865"/>
      <c r="G76" s="865"/>
      <c r="H76" s="865"/>
      <c r="I76" s="865"/>
    </row>
    <row r="77" spans="2:9" s="151" customFormat="1" ht="18">
      <c r="B77" s="865" t="str">
        <f>+B3</f>
        <v>Attachment 1A - Accumulated Deferred Income Taxes (ADIT) Worksheet - Projected December 31, 2023</v>
      </c>
      <c r="C77" s="865"/>
      <c r="D77" s="865"/>
      <c r="E77" s="865"/>
      <c r="F77" s="865"/>
      <c r="G77" s="865"/>
      <c r="H77" s="865"/>
      <c r="I77" s="865"/>
    </row>
    <row r="78" spans="2:9" s="151" customFormat="1" ht="18.75">
      <c r="B78" s="163"/>
      <c r="G78" s="149"/>
      <c r="H78" s="149"/>
      <c r="I78" s="164"/>
    </row>
    <row r="79" spans="2:9" ht="15.75">
      <c r="B79" s="159" t="s">
        <v>207</v>
      </c>
      <c r="C79" s="159" t="s">
        <v>209</v>
      </c>
      <c r="D79" s="159" t="s">
        <v>211</v>
      </c>
      <c r="E79" s="159" t="s">
        <v>213</v>
      </c>
      <c r="F79" s="159" t="s">
        <v>215</v>
      </c>
      <c r="G79" s="159" t="s">
        <v>217</v>
      </c>
      <c r="H79" s="159"/>
      <c r="I79" s="159" t="s">
        <v>219</v>
      </c>
    </row>
    <row r="80" spans="2:9" ht="15.75">
      <c r="B80" s="155" t="s">
        <v>992</v>
      </c>
      <c r="C80" s="159" t="s">
        <v>68</v>
      </c>
      <c r="D80" s="165"/>
      <c r="E80" s="159" t="s">
        <v>57</v>
      </c>
      <c r="F80" s="165" t="s">
        <v>255</v>
      </c>
      <c r="G80" s="165" t="s">
        <v>256</v>
      </c>
      <c r="H80" s="159"/>
    </row>
    <row r="81" spans="1:21" ht="16.149999999999999" customHeight="1" thickBot="1">
      <c r="C81" s="159"/>
      <c r="D81" s="159" t="str">
        <f>+D61</f>
        <v>Excluded</v>
      </c>
      <c r="E81" s="159" t="s">
        <v>257</v>
      </c>
      <c r="F81" s="159"/>
      <c r="G81" s="159"/>
      <c r="H81" s="453"/>
      <c r="I81" s="153" t="s">
        <v>272</v>
      </c>
    </row>
    <row r="82" spans="1:21" ht="25.15" customHeight="1">
      <c r="A82" s="59">
        <f>+A62+1</f>
        <v>28</v>
      </c>
      <c r="B82" s="332" t="s">
        <v>316</v>
      </c>
      <c r="C82" s="805">
        <v>-6274880</v>
      </c>
      <c r="D82" s="805">
        <v>-5277542</v>
      </c>
      <c r="E82" s="805">
        <v>-997338</v>
      </c>
      <c r="F82" s="805">
        <v>0</v>
      </c>
      <c r="G82" s="805">
        <v>0</v>
      </c>
      <c r="H82" s="693"/>
      <c r="I82" s="654" t="s">
        <v>317</v>
      </c>
      <c r="Q82" s="345"/>
      <c r="R82" s="345"/>
      <c r="S82" s="345"/>
      <c r="T82" s="345"/>
      <c r="U82" s="345"/>
    </row>
    <row r="83" spans="1:21" ht="33.6" customHeight="1">
      <c r="A83" s="59">
        <f>+A82+1</f>
        <v>29</v>
      </c>
      <c r="B83" s="333" t="s">
        <v>318</v>
      </c>
      <c r="C83" s="807">
        <v>-857412</v>
      </c>
      <c r="D83" s="807">
        <f>+C83</f>
        <v>-857412</v>
      </c>
      <c r="E83" s="807">
        <v>0</v>
      </c>
      <c r="F83" s="807">
        <v>0</v>
      </c>
      <c r="G83" s="807">
        <v>0</v>
      </c>
      <c r="H83" s="694"/>
      <c r="I83" s="410" t="s">
        <v>319</v>
      </c>
      <c r="Q83" s="345"/>
      <c r="R83" s="345"/>
      <c r="S83" s="345"/>
      <c r="T83" s="345"/>
      <c r="U83" s="345"/>
    </row>
    <row r="84" spans="1:21" ht="36.75" customHeight="1">
      <c r="A84" s="59">
        <f t="shared" ref="A84:A92" si="10">+A83+1</f>
        <v>30</v>
      </c>
      <c r="B84" s="333" t="s">
        <v>320</v>
      </c>
      <c r="C84" s="807">
        <v>-19748578</v>
      </c>
      <c r="D84" s="807">
        <f>+C84</f>
        <v>-19748578</v>
      </c>
      <c r="E84" s="807">
        <f>+C84-D84</f>
        <v>0</v>
      </c>
      <c r="F84" s="807">
        <v>0</v>
      </c>
      <c r="G84" s="807">
        <v>0</v>
      </c>
      <c r="H84" s="694"/>
      <c r="I84" s="410" t="s">
        <v>321</v>
      </c>
      <c r="Q84" s="345"/>
      <c r="R84" s="345"/>
      <c r="S84" s="345"/>
      <c r="T84" s="345"/>
      <c r="U84" s="345"/>
    </row>
    <row r="85" spans="1:21" ht="31.5" customHeight="1">
      <c r="A85" s="59">
        <f t="shared" si="10"/>
        <v>31</v>
      </c>
      <c r="B85" s="333" t="s">
        <v>322</v>
      </c>
      <c r="C85" s="807">
        <v>-21364936</v>
      </c>
      <c r="D85" s="807">
        <f>+C85</f>
        <v>-21364936</v>
      </c>
      <c r="E85" s="807">
        <v>0</v>
      </c>
      <c r="F85" s="807">
        <v>0</v>
      </c>
      <c r="G85" s="807">
        <v>0</v>
      </c>
      <c r="H85" s="694"/>
      <c r="I85" s="410" t="s">
        <v>323</v>
      </c>
      <c r="Q85" s="345"/>
      <c r="R85" s="345"/>
      <c r="S85" s="345"/>
      <c r="T85" s="345"/>
      <c r="U85" s="345"/>
    </row>
    <row r="86" spans="1:21" ht="25.15" customHeight="1">
      <c r="A86" s="59">
        <f t="shared" si="10"/>
        <v>32</v>
      </c>
      <c r="B86" s="505" t="s">
        <v>324</v>
      </c>
      <c r="C86" s="807">
        <v>14073056</v>
      </c>
      <c r="D86" s="807">
        <v>0</v>
      </c>
      <c r="E86" s="807">
        <v>0</v>
      </c>
      <c r="F86" s="807">
        <f>C86</f>
        <v>14073056</v>
      </c>
      <c r="G86" s="807">
        <v>0</v>
      </c>
      <c r="H86" s="694"/>
      <c r="I86" s="406" t="s">
        <v>279</v>
      </c>
      <c r="Q86" s="345"/>
      <c r="R86" s="345"/>
      <c r="S86" s="345"/>
      <c r="T86" s="345"/>
      <c r="U86" s="345"/>
    </row>
    <row r="87" spans="1:21" ht="25.15" customHeight="1">
      <c r="A87" s="59">
        <f t="shared" si="10"/>
        <v>33</v>
      </c>
      <c r="B87" s="333" t="s">
        <v>325</v>
      </c>
      <c r="C87" s="807">
        <v>805104</v>
      </c>
      <c r="D87" s="807">
        <v>0</v>
      </c>
      <c r="E87" s="807">
        <v>0</v>
      </c>
      <c r="F87" s="807">
        <v>0</v>
      </c>
      <c r="G87" s="807">
        <f>C87</f>
        <v>805104</v>
      </c>
      <c r="H87" s="694"/>
      <c r="I87" s="410" t="s">
        <v>326</v>
      </c>
      <c r="Q87" s="345"/>
      <c r="R87" s="345"/>
      <c r="S87" s="345"/>
      <c r="T87" s="345"/>
      <c r="U87" s="345"/>
    </row>
    <row r="88" spans="1:21" ht="35.25" customHeight="1">
      <c r="A88" s="59">
        <f>+A87+1</f>
        <v>34</v>
      </c>
      <c r="B88" s="333" t="s">
        <v>294</v>
      </c>
      <c r="C88" s="807">
        <v>9512085</v>
      </c>
      <c r="D88" s="807">
        <f>C88</f>
        <v>9512085</v>
      </c>
      <c r="E88" s="807">
        <v>0</v>
      </c>
      <c r="F88" s="807">
        <v>0</v>
      </c>
      <c r="G88" s="807">
        <v>0</v>
      </c>
      <c r="H88" s="694"/>
      <c r="I88" s="410" t="s">
        <v>327</v>
      </c>
      <c r="Q88" s="345"/>
      <c r="R88" s="345"/>
      <c r="S88" s="345"/>
      <c r="T88" s="345"/>
      <c r="U88" s="345"/>
    </row>
    <row r="89" spans="1:21" ht="25.15" customHeight="1">
      <c r="A89" s="59">
        <f t="shared" si="10"/>
        <v>35</v>
      </c>
      <c r="B89" s="174" t="s">
        <v>328</v>
      </c>
      <c r="C89" s="563">
        <f>SUM(C80:C88)</f>
        <v>-23855561</v>
      </c>
      <c r="D89" s="563">
        <f>SUM(D80:D88)</f>
        <v>-37736383</v>
      </c>
      <c r="E89" s="563">
        <f>SUM(E80:E88)</f>
        <v>-997338</v>
      </c>
      <c r="F89" s="563">
        <f>SUM(F80:F88)</f>
        <v>14073056</v>
      </c>
      <c r="G89" s="563">
        <f t="shared" ref="G89" si="11">SUM(G80:G88)</f>
        <v>805104</v>
      </c>
      <c r="H89" s="563"/>
      <c r="I89" s="175"/>
      <c r="Q89" s="345"/>
      <c r="R89" s="345"/>
      <c r="S89" s="345"/>
      <c r="T89" s="345"/>
      <c r="U89" s="345"/>
    </row>
    <row r="90" spans="1:21" ht="25.15" customHeight="1">
      <c r="A90" s="59">
        <f t="shared" si="10"/>
        <v>36</v>
      </c>
      <c r="B90" s="166" t="s">
        <v>329</v>
      </c>
      <c r="C90" s="555">
        <f t="shared" ref="C90:G90" si="12">+C86</f>
        <v>14073056</v>
      </c>
      <c r="D90" s="555">
        <f t="shared" si="12"/>
        <v>0</v>
      </c>
      <c r="E90" s="555">
        <f t="shared" si="12"/>
        <v>0</v>
      </c>
      <c r="F90" s="555">
        <f t="shared" si="12"/>
        <v>14073056</v>
      </c>
      <c r="G90" s="555">
        <f t="shared" si="12"/>
        <v>0</v>
      </c>
      <c r="H90" s="555"/>
      <c r="I90" s="167"/>
      <c r="Q90" s="345"/>
      <c r="R90" s="345"/>
      <c r="S90" s="345"/>
      <c r="T90" s="345"/>
      <c r="U90" s="345"/>
    </row>
    <row r="91" spans="1:21" ht="25.15" customHeight="1">
      <c r="A91" s="59">
        <f t="shared" si="10"/>
        <v>37</v>
      </c>
      <c r="B91" s="396" t="s">
        <v>330</v>
      </c>
      <c r="C91" s="564">
        <f t="shared" ref="C91:G91" si="13">+C83</f>
        <v>-857412</v>
      </c>
      <c r="D91" s="564">
        <f t="shared" si="13"/>
        <v>-857412</v>
      </c>
      <c r="E91" s="564">
        <f t="shared" si="13"/>
        <v>0</v>
      </c>
      <c r="F91" s="564">
        <f t="shared" si="13"/>
        <v>0</v>
      </c>
      <c r="G91" s="564">
        <f t="shared" si="13"/>
        <v>0</v>
      </c>
      <c r="H91" s="564"/>
      <c r="I91" s="397" t="s">
        <v>331</v>
      </c>
      <c r="Q91" s="345"/>
      <c r="R91" s="345"/>
      <c r="S91" s="345"/>
      <c r="T91" s="345"/>
      <c r="U91" s="345"/>
    </row>
    <row r="92" spans="1:21" ht="35.1" customHeight="1" thickBot="1">
      <c r="A92" s="59">
        <f t="shared" si="10"/>
        <v>38</v>
      </c>
      <c r="B92" s="330" t="s">
        <v>68</v>
      </c>
      <c r="C92" s="558">
        <f>+C89-C90-C91</f>
        <v>-37071205</v>
      </c>
      <c r="D92" s="558">
        <f t="shared" ref="D92:G92" si="14">+D89-D90-D91</f>
        <v>-36878971</v>
      </c>
      <c r="E92" s="558">
        <f t="shared" si="14"/>
        <v>-997338</v>
      </c>
      <c r="F92" s="558">
        <f t="shared" si="14"/>
        <v>0</v>
      </c>
      <c r="G92" s="558">
        <f t="shared" si="14"/>
        <v>805104</v>
      </c>
      <c r="H92" s="558"/>
      <c r="I92" s="329"/>
      <c r="Q92" s="345"/>
      <c r="R92" s="345"/>
      <c r="S92" s="345"/>
      <c r="T92" s="345"/>
      <c r="U92" s="345"/>
    </row>
    <row r="93" spans="1:21">
      <c r="C93" s="156"/>
      <c r="D93" s="156"/>
      <c r="E93" s="156"/>
      <c r="F93" s="156"/>
      <c r="G93" s="156"/>
      <c r="H93" s="156"/>
      <c r="I93" s="447"/>
      <c r="Q93" s="345"/>
      <c r="R93" s="345"/>
      <c r="S93" s="345"/>
      <c r="T93" s="345"/>
      <c r="U93" s="345"/>
    </row>
    <row r="94" spans="1:21" ht="20.45" customHeight="1">
      <c r="B94" s="45" t="s">
        <v>332</v>
      </c>
      <c r="E94" s="59"/>
      <c r="F94" s="59"/>
      <c r="I94" s="168"/>
    </row>
    <row r="95" spans="1:21" ht="21" customHeight="1">
      <c r="B95" s="154" t="str">
        <f>+B66</f>
        <v>1.  ADIT items related only to Non-Electric Operations or Production are directly assigned to Column C</v>
      </c>
      <c r="G95" s="59"/>
      <c r="H95" s="59"/>
      <c r="I95" s="59"/>
    </row>
    <row r="96" spans="1:21" ht="19.149999999999999" customHeight="1">
      <c r="B96" s="154" t="s">
        <v>301</v>
      </c>
      <c r="G96" s="59"/>
      <c r="H96" s="59"/>
      <c r="I96" s="59"/>
    </row>
    <row r="97" spans="2:9" ht="17.45" customHeight="1">
      <c r="B97" s="154" t="s">
        <v>313</v>
      </c>
      <c r="G97" s="59"/>
      <c r="H97" s="59"/>
      <c r="I97" s="59"/>
    </row>
    <row r="98" spans="2:9" ht="19.149999999999999" customHeight="1">
      <c r="B98" s="154" t="s">
        <v>314</v>
      </c>
      <c r="G98" s="59"/>
      <c r="H98" s="59"/>
      <c r="I98" s="59"/>
    </row>
    <row r="99" spans="2:9" ht="19.149999999999999" customHeight="1">
      <c r="B99" s="864" t="s">
        <v>304</v>
      </c>
      <c r="C99" s="864"/>
      <c r="D99" s="864"/>
      <c r="E99" s="864"/>
      <c r="F99" s="864"/>
      <c r="G99" s="864"/>
      <c r="H99" s="864"/>
      <c r="I99" s="864"/>
    </row>
    <row r="100" spans="2:9">
      <c r="B100" s="154" t="s">
        <v>305</v>
      </c>
      <c r="C100" s="59"/>
      <c r="D100" s="471"/>
      <c r="E100" s="59"/>
      <c r="F100" s="59"/>
      <c r="G100" s="59"/>
      <c r="H100" s="59"/>
      <c r="I100" s="447"/>
    </row>
    <row r="101" spans="2:9" ht="15.75">
      <c r="B101" s="169"/>
      <c r="C101" s="170"/>
      <c r="D101" s="170"/>
      <c r="E101" s="170"/>
      <c r="F101" s="170"/>
      <c r="G101" s="170"/>
      <c r="H101" s="170"/>
      <c r="I101" s="170"/>
    </row>
    <row r="102" spans="2:9" ht="15.75">
      <c r="B102" s="863"/>
      <c r="C102" s="863"/>
      <c r="D102" s="863"/>
      <c r="E102" s="863"/>
      <c r="F102" s="863"/>
      <c r="G102" s="863"/>
      <c r="H102" s="863"/>
      <c r="I102" s="863"/>
    </row>
    <row r="103" spans="2:9">
      <c r="B103" s="45"/>
    </row>
    <row r="104" spans="2:9">
      <c r="B104" s="45"/>
    </row>
    <row r="105" spans="2:9">
      <c r="B105" s="45"/>
    </row>
    <row r="106" spans="2:9" ht="15.75">
      <c r="B106" s="58"/>
      <c r="D106" s="171"/>
      <c r="E106" s="171"/>
      <c r="F106" s="171"/>
      <c r="G106" s="171"/>
      <c r="H106" s="171"/>
      <c r="I106" s="171"/>
    </row>
    <row r="107" spans="2:9" ht="15.75">
      <c r="B107" s="58"/>
      <c r="D107" s="171"/>
      <c r="E107" s="171"/>
      <c r="F107" s="171"/>
      <c r="G107" s="171"/>
      <c r="H107" s="171"/>
      <c r="I107" s="171"/>
    </row>
    <row r="108" spans="2:9">
      <c r="D108" s="59"/>
      <c r="E108" s="59"/>
    </row>
    <row r="109" spans="2:9">
      <c r="D109" s="17"/>
      <c r="E109" s="17"/>
    </row>
    <row r="110" spans="2:9">
      <c r="D110" s="17"/>
      <c r="E110" s="17"/>
    </row>
    <row r="111" spans="2:9">
      <c r="D111" s="17"/>
      <c r="E111" s="17"/>
    </row>
    <row r="112" spans="2:9">
      <c r="D112" s="17"/>
      <c r="E112" s="17"/>
    </row>
    <row r="113" spans="2:5">
      <c r="D113" s="17"/>
      <c r="E113" s="17"/>
    </row>
    <row r="114" spans="2:5">
      <c r="D114" s="17"/>
      <c r="E114" s="17"/>
    </row>
    <row r="115" spans="2:5">
      <c r="D115" s="17"/>
      <c r="E115" s="17"/>
    </row>
    <row r="116" spans="2:5">
      <c r="D116" s="17"/>
      <c r="E116" s="17"/>
    </row>
    <row r="117" spans="2:5">
      <c r="D117" s="17"/>
      <c r="E117" s="17"/>
    </row>
    <row r="118" spans="2:5">
      <c r="D118" s="17"/>
      <c r="E118" s="17"/>
    </row>
    <row r="119" spans="2:5">
      <c r="B119" s="45"/>
      <c r="D119" s="17"/>
      <c r="E119" s="17"/>
    </row>
    <row r="120" spans="2:5">
      <c r="D120" s="17"/>
      <c r="E120" s="17"/>
    </row>
    <row r="121" spans="2:5">
      <c r="B121" s="45"/>
      <c r="D121" s="17"/>
      <c r="E121" s="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B7" sqref="B7"/>
    </sheetView>
  </sheetViews>
  <sheetFormatPr defaultRowHeight="12.75"/>
  <cols>
    <col min="1" max="1" width="4.5703125" customWidth="1"/>
    <col min="2" max="2" width="33.7109375" customWidth="1"/>
    <col min="3" max="3" width="12.140625" bestFit="1" customWidth="1"/>
    <col min="4" max="4" width="12.140625" customWidth="1"/>
    <col min="5" max="5" width="17.42578125" customWidth="1"/>
    <col min="6" max="6" width="12.140625" customWidth="1"/>
    <col min="7" max="7" width="13.140625" bestFit="1" customWidth="1"/>
    <col min="8" max="8" width="18.28515625" customWidth="1"/>
    <col min="9" max="9" width="16.140625" customWidth="1"/>
    <col min="10" max="10" width="16.42578125" customWidth="1"/>
    <col min="11" max="13" width="14.7109375" customWidth="1"/>
    <col min="14" max="14" width="19.42578125" customWidth="1"/>
    <col min="15" max="15" width="13.5703125" bestFit="1" customWidth="1"/>
    <col min="16" max="16" width="11.28515625" customWidth="1"/>
    <col min="17" max="17" width="12.140625" bestFit="1" customWidth="1"/>
    <col min="18" max="18" width="14.7109375" customWidth="1"/>
    <col min="19" max="19" width="21.7109375" customWidth="1"/>
  </cols>
  <sheetData>
    <row r="1" spans="1:19" ht="18">
      <c r="H1" s="796" t="s">
        <v>0</v>
      </c>
      <c r="S1" s="628"/>
    </row>
    <row r="2" spans="1:19" ht="18">
      <c r="H2" s="796" t="s">
        <v>333</v>
      </c>
    </row>
    <row r="3" spans="1:19" ht="18">
      <c r="B3" s="393"/>
      <c r="C3" s="402"/>
      <c r="D3" s="402"/>
      <c r="E3" s="402"/>
      <c r="F3" s="402"/>
      <c r="G3" s="402"/>
      <c r="H3" s="433" t="s">
        <v>1000</v>
      </c>
      <c r="I3" s="400"/>
      <c r="J3" s="402"/>
      <c r="K3" s="402"/>
      <c r="L3" s="402"/>
      <c r="M3" s="402"/>
      <c r="N3" s="402"/>
      <c r="O3" s="402"/>
      <c r="P3" s="402"/>
      <c r="Q3" s="402"/>
      <c r="R3" s="402"/>
    </row>
    <row r="4" spans="1:19" ht="18">
      <c r="B4" s="393"/>
      <c r="C4" s="402"/>
      <c r="D4" s="402"/>
      <c r="E4" s="402"/>
      <c r="F4" s="402"/>
      <c r="G4" s="402"/>
      <c r="H4" s="433"/>
      <c r="I4" s="400"/>
      <c r="J4" s="402"/>
      <c r="K4" s="402"/>
      <c r="L4" s="402"/>
      <c r="M4" s="402"/>
      <c r="N4" s="402"/>
      <c r="O4" s="402"/>
      <c r="P4" s="402"/>
      <c r="Q4" s="402"/>
      <c r="R4" s="402"/>
    </row>
    <row r="5" spans="1:19" ht="18">
      <c r="B5" s="45" t="s">
        <v>334</v>
      </c>
      <c r="C5" s="402"/>
      <c r="D5" s="402"/>
      <c r="E5" s="402"/>
      <c r="F5" s="402"/>
      <c r="G5" s="402"/>
      <c r="H5" s="433"/>
      <c r="I5" s="400"/>
      <c r="J5" s="402"/>
      <c r="K5" s="402"/>
      <c r="L5" s="402"/>
      <c r="M5" s="402"/>
      <c r="N5" s="402"/>
      <c r="O5" s="402"/>
      <c r="P5" s="402"/>
      <c r="Q5" s="402"/>
      <c r="R5" s="402"/>
    </row>
    <row r="6" spans="1:19" ht="15">
      <c r="A6" s="45"/>
      <c r="B6" s="542" t="s">
        <v>1021</v>
      </c>
      <c r="C6" s="392"/>
      <c r="D6" s="392"/>
      <c r="E6" s="392"/>
      <c r="F6" s="392"/>
      <c r="G6" s="392"/>
      <c r="H6" s="45"/>
      <c r="I6" s="45"/>
      <c r="J6" s="392"/>
      <c r="K6" s="392"/>
      <c r="L6" s="392"/>
      <c r="M6" s="392"/>
      <c r="N6" s="392"/>
      <c r="O6" s="392"/>
      <c r="P6" s="392"/>
      <c r="Q6" s="392"/>
      <c r="R6" s="392"/>
    </row>
    <row r="7" spans="1:19" ht="15">
      <c r="A7" s="45"/>
      <c r="B7" s="398" t="s">
        <v>996</v>
      </c>
      <c r="C7" s="392"/>
      <c r="D7" s="392"/>
      <c r="E7" s="392"/>
      <c r="F7" s="392"/>
      <c r="G7" s="392"/>
      <c r="H7" s="392"/>
      <c r="I7" s="392"/>
      <c r="J7" s="392"/>
      <c r="K7" s="392"/>
      <c r="L7" s="392"/>
      <c r="M7" s="392"/>
      <c r="N7" s="392"/>
      <c r="O7" s="392"/>
      <c r="P7" s="392"/>
      <c r="Q7" s="392"/>
      <c r="R7" s="392"/>
    </row>
    <row r="8" spans="1:19" ht="15">
      <c r="A8" s="45"/>
      <c r="B8" s="393" t="s">
        <v>335</v>
      </c>
      <c r="C8" s="393" t="s">
        <v>336</v>
      </c>
      <c r="D8" s="393" t="s">
        <v>337</v>
      </c>
      <c r="E8" s="393" t="s">
        <v>338</v>
      </c>
      <c r="F8" s="393" t="s">
        <v>339</v>
      </c>
      <c r="G8" s="393" t="s">
        <v>340</v>
      </c>
      <c r="H8" s="393" t="s">
        <v>341</v>
      </c>
      <c r="I8" s="393" t="s">
        <v>342</v>
      </c>
      <c r="J8" s="393" t="s">
        <v>343</v>
      </c>
      <c r="K8" s="393" t="s">
        <v>344</v>
      </c>
      <c r="L8" s="393" t="s">
        <v>345</v>
      </c>
      <c r="M8" s="393" t="s">
        <v>346</v>
      </c>
      <c r="N8" s="393" t="s">
        <v>347</v>
      </c>
      <c r="O8" s="393" t="s">
        <v>348</v>
      </c>
      <c r="P8" s="393" t="s">
        <v>349</v>
      </c>
      <c r="Q8" s="393" t="s">
        <v>350</v>
      </c>
      <c r="R8" s="393" t="s">
        <v>351</v>
      </c>
      <c r="S8" s="393" t="s">
        <v>352</v>
      </c>
    </row>
    <row r="9" spans="1:19" ht="75">
      <c r="A9" s="45"/>
      <c r="B9" s="399" t="s">
        <v>353</v>
      </c>
      <c r="C9" s="399" t="s">
        <v>354</v>
      </c>
      <c r="D9" s="399" t="s">
        <v>355</v>
      </c>
      <c r="E9" s="399" t="s">
        <v>356</v>
      </c>
      <c r="F9" s="399" t="s">
        <v>357</v>
      </c>
      <c r="G9" s="399" t="s">
        <v>358</v>
      </c>
      <c r="H9" s="399" t="s">
        <v>359</v>
      </c>
      <c r="I9" s="399" t="s">
        <v>57</v>
      </c>
      <c r="J9" s="399" t="s">
        <v>360</v>
      </c>
      <c r="K9" s="399" t="s">
        <v>361</v>
      </c>
      <c r="L9" s="399" t="s">
        <v>21</v>
      </c>
      <c r="M9" s="399" t="s">
        <v>362</v>
      </c>
      <c r="N9" s="399" t="s">
        <v>363</v>
      </c>
      <c r="O9" s="399" t="s">
        <v>364</v>
      </c>
      <c r="P9" s="399" t="s">
        <v>69</v>
      </c>
      <c r="Q9" s="399" t="s">
        <v>365</v>
      </c>
      <c r="R9" s="399" t="s">
        <v>366</v>
      </c>
      <c r="S9" s="399" t="s">
        <v>367</v>
      </c>
    </row>
    <row r="10" spans="1:19" ht="15">
      <c r="A10" s="45"/>
      <c r="B10" s="398"/>
      <c r="C10" s="393"/>
      <c r="D10" s="393"/>
      <c r="E10" s="393"/>
      <c r="F10" s="393"/>
      <c r="G10" s="393"/>
      <c r="H10" s="393"/>
      <c r="I10" s="393"/>
      <c r="J10" s="392"/>
      <c r="K10" s="392"/>
      <c r="L10" s="392"/>
      <c r="M10" s="392"/>
      <c r="N10" s="392"/>
      <c r="O10" s="392"/>
      <c r="P10" s="392"/>
      <c r="Q10" s="392"/>
      <c r="R10" s="179"/>
      <c r="S10" s="179"/>
    </row>
    <row r="11" spans="1:19" ht="45">
      <c r="A11" s="59">
        <v>1</v>
      </c>
      <c r="B11" s="456" t="s">
        <v>368</v>
      </c>
      <c r="C11" s="813">
        <v>2022</v>
      </c>
      <c r="D11" s="455"/>
      <c r="E11" s="455"/>
      <c r="F11" s="455"/>
      <c r="G11" s="43">
        <f>365/365</f>
        <v>1</v>
      </c>
      <c r="H11" s="565">
        <f>+J11+N11+R11</f>
        <v>-34507818.389197618</v>
      </c>
      <c r="I11" s="566">
        <v>-33444051</v>
      </c>
      <c r="J11" s="567">
        <f>G11*I11</f>
        <v>-33444051</v>
      </c>
      <c r="K11" s="566">
        <v>0</v>
      </c>
      <c r="L11" s="463">
        <f>+'Appendix A'!$H$27</f>
        <v>0.22074546692968111</v>
      </c>
      <c r="M11" s="630">
        <f>+K11*L11</f>
        <v>0</v>
      </c>
      <c r="N11" s="567">
        <f>+G11*M11</f>
        <v>0</v>
      </c>
      <c r="O11" s="566">
        <v>-8321702</v>
      </c>
      <c r="P11" s="463">
        <f>+'Appendix A'!$H$16</f>
        <v>0.12783050741274057</v>
      </c>
      <c r="Q11" s="630">
        <f>+O11*P11</f>
        <v>-1063767.389197618</v>
      </c>
      <c r="R11" s="567">
        <f>+G11*Q11</f>
        <v>-1063767.389197618</v>
      </c>
      <c r="S11" s="5">
        <f>+J11+N11+R11</f>
        <v>-34507818.389197618</v>
      </c>
    </row>
    <row r="12" spans="1:19" ht="15">
      <c r="A12" s="59">
        <f>+A11+1</f>
        <v>2</v>
      </c>
      <c r="B12" s="392" t="s">
        <v>369</v>
      </c>
      <c r="C12" s="813">
        <v>2023</v>
      </c>
      <c r="D12" s="411">
        <v>31</v>
      </c>
      <c r="E12" s="412">
        <f>E13+D13</f>
        <v>335</v>
      </c>
      <c r="F12" s="412">
        <f>SUM(D12:D23)</f>
        <v>365</v>
      </c>
      <c r="G12" s="43">
        <f>335/365</f>
        <v>0.9178082191780822</v>
      </c>
      <c r="H12" s="565">
        <f t="shared" ref="H12:H24" si="0">+J12+N12+R12</f>
        <v>-173172.89800985201</v>
      </c>
      <c r="I12" s="566">
        <v>-166036</v>
      </c>
      <c r="J12" s="567">
        <f t="shared" ref="J12:J23" si="1">G12*I12</f>
        <v>-152389.20547945207</v>
      </c>
      <c r="K12" s="566">
        <v>0</v>
      </c>
      <c r="L12" s="463">
        <f>+'Appendix A'!$H$27</f>
        <v>0.22074546692968111</v>
      </c>
      <c r="M12" s="630">
        <f t="shared" ref="M12:M23" si="2">+K12*L12</f>
        <v>0</v>
      </c>
      <c r="N12" s="567">
        <f t="shared" ref="N12:N23" si="3">+G12*M12</f>
        <v>0</v>
      </c>
      <c r="O12" s="566">
        <v>-177148</v>
      </c>
      <c r="P12" s="463">
        <f>+'Appendix A'!$H$16</f>
        <v>0.12783050741274057</v>
      </c>
      <c r="Q12" s="630">
        <f t="shared" ref="Q12:Q23" si="4">+O12*P12</f>
        <v>-22644.918727152166</v>
      </c>
      <c r="R12" s="567">
        <f t="shared" ref="R12:R23" si="5">+G12*Q12</f>
        <v>-20783.692530399934</v>
      </c>
      <c r="S12" s="5">
        <f t="shared" ref="S12:S24" si="6">+J12+N12+R12</f>
        <v>-173172.89800985201</v>
      </c>
    </row>
    <row r="13" spans="1:19" ht="15">
      <c r="A13" s="59">
        <f t="shared" ref="A13:A24" si="7">+A12+1</f>
        <v>3</v>
      </c>
      <c r="B13" s="392" t="s">
        <v>370</v>
      </c>
      <c r="C13" s="455">
        <f>+$C$12</f>
        <v>2023</v>
      </c>
      <c r="D13" s="413">
        <v>28</v>
      </c>
      <c r="E13" s="412">
        <f t="shared" ref="E13:E20" si="8">E14+D14</f>
        <v>307</v>
      </c>
      <c r="F13" s="412">
        <f>F12</f>
        <v>365</v>
      </c>
      <c r="G13" s="43">
        <f>307/365</f>
        <v>0.84109589041095889</v>
      </c>
      <c r="H13" s="565">
        <f t="shared" si="0"/>
        <v>-158698.74534037182</v>
      </c>
      <c r="I13" s="566">
        <v>-166036</v>
      </c>
      <c r="J13" s="567">
        <f t="shared" si="1"/>
        <v>-139652.19726027397</v>
      </c>
      <c r="K13" s="566">
        <v>0</v>
      </c>
      <c r="L13" s="463">
        <f>+'Appendix A'!$H$27</f>
        <v>0.22074546692968111</v>
      </c>
      <c r="M13" s="630">
        <f t="shared" si="2"/>
        <v>0</v>
      </c>
      <c r="N13" s="567">
        <f t="shared" si="3"/>
        <v>0</v>
      </c>
      <c r="O13" s="566">
        <v>-177148</v>
      </c>
      <c r="P13" s="463">
        <f>+'Appendix A'!$H$16</f>
        <v>0.12783050741274057</v>
      </c>
      <c r="Q13" s="630">
        <f t="shared" si="4"/>
        <v>-22644.918727152166</v>
      </c>
      <c r="R13" s="567">
        <f t="shared" si="5"/>
        <v>-19046.548080097848</v>
      </c>
      <c r="S13" s="5">
        <f t="shared" si="6"/>
        <v>-158698.74534037182</v>
      </c>
    </row>
    <row r="14" spans="1:19" ht="15">
      <c r="A14" s="59">
        <f t="shared" si="7"/>
        <v>4</v>
      </c>
      <c r="B14" s="392" t="s">
        <v>371</v>
      </c>
      <c r="C14" s="455">
        <f t="shared" ref="C14:C23" si="9">+$C$12</f>
        <v>2023</v>
      </c>
      <c r="D14" s="411">
        <v>31</v>
      </c>
      <c r="E14" s="412">
        <f t="shared" si="8"/>
        <v>276</v>
      </c>
      <c r="F14" s="412">
        <f t="shared" ref="F14:F23" si="10">F13</f>
        <v>365</v>
      </c>
      <c r="G14" s="43">
        <f>276/365</f>
        <v>0.75616438356164384</v>
      </c>
      <c r="H14" s="565">
        <f t="shared" si="0"/>
        <v>-142673.79059916164</v>
      </c>
      <c r="I14" s="566">
        <v>-166036</v>
      </c>
      <c r="J14" s="567">
        <f t="shared" si="1"/>
        <v>-125550.5095890411</v>
      </c>
      <c r="K14" s="566">
        <v>0</v>
      </c>
      <c r="L14" s="463">
        <f>+'Appendix A'!$H$27</f>
        <v>0.22074546692968111</v>
      </c>
      <c r="M14" s="630">
        <f t="shared" si="2"/>
        <v>0</v>
      </c>
      <c r="N14" s="567">
        <f t="shared" si="3"/>
        <v>0</v>
      </c>
      <c r="O14" s="566">
        <v>-177148</v>
      </c>
      <c r="P14" s="463">
        <f>+'Appendix A'!$H$16</f>
        <v>0.12783050741274057</v>
      </c>
      <c r="Q14" s="630">
        <f t="shared" si="4"/>
        <v>-22644.918727152166</v>
      </c>
      <c r="R14" s="567">
        <f t="shared" si="5"/>
        <v>-17123.281010120543</v>
      </c>
      <c r="S14" s="5">
        <f t="shared" si="6"/>
        <v>-142673.79059916164</v>
      </c>
    </row>
    <row r="15" spans="1:19" ht="15">
      <c r="A15" s="59">
        <f t="shared" si="7"/>
        <v>5</v>
      </c>
      <c r="B15" s="392" t="s">
        <v>372</v>
      </c>
      <c r="C15" s="455">
        <f t="shared" si="9"/>
        <v>2023</v>
      </c>
      <c r="D15" s="411">
        <v>30</v>
      </c>
      <c r="E15" s="412">
        <f t="shared" si="8"/>
        <v>246</v>
      </c>
      <c r="F15" s="412">
        <f t="shared" si="10"/>
        <v>365</v>
      </c>
      <c r="G15" s="43">
        <f>246/365</f>
        <v>0.67397260273972603</v>
      </c>
      <c r="H15" s="565">
        <f t="shared" si="0"/>
        <v>-127165.76988186146</v>
      </c>
      <c r="I15" s="566">
        <v>-166036</v>
      </c>
      <c r="J15" s="567">
        <f t="shared" si="1"/>
        <v>-111903.71506849315</v>
      </c>
      <c r="K15" s="566">
        <v>0</v>
      </c>
      <c r="L15" s="463">
        <f>+'Appendix A'!$H$27</f>
        <v>0.22074546692968111</v>
      </c>
      <c r="M15" s="630">
        <f t="shared" si="2"/>
        <v>0</v>
      </c>
      <c r="N15" s="567">
        <f t="shared" si="3"/>
        <v>0</v>
      </c>
      <c r="O15" s="566">
        <v>-177148</v>
      </c>
      <c r="P15" s="463">
        <f>+'Appendix A'!$H$16</f>
        <v>0.12783050741274057</v>
      </c>
      <c r="Q15" s="630">
        <f t="shared" si="4"/>
        <v>-22644.918727152166</v>
      </c>
      <c r="R15" s="567">
        <f t="shared" si="5"/>
        <v>-15262.05481336831</v>
      </c>
      <c r="S15" s="5">
        <f t="shared" si="6"/>
        <v>-127165.76988186146</v>
      </c>
    </row>
    <row r="16" spans="1:19" ht="15">
      <c r="A16" s="59">
        <f t="shared" si="7"/>
        <v>6</v>
      </c>
      <c r="B16" s="392" t="s">
        <v>373</v>
      </c>
      <c r="C16" s="455">
        <f t="shared" si="9"/>
        <v>2023</v>
      </c>
      <c r="D16" s="411">
        <v>31</v>
      </c>
      <c r="E16" s="412">
        <f t="shared" si="8"/>
        <v>215</v>
      </c>
      <c r="F16" s="412">
        <f t="shared" si="10"/>
        <v>365</v>
      </c>
      <c r="G16" s="43">
        <f>215/365</f>
        <v>0.58904109589041098</v>
      </c>
      <c r="H16" s="565">
        <f t="shared" si="0"/>
        <v>-111140.81514065128</v>
      </c>
      <c r="I16" s="566">
        <v>-166036</v>
      </c>
      <c r="J16" s="567">
        <f t="shared" si="1"/>
        <v>-97802.027397260274</v>
      </c>
      <c r="K16" s="566">
        <v>0</v>
      </c>
      <c r="L16" s="463">
        <f>+'Appendix A'!$H$27</f>
        <v>0.22074546692968111</v>
      </c>
      <c r="M16" s="630">
        <f t="shared" si="2"/>
        <v>0</v>
      </c>
      <c r="N16" s="567">
        <f t="shared" si="3"/>
        <v>0</v>
      </c>
      <c r="O16" s="566">
        <v>-177148</v>
      </c>
      <c r="P16" s="463">
        <f>+'Appendix A'!$H$16</f>
        <v>0.12783050741274057</v>
      </c>
      <c r="Q16" s="630">
        <f t="shared" si="4"/>
        <v>-22644.918727152166</v>
      </c>
      <c r="R16" s="567">
        <f t="shared" si="5"/>
        <v>-13338.787743391002</v>
      </c>
      <c r="S16" s="5">
        <f t="shared" si="6"/>
        <v>-111140.81514065128</v>
      </c>
    </row>
    <row r="17" spans="1:19" ht="15">
      <c r="A17" s="59">
        <f t="shared" si="7"/>
        <v>7</v>
      </c>
      <c r="B17" s="392" t="s">
        <v>374</v>
      </c>
      <c r="C17" s="455">
        <f t="shared" si="9"/>
        <v>2023</v>
      </c>
      <c r="D17" s="411">
        <v>30</v>
      </c>
      <c r="E17" s="412">
        <f t="shared" si="8"/>
        <v>185</v>
      </c>
      <c r="F17" s="412">
        <f t="shared" si="10"/>
        <v>365</v>
      </c>
      <c r="G17" s="43">
        <f>185/365</f>
        <v>0.50684931506849318</v>
      </c>
      <c r="H17" s="565">
        <f t="shared" si="0"/>
        <v>-95632.794423351108</v>
      </c>
      <c r="I17" s="566">
        <v>-166036</v>
      </c>
      <c r="J17" s="567">
        <f t="shared" si="1"/>
        <v>-84155.23287671234</v>
      </c>
      <c r="K17" s="566">
        <v>0</v>
      </c>
      <c r="L17" s="463">
        <f>+'Appendix A'!$H$27</f>
        <v>0.22074546692968111</v>
      </c>
      <c r="M17" s="630">
        <f t="shared" si="2"/>
        <v>0</v>
      </c>
      <c r="N17" s="567">
        <f t="shared" si="3"/>
        <v>0</v>
      </c>
      <c r="O17" s="566">
        <v>-177148</v>
      </c>
      <c r="P17" s="463">
        <f>+'Appendix A'!$H$16</f>
        <v>0.12783050741274057</v>
      </c>
      <c r="Q17" s="630">
        <f t="shared" si="4"/>
        <v>-22644.918727152166</v>
      </c>
      <c r="R17" s="567">
        <f t="shared" si="5"/>
        <v>-11477.56154663877</v>
      </c>
      <c r="S17" s="5">
        <f t="shared" si="6"/>
        <v>-95632.794423351108</v>
      </c>
    </row>
    <row r="18" spans="1:19" ht="15">
      <c r="A18" s="59">
        <f t="shared" si="7"/>
        <v>8</v>
      </c>
      <c r="B18" s="392" t="s">
        <v>375</v>
      </c>
      <c r="C18" s="455">
        <f t="shared" si="9"/>
        <v>2023</v>
      </c>
      <c r="D18" s="411">
        <v>31</v>
      </c>
      <c r="E18" s="412">
        <f t="shared" si="8"/>
        <v>154</v>
      </c>
      <c r="F18" s="412">
        <f t="shared" si="10"/>
        <v>365</v>
      </c>
      <c r="G18" s="43">
        <f>154/365</f>
        <v>0.42191780821917807</v>
      </c>
      <c r="H18" s="565">
        <f t="shared" si="0"/>
        <v>-79607.839682140911</v>
      </c>
      <c r="I18" s="566">
        <v>-166036</v>
      </c>
      <c r="J18" s="567">
        <f t="shared" si="1"/>
        <v>-70053.545205479444</v>
      </c>
      <c r="K18" s="566">
        <v>0</v>
      </c>
      <c r="L18" s="463">
        <f>+'Appendix A'!$H$27</f>
        <v>0.22074546692968111</v>
      </c>
      <c r="M18" s="630">
        <f t="shared" si="2"/>
        <v>0</v>
      </c>
      <c r="N18" s="567">
        <f t="shared" si="3"/>
        <v>0</v>
      </c>
      <c r="O18" s="566">
        <v>-177148</v>
      </c>
      <c r="P18" s="463">
        <f>+'Appendix A'!$H$16</f>
        <v>0.12783050741274057</v>
      </c>
      <c r="Q18" s="630">
        <f t="shared" si="4"/>
        <v>-22644.918727152166</v>
      </c>
      <c r="R18" s="567">
        <f t="shared" si="5"/>
        <v>-9554.2944766614619</v>
      </c>
      <c r="S18" s="5">
        <f t="shared" si="6"/>
        <v>-79607.839682140911</v>
      </c>
    </row>
    <row r="19" spans="1:19" ht="15">
      <c r="A19" s="59">
        <f t="shared" si="7"/>
        <v>9</v>
      </c>
      <c r="B19" s="392" t="s">
        <v>376</v>
      </c>
      <c r="C19" s="455">
        <f t="shared" si="9"/>
        <v>2023</v>
      </c>
      <c r="D19" s="411">
        <v>31</v>
      </c>
      <c r="E19" s="412">
        <f t="shared" si="8"/>
        <v>123</v>
      </c>
      <c r="F19" s="412">
        <f t="shared" si="10"/>
        <v>365</v>
      </c>
      <c r="G19" s="43">
        <f>123/365</f>
        <v>0.33698630136986302</v>
      </c>
      <c r="H19" s="565">
        <f t="shared" si="0"/>
        <v>-63582.884940930729</v>
      </c>
      <c r="I19" s="566">
        <v>-166036</v>
      </c>
      <c r="J19" s="567">
        <f t="shared" si="1"/>
        <v>-55951.857534246577</v>
      </c>
      <c r="K19" s="566">
        <v>0</v>
      </c>
      <c r="L19" s="463">
        <f>+'Appendix A'!$H$27</f>
        <v>0.22074546692968111</v>
      </c>
      <c r="M19" s="630">
        <f t="shared" si="2"/>
        <v>0</v>
      </c>
      <c r="N19" s="567">
        <f t="shared" si="3"/>
        <v>0</v>
      </c>
      <c r="O19" s="566">
        <v>-177148</v>
      </c>
      <c r="P19" s="463">
        <f>+'Appendix A'!$H$16</f>
        <v>0.12783050741274057</v>
      </c>
      <c r="Q19" s="630">
        <f t="shared" si="4"/>
        <v>-22644.918727152166</v>
      </c>
      <c r="R19" s="567">
        <f t="shared" si="5"/>
        <v>-7631.0274066841548</v>
      </c>
      <c r="S19" s="5">
        <f t="shared" si="6"/>
        <v>-63582.884940930729</v>
      </c>
    </row>
    <row r="20" spans="1:19" ht="15">
      <c r="A20" s="59">
        <f t="shared" si="7"/>
        <v>10</v>
      </c>
      <c r="B20" s="392" t="s">
        <v>377</v>
      </c>
      <c r="C20" s="455">
        <f t="shared" si="9"/>
        <v>2023</v>
      </c>
      <c r="D20" s="411">
        <v>30</v>
      </c>
      <c r="E20" s="412">
        <f t="shared" si="8"/>
        <v>93</v>
      </c>
      <c r="F20" s="412">
        <f t="shared" si="10"/>
        <v>365</v>
      </c>
      <c r="G20" s="43">
        <f>93/365</f>
        <v>0.25479452054794521</v>
      </c>
      <c r="H20" s="565">
        <f t="shared" si="0"/>
        <v>-48074.864223630553</v>
      </c>
      <c r="I20" s="566">
        <v>-166036</v>
      </c>
      <c r="J20" s="567">
        <f t="shared" si="1"/>
        <v>-42305.063013698629</v>
      </c>
      <c r="K20" s="566">
        <v>0</v>
      </c>
      <c r="L20" s="463">
        <f>+'Appendix A'!$H$27</f>
        <v>0.22074546692968111</v>
      </c>
      <c r="M20" s="630">
        <f t="shared" si="2"/>
        <v>0</v>
      </c>
      <c r="N20" s="567">
        <f t="shared" si="3"/>
        <v>0</v>
      </c>
      <c r="O20" s="566">
        <v>-177148</v>
      </c>
      <c r="P20" s="463">
        <f>+'Appendix A'!$H$16</f>
        <v>0.12783050741274057</v>
      </c>
      <c r="Q20" s="630">
        <f t="shared" si="4"/>
        <v>-22644.918727152166</v>
      </c>
      <c r="R20" s="567">
        <f t="shared" si="5"/>
        <v>-5769.8012099319221</v>
      </c>
      <c r="S20" s="5">
        <f t="shared" si="6"/>
        <v>-48074.864223630553</v>
      </c>
    </row>
    <row r="21" spans="1:19" ht="15">
      <c r="A21" s="59">
        <f t="shared" si="7"/>
        <v>11</v>
      </c>
      <c r="B21" s="392" t="s">
        <v>378</v>
      </c>
      <c r="C21" s="455">
        <f t="shared" si="9"/>
        <v>2023</v>
      </c>
      <c r="D21" s="411">
        <v>31</v>
      </c>
      <c r="E21" s="412">
        <f>E22+D22</f>
        <v>62</v>
      </c>
      <c r="F21" s="412">
        <f t="shared" si="10"/>
        <v>365</v>
      </c>
      <c r="G21" s="43">
        <f>62/365</f>
        <v>0.16986301369863013</v>
      </c>
      <c r="H21" s="565">
        <f t="shared" si="0"/>
        <v>-32049.909482420368</v>
      </c>
      <c r="I21" s="566">
        <v>-166036</v>
      </c>
      <c r="J21" s="567">
        <f t="shared" si="1"/>
        <v>-28203.375342465752</v>
      </c>
      <c r="K21" s="566">
        <v>0</v>
      </c>
      <c r="L21" s="463">
        <f>+'Appendix A'!$H$27</f>
        <v>0.22074546692968111</v>
      </c>
      <c r="M21" s="630">
        <f t="shared" si="2"/>
        <v>0</v>
      </c>
      <c r="N21" s="567">
        <f t="shared" si="3"/>
        <v>0</v>
      </c>
      <c r="O21" s="566">
        <v>-177148</v>
      </c>
      <c r="P21" s="463">
        <f>+'Appendix A'!$H$16</f>
        <v>0.12783050741274057</v>
      </c>
      <c r="Q21" s="630">
        <f t="shared" si="4"/>
        <v>-22644.918727152166</v>
      </c>
      <c r="R21" s="567">
        <f t="shared" si="5"/>
        <v>-3846.5341399546146</v>
      </c>
      <c r="S21" s="5">
        <f t="shared" si="6"/>
        <v>-32049.909482420368</v>
      </c>
    </row>
    <row r="22" spans="1:19" ht="15">
      <c r="A22" s="59">
        <f t="shared" si="7"/>
        <v>12</v>
      </c>
      <c r="B22" s="392" t="s">
        <v>379</v>
      </c>
      <c r="C22" s="455">
        <f t="shared" si="9"/>
        <v>2023</v>
      </c>
      <c r="D22" s="411">
        <v>30</v>
      </c>
      <c r="E22" s="412">
        <f>E23+D23</f>
        <v>32</v>
      </c>
      <c r="F22" s="412">
        <f t="shared" si="10"/>
        <v>365</v>
      </c>
      <c r="G22" s="43">
        <f>32/365</f>
        <v>8.7671232876712329E-2</v>
      </c>
      <c r="H22" s="565">
        <f t="shared" si="0"/>
        <v>-16541.888765120191</v>
      </c>
      <c r="I22" s="566">
        <v>-166036</v>
      </c>
      <c r="J22" s="567">
        <f t="shared" si="1"/>
        <v>-14556.580821917809</v>
      </c>
      <c r="K22" s="566">
        <v>0</v>
      </c>
      <c r="L22" s="463">
        <f>+'Appendix A'!$H$27</f>
        <v>0.22074546692968111</v>
      </c>
      <c r="M22" s="630">
        <f t="shared" si="2"/>
        <v>0</v>
      </c>
      <c r="N22" s="567">
        <f t="shared" si="3"/>
        <v>0</v>
      </c>
      <c r="O22" s="566">
        <v>-177148</v>
      </c>
      <c r="P22" s="463">
        <f>+'Appendix A'!$H$16</f>
        <v>0.12783050741274057</v>
      </c>
      <c r="Q22" s="630">
        <f t="shared" si="4"/>
        <v>-22644.918727152166</v>
      </c>
      <c r="R22" s="567">
        <f t="shared" si="5"/>
        <v>-1985.3079432023817</v>
      </c>
      <c r="S22" s="5">
        <f t="shared" si="6"/>
        <v>-16541.888765120191</v>
      </c>
    </row>
    <row r="23" spans="1:19" ht="17.25">
      <c r="A23" s="59">
        <f t="shared" si="7"/>
        <v>13</v>
      </c>
      <c r="B23" s="392" t="s">
        <v>380</v>
      </c>
      <c r="C23" s="455">
        <f t="shared" si="9"/>
        <v>2023</v>
      </c>
      <c r="D23" s="411">
        <v>31</v>
      </c>
      <c r="E23" s="412">
        <v>1</v>
      </c>
      <c r="F23" s="412">
        <f t="shared" si="10"/>
        <v>365</v>
      </c>
      <c r="G23" s="43">
        <f>1/365</f>
        <v>2.7397260273972603E-3</v>
      </c>
      <c r="H23" s="697">
        <f t="shared" si="0"/>
        <v>-516.93402391000598</v>
      </c>
      <c r="I23" s="566">
        <v>-166036</v>
      </c>
      <c r="J23" s="698">
        <f t="shared" si="1"/>
        <v>-454.89315068493153</v>
      </c>
      <c r="K23" s="814">
        <v>0</v>
      </c>
      <c r="L23" s="463">
        <f>+'Appendix A'!$H$27</f>
        <v>0.22074546692968111</v>
      </c>
      <c r="M23" s="630">
        <f t="shared" si="2"/>
        <v>0</v>
      </c>
      <c r="N23" s="698">
        <f t="shared" si="3"/>
        <v>0</v>
      </c>
      <c r="O23" s="566">
        <v>-177148</v>
      </c>
      <c r="P23" s="463">
        <f>+'Appendix A'!$H$16</f>
        <v>0.12783050741274057</v>
      </c>
      <c r="Q23" s="630">
        <f t="shared" si="4"/>
        <v>-22644.918727152166</v>
      </c>
      <c r="R23" s="698">
        <f t="shared" si="5"/>
        <v>-62.040873225074428</v>
      </c>
      <c r="S23" s="815">
        <f t="shared" si="6"/>
        <v>-516.93402391000598</v>
      </c>
    </row>
    <row r="24" spans="1:19" ht="15">
      <c r="A24" s="59">
        <f t="shared" si="7"/>
        <v>14</v>
      </c>
      <c r="B24" s="403" t="s">
        <v>381</v>
      </c>
      <c r="C24" s="392"/>
      <c r="D24" s="394">
        <f>+SUM(D12:D23)</f>
        <v>365</v>
      </c>
      <c r="E24" s="392"/>
      <c r="F24" s="392"/>
      <c r="G24" s="392"/>
      <c r="H24" s="565">
        <f t="shared" si="0"/>
        <v>-35556677.523711018</v>
      </c>
      <c r="I24" s="567">
        <f>SUM(I11:I23)</f>
        <v>-35436483</v>
      </c>
      <c r="J24" s="567">
        <f t="shared" ref="J24:O24" si="11">SUM(J11:J23)</f>
        <v>-34367029.202739723</v>
      </c>
      <c r="K24" s="567">
        <f t="shared" si="11"/>
        <v>0</v>
      </c>
      <c r="L24" s="567"/>
      <c r="M24" s="567"/>
      <c r="N24" s="567">
        <f t="shared" ref="N24" si="12">SUM(N11:N23)</f>
        <v>0</v>
      </c>
      <c r="O24" s="567">
        <f t="shared" si="11"/>
        <v>-10447478</v>
      </c>
      <c r="P24" s="567"/>
      <c r="Q24" s="567"/>
      <c r="R24" s="567">
        <f t="shared" ref="R24" si="13">SUM(R11:R23)</f>
        <v>-1189648.3209712941</v>
      </c>
      <c r="S24" s="5">
        <f t="shared" si="6"/>
        <v>-35556677.523711018</v>
      </c>
    </row>
    <row r="25" spans="1:19" ht="15">
      <c r="A25" s="59"/>
      <c r="B25" s="403"/>
      <c r="C25" s="392"/>
      <c r="D25" s="394"/>
      <c r="E25" s="392"/>
      <c r="F25" s="392"/>
      <c r="G25" s="392"/>
      <c r="H25" s="394"/>
      <c r="I25" s="394"/>
      <c r="J25" s="394"/>
      <c r="K25" s="394"/>
      <c r="L25" s="394"/>
      <c r="M25" s="394"/>
      <c r="N25" s="394"/>
      <c r="O25" s="394"/>
      <c r="P25" s="394"/>
      <c r="Q25" s="394"/>
      <c r="R25" s="394"/>
    </row>
    <row r="26" spans="1:19" ht="15">
      <c r="A26" s="59"/>
      <c r="B26" s="403"/>
      <c r="C26" s="392"/>
      <c r="D26" s="394"/>
      <c r="E26" s="392"/>
      <c r="F26" s="392"/>
      <c r="G26" s="392"/>
      <c r="H26" s="394"/>
      <c r="I26" s="394"/>
      <c r="J26" s="394"/>
      <c r="K26" s="394"/>
      <c r="L26" s="394"/>
      <c r="M26" s="394"/>
      <c r="N26" s="394"/>
      <c r="O26" s="394"/>
      <c r="P26" s="394"/>
      <c r="Q26" s="394"/>
      <c r="R26" s="394"/>
    </row>
    <row r="27" spans="1:19" ht="15">
      <c r="A27" s="45"/>
      <c r="B27" s="45" t="s">
        <v>382</v>
      </c>
      <c r="C27" s="45"/>
      <c r="D27" s="45"/>
      <c r="E27" s="45"/>
      <c r="F27" s="45"/>
      <c r="G27" s="45"/>
      <c r="H27" s="45"/>
      <c r="I27" s="45"/>
      <c r="J27" s="45"/>
      <c r="K27" s="45"/>
      <c r="L27" s="45"/>
      <c r="M27" s="45"/>
      <c r="N27" s="45"/>
      <c r="O27" s="45"/>
      <c r="P27" s="45"/>
      <c r="Q27" s="45"/>
      <c r="R27" s="45"/>
    </row>
    <row r="28" spans="1:19" ht="15">
      <c r="A28" s="45"/>
      <c r="B28" s="45"/>
      <c r="C28" s="45"/>
      <c r="D28" s="45"/>
      <c r="E28" s="45"/>
      <c r="F28" s="45"/>
      <c r="G28" s="45"/>
      <c r="H28" s="45"/>
      <c r="I28" s="45"/>
      <c r="J28" s="45"/>
      <c r="K28" s="45"/>
      <c r="L28" s="45"/>
      <c r="M28" s="45"/>
      <c r="N28" s="45"/>
      <c r="O28" s="45"/>
      <c r="P28" s="45"/>
      <c r="Q28" s="45"/>
      <c r="R28" s="45"/>
    </row>
    <row r="29" spans="1:19" ht="15">
      <c r="A29" s="45"/>
      <c r="B29" s="45"/>
      <c r="C29" s="45"/>
      <c r="D29" s="45"/>
      <c r="E29" s="45"/>
      <c r="F29" s="45"/>
      <c r="G29" s="45"/>
      <c r="H29" s="45"/>
      <c r="I29" s="45"/>
      <c r="J29" s="45"/>
      <c r="K29" s="45"/>
      <c r="L29" s="45"/>
      <c r="M29" s="45"/>
      <c r="N29" s="45"/>
      <c r="O29" s="45"/>
      <c r="P29" s="45"/>
      <c r="Q29" s="45"/>
      <c r="R29" s="45"/>
    </row>
    <row r="30" spans="1:19" ht="15">
      <c r="A30" s="45"/>
      <c r="B30" s="45"/>
      <c r="C30" s="45"/>
      <c r="D30" s="45"/>
      <c r="E30" s="45"/>
      <c r="F30" s="45"/>
      <c r="G30" s="45"/>
      <c r="H30" s="45"/>
      <c r="I30" s="45"/>
      <c r="J30" s="45"/>
      <c r="K30" s="45"/>
      <c r="L30" s="45"/>
      <c r="M30" s="45"/>
      <c r="N30" s="45"/>
      <c r="O30" s="45"/>
      <c r="P30" s="45"/>
      <c r="Q30" s="45"/>
      <c r="R30" s="45"/>
    </row>
    <row r="31" spans="1:19" ht="15.75">
      <c r="A31" s="45"/>
      <c r="B31" s="785"/>
      <c r="C31" s="45"/>
      <c r="D31" s="45"/>
      <c r="E31" s="45"/>
      <c r="F31" s="45"/>
      <c r="G31" s="45"/>
      <c r="H31" s="45"/>
      <c r="I31" s="45"/>
      <c r="J31" s="45"/>
      <c r="K31" s="45"/>
      <c r="L31" s="45"/>
      <c r="M31" s="45"/>
      <c r="N31" s="45"/>
      <c r="O31" s="45"/>
      <c r="P31" s="45"/>
      <c r="Q31" s="45"/>
      <c r="R31" s="45"/>
    </row>
    <row r="32" spans="1:19" ht="15">
      <c r="A32" s="45"/>
      <c r="B32" s="45"/>
      <c r="C32" s="45"/>
      <c r="D32" s="45"/>
      <c r="E32" s="45"/>
      <c r="F32" s="45"/>
      <c r="G32" s="45"/>
      <c r="H32" s="45"/>
      <c r="I32" s="45"/>
      <c r="J32" s="45"/>
      <c r="K32" s="45"/>
      <c r="L32" s="45"/>
      <c r="M32" s="45"/>
      <c r="N32" s="45"/>
      <c r="O32" s="45"/>
      <c r="P32" s="45"/>
      <c r="Q32" s="45"/>
      <c r="R32" s="45"/>
    </row>
    <row r="33" spans="1:18" ht="15">
      <c r="A33" s="45"/>
      <c r="B33" s="45"/>
      <c r="C33" s="45"/>
      <c r="D33" s="45"/>
      <c r="E33" s="45"/>
      <c r="F33" s="45"/>
      <c r="G33" s="45"/>
      <c r="H33" s="45"/>
      <c r="I33" s="45"/>
      <c r="J33" s="45"/>
      <c r="K33" s="45"/>
      <c r="L33" s="45"/>
      <c r="M33" s="45"/>
      <c r="N33" s="45"/>
      <c r="O33" s="45"/>
      <c r="P33" s="45"/>
      <c r="Q33" s="45"/>
      <c r="R33" s="45"/>
    </row>
    <row r="34" spans="1:18" ht="15">
      <c r="A34" s="45"/>
      <c r="B34" s="45"/>
      <c r="C34" s="45"/>
      <c r="D34" s="45"/>
      <c r="E34" s="45"/>
      <c r="F34" s="45"/>
      <c r="G34" s="45"/>
      <c r="H34" s="45"/>
      <c r="I34" s="45"/>
      <c r="J34" s="45"/>
      <c r="K34" s="45"/>
      <c r="L34" s="45"/>
      <c r="M34" s="45"/>
      <c r="N34" s="45"/>
      <c r="O34" s="45"/>
      <c r="P34" s="45"/>
      <c r="Q34" s="45"/>
      <c r="R34" s="45"/>
    </row>
    <row r="35" spans="1:18" ht="15">
      <c r="A35" s="45"/>
      <c r="B35" s="45"/>
      <c r="C35" s="45"/>
      <c r="D35" s="45"/>
      <c r="E35" s="45"/>
      <c r="F35" s="45"/>
      <c r="G35" s="45"/>
      <c r="H35" s="45"/>
      <c r="I35" s="45"/>
      <c r="J35" s="45"/>
      <c r="K35" s="45"/>
      <c r="L35" s="45"/>
      <c r="M35" s="45"/>
      <c r="N35" s="45"/>
      <c r="O35" s="45"/>
      <c r="P35" s="45"/>
      <c r="Q35" s="45"/>
      <c r="R35" s="45"/>
    </row>
    <row r="36" spans="1:18" ht="15">
      <c r="A36" s="45"/>
      <c r="B36" s="45"/>
      <c r="C36" s="45"/>
      <c r="D36" s="45"/>
      <c r="E36" s="45"/>
      <c r="F36" s="45"/>
      <c r="G36" s="45"/>
      <c r="H36" s="45"/>
      <c r="I36" s="45"/>
      <c r="J36" s="45"/>
      <c r="K36" s="45"/>
      <c r="L36" s="45"/>
      <c r="M36" s="45"/>
      <c r="N36" s="45"/>
      <c r="O36" s="45"/>
      <c r="P36" s="45"/>
      <c r="Q36" s="45"/>
      <c r="R36" s="45"/>
    </row>
    <row r="37" spans="1:18" ht="15">
      <c r="A37" s="45"/>
      <c r="B37" s="45"/>
      <c r="C37" s="45"/>
      <c r="D37" s="45"/>
      <c r="E37" s="45"/>
      <c r="F37" s="45"/>
      <c r="G37" s="45"/>
      <c r="H37" s="45"/>
      <c r="I37" s="45"/>
      <c r="J37" s="45"/>
      <c r="K37" s="45"/>
      <c r="L37" s="45"/>
      <c r="M37" s="45"/>
      <c r="N37" s="45"/>
      <c r="O37" s="45"/>
      <c r="P37" s="45"/>
      <c r="Q37" s="45"/>
      <c r="R37" s="45"/>
    </row>
    <row r="38" spans="1:18" ht="15">
      <c r="A38" s="45"/>
      <c r="C38" s="45"/>
      <c r="D38" s="45"/>
      <c r="E38" s="45"/>
      <c r="F38" s="45"/>
      <c r="G38" s="45"/>
      <c r="H38" s="45"/>
      <c r="I38" s="45"/>
      <c r="J38" s="45"/>
      <c r="K38" s="45"/>
      <c r="L38" s="45"/>
      <c r="M38" s="45"/>
      <c r="N38" s="45"/>
      <c r="O38" s="45"/>
      <c r="P38" s="45"/>
      <c r="Q38" s="45"/>
      <c r="R38" s="45"/>
    </row>
  </sheetData>
  <phoneticPr fontId="34"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showGridLines="0" topLeftCell="B1" zoomScale="70" zoomScaleNormal="70" workbookViewId="0">
      <selection activeCell="G91" sqref="G91"/>
    </sheetView>
  </sheetViews>
  <sheetFormatPr defaultColWidth="18.7109375" defaultRowHeight="15"/>
  <cols>
    <col min="1" max="1" width="5.85546875" style="45" customWidth="1"/>
    <col min="2" max="2" width="65.7109375" style="154" customWidth="1"/>
    <col min="3" max="3" width="38.7109375" style="45" bestFit="1" customWidth="1"/>
    <col min="4" max="4" width="22.7109375" style="45" customWidth="1"/>
    <col min="5" max="5" width="23.7109375" style="45" customWidth="1"/>
    <col min="6" max="6" width="24.7109375" style="45" customWidth="1"/>
    <col min="7" max="7" width="24" style="45" bestFit="1" customWidth="1"/>
    <col min="8" max="8" width="24" style="45" customWidth="1"/>
    <col min="9" max="9" width="135.28515625" style="45" customWidth="1"/>
    <col min="10" max="10" width="19.28515625" style="45" customWidth="1"/>
    <col min="11" max="16384" width="18.7109375" style="45"/>
  </cols>
  <sheetData>
    <row r="1" spans="1:10" ht="18">
      <c r="B1" s="867" t="str">
        <f>+'Appendix A'!A3</f>
        <v>Dayton Power and Light</v>
      </c>
      <c r="C1" s="868"/>
      <c r="D1" s="868"/>
      <c r="E1" s="868"/>
      <c r="F1" s="868"/>
      <c r="G1" s="868"/>
      <c r="H1" s="868"/>
      <c r="I1" s="868"/>
      <c r="J1" s="151"/>
    </row>
    <row r="2" spans="1:10" ht="18">
      <c r="B2" s="867" t="str">
        <f>+'1A - ADIT'!B2:I2</f>
        <v xml:space="preserve">ATTACHMENT H-15A </v>
      </c>
      <c r="C2" s="867"/>
      <c r="D2" s="867"/>
      <c r="E2" s="867"/>
      <c r="F2" s="867"/>
      <c r="G2" s="867"/>
      <c r="H2" s="867"/>
      <c r="I2" s="867"/>
      <c r="J2" s="151"/>
    </row>
    <row r="3" spans="1:10" s="151" customFormat="1" ht="18">
      <c r="B3" s="867" t="s">
        <v>1001</v>
      </c>
      <c r="C3" s="867"/>
      <c r="D3" s="867"/>
      <c r="E3" s="867"/>
      <c r="F3" s="867"/>
      <c r="G3" s="867"/>
      <c r="H3" s="867"/>
      <c r="I3" s="867"/>
    </row>
    <row r="4" spans="1:10">
      <c r="B4" s="153"/>
    </row>
    <row r="5" spans="1:10" ht="18">
      <c r="B5" s="18"/>
      <c r="C5" s="1"/>
      <c r="D5" s="153" t="s">
        <v>254</v>
      </c>
      <c r="E5" s="153"/>
      <c r="G5" s="153"/>
      <c r="H5" s="153"/>
    </row>
    <row r="6" spans="1:10" ht="18">
      <c r="D6" s="153" t="s">
        <v>57</v>
      </c>
      <c r="E6" s="153" t="s">
        <v>255</v>
      </c>
      <c r="F6" s="153" t="s">
        <v>256</v>
      </c>
      <c r="G6" s="153"/>
      <c r="H6" s="153" t="s">
        <v>68</v>
      </c>
      <c r="I6" s="628"/>
    </row>
    <row r="7" spans="1:10" ht="18">
      <c r="D7" s="153" t="s">
        <v>257</v>
      </c>
      <c r="E7" s="153" t="s">
        <v>257</v>
      </c>
      <c r="F7" s="153" t="s">
        <v>257</v>
      </c>
      <c r="G7" s="153"/>
      <c r="H7" s="153" t="s">
        <v>258</v>
      </c>
      <c r="I7" s="629"/>
    </row>
    <row r="8" spans="1:10" ht="25.5">
      <c r="B8" s="347"/>
      <c r="C8" s="344"/>
      <c r="D8" s="344"/>
      <c r="E8" s="344"/>
      <c r="F8" s="344"/>
      <c r="H8" s="344"/>
      <c r="I8" s="629"/>
      <c r="J8" s="344"/>
    </row>
    <row r="9" spans="1:10">
      <c r="A9" s="59">
        <v>1</v>
      </c>
      <c r="C9" s="155" t="s">
        <v>270</v>
      </c>
      <c r="D9" s="156">
        <f>+E40</f>
        <v>0</v>
      </c>
      <c r="E9" s="156">
        <f>+F40</f>
        <v>431994</v>
      </c>
      <c r="F9" s="156">
        <f>+G40</f>
        <v>2318990</v>
      </c>
      <c r="G9" s="156"/>
      <c r="H9" s="156"/>
      <c r="I9" s="91" t="str">
        <f>"(Line "&amp;A40&amp;")"</f>
        <v>(Line 22)</v>
      </c>
    </row>
    <row r="10" spans="1:10">
      <c r="A10" s="59">
        <f>+A9+1</f>
        <v>2</v>
      </c>
      <c r="C10" s="155" t="s">
        <v>307</v>
      </c>
      <c r="D10" s="156">
        <f>+E61</f>
        <v>-36976390</v>
      </c>
      <c r="E10" s="156">
        <f>+F61</f>
        <v>0</v>
      </c>
      <c r="F10" s="156">
        <f>+G61</f>
        <v>-6195922</v>
      </c>
      <c r="G10" s="156"/>
      <c r="H10" s="156"/>
      <c r="I10" s="91" t="str">
        <f>"(Line "&amp;A61&amp;")"</f>
        <v>(Line 25)</v>
      </c>
    </row>
    <row r="11" spans="1:10">
      <c r="A11" s="59">
        <f>+A10+1</f>
        <v>3</v>
      </c>
      <c r="C11" s="465" t="s">
        <v>315</v>
      </c>
      <c r="D11" s="454">
        <f>+E87</f>
        <v>0</v>
      </c>
      <c r="E11" s="454">
        <f>+F87</f>
        <v>0</v>
      </c>
      <c r="F11" s="454">
        <f>+G87</f>
        <v>-5565344</v>
      </c>
      <c r="G11" s="454"/>
      <c r="H11" s="156"/>
      <c r="I11" s="91" t="str">
        <f>"(Line "&amp;A87&amp;")"</f>
        <v>(Line 36)</v>
      </c>
    </row>
    <row r="12" spans="1:10">
      <c r="A12" s="59">
        <f>+A11+1</f>
        <v>4</v>
      </c>
      <c r="C12" s="155" t="s">
        <v>91</v>
      </c>
      <c r="D12" s="156">
        <f>+SUM(D9:D11)</f>
        <v>-36976390</v>
      </c>
      <c r="E12" s="156">
        <f t="shared" ref="E12:F12" si="0">+SUM(E9:E11)</f>
        <v>431994</v>
      </c>
      <c r="F12" s="156">
        <f t="shared" si="0"/>
        <v>-9442276</v>
      </c>
      <c r="G12" s="156"/>
      <c r="H12" s="156"/>
      <c r="I12" s="91" t="str">
        <f>"(Line "&amp;A9&amp;" + Line "&amp;A10&amp;" + "&amp;A11&amp;")"</f>
        <v>(Line 1 + Line 2 + 3)</v>
      </c>
    </row>
    <row r="13" spans="1:10">
      <c r="A13" s="59">
        <f t="shared" ref="A13:A14" si="1">+A12+1</f>
        <v>5</v>
      </c>
      <c r="C13" s="155" t="s">
        <v>13</v>
      </c>
      <c r="F13" s="463">
        <f>'Appendix A'!H16</f>
        <v>0.12783050741274057</v>
      </c>
      <c r="I13" s="19" t="str">
        <f>"(Appendix A, Line "&amp;'Appendix A'!A16&amp;")"</f>
        <v>(Appendix A, Line 5)</v>
      </c>
    </row>
    <row r="14" spans="1:10">
      <c r="A14" s="59">
        <f t="shared" si="1"/>
        <v>6</v>
      </c>
      <c r="C14" s="155" t="s">
        <v>21</v>
      </c>
      <c r="E14" s="463">
        <f>'Appendix A'!H27</f>
        <v>0.22074546692968111</v>
      </c>
      <c r="I14" s="19" t="str">
        <f>"(Appendix A, Line "&amp;'Appendix A'!A27&amp;")"</f>
        <v>(Appendix A, Line 12)</v>
      </c>
    </row>
    <row r="15" spans="1:10" ht="15.75">
      <c r="A15" s="59">
        <f>+A14+1</f>
        <v>7</v>
      </c>
      <c r="C15" s="155" t="s">
        <v>262</v>
      </c>
      <c r="D15" s="156">
        <f>+D12</f>
        <v>-36976390</v>
      </c>
      <c r="E15" s="156">
        <f>+E14*E12</f>
        <v>95360.717240820668</v>
      </c>
      <c r="F15" s="156">
        <f>+F13*F12</f>
        <v>-1207010.9322111425</v>
      </c>
      <c r="G15" s="156"/>
      <c r="H15" s="157">
        <f>SUM(D15:G15)</f>
        <v>-38088040.214970328</v>
      </c>
      <c r="I15" s="91" t="str">
        <f>"(Line "&amp;A12&amp;" * Line "&amp;A13&amp;" or Line "&amp;A14&amp;")"</f>
        <v>(Line 4 * Line 5 or Line 6)</v>
      </c>
    </row>
    <row r="16" spans="1:10" ht="29.25" customHeight="1">
      <c r="A16" s="59"/>
      <c r="C16" s="155"/>
      <c r="D16" s="156"/>
      <c r="E16" s="156"/>
      <c r="F16" s="156"/>
      <c r="G16" s="157"/>
      <c r="H16" s="157"/>
      <c r="I16" s="91"/>
    </row>
    <row r="17" spans="1:28" ht="15.75">
      <c r="A17" s="59"/>
      <c r="B17" s="154" t="s">
        <v>383</v>
      </c>
      <c r="C17" s="155"/>
      <c r="D17" s="156"/>
      <c r="E17" s="156"/>
      <c r="F17" s="156"/>
      <c r="G17" s="157"/>
      <c r="H17" s="157"/>
      <c r="I17" s="91"/>
      <c r="J17" s="343"/>
    </row>
    <row r="18" spans="1:28">
      <c r="A18" s="59"/>
      <c r="B18" s="45"/>
      <c r="I18" s="91"/>
    </row>
    <row r="19" spans="1:28">
      <c r="A19" s="59"/>
      <c r="B19" s="154" t="s">
        <v>268</v>
      </c>
      <c r="I19" s="91"/>
    </row>
    <row r="20" spans="1:28">
      <c r="A20" s="59"/>
      <c r="B20" s="154" t="s">
        <v>269</v>
      </c>
    </row>
    <row r="21" spans="1:28">
      <c r="A21" s="59"/>
      <c r="G21" s="155"/>
      <c r="H21" s="155"/>
    </row>
    <row r="22" spans="1:28" ht="15.75">
      <c r="A22" s="59"/>
      <c r="B22" s="159" t="s">
        <v>207</v>
      </c>
      <c r="C22" s="159" t="s">
        <v>209</v>
      </c>
      <c r="D22" s="159" t="s">
        <v>211</v>
      </c>
      <c r="E22" s="159" t="s">
        <v>213</v>
      </c>
      <c r="F22" s="159" t="s">
        <v>215</v>
      </c>
      <c r="G22" s="159" t="s">
        <v>217</v>
      </c>
      <c r="H22" s="159"/>
      <c r="I22" s="159" t="s">
        <v>219</v>
      </c>
    </row>
    <row r="23" spans="1:28" ht="25.15" customHeight="1">
      <c r="A23" s="59"/>
      <c r="C23" s="153" t="s">
        <v>68</v>
      </c>
      <c r="D23" s="153"/>
      <c r="E23" s="153" t="s">
        <v>254</v>
      </c>
      <c r="F23" s="153"/>
      <c r="G23" s="153"/>
      <c r="H23" s="153"/>
    </row>
    <row r="24" spans="1:28" ht="41.25" customHeight="1">
      <c r="A24" s="59"/>
      <c r="B24" s="160" t="s">
        <v>993</v>
      </c>
      <c r="C24" s="153"/>
      <c r="D24" s="153"/>
      <c r="E24" s="153" t="s">
        <v>57</v>
      </c>
      <c r="F24" s="153" t="s">
        <v>255</v>
      </c>
      <c r="G24" s="153" t="s">
        <v>256</v>
      </c>
      <c r="H24" s="153"/>
      <c r="X24" s="315"/>
      <c r="Y24" s="315"/>
      <c r="Z24" s="315"/>
      <c r="AA24" s="315"/>
      <c r="AB24" s="315"/>
    </row>
    <row r="25" spans="1:28" ht="25.15" customHeight="1" thickBot="1">
      <c r="A25" s="59"/>
      <c r="C25" s="153"/>
      <c r="D25" s="153" t="s">
        <v>271</v>
      </c>
      <c r="E25" s="153" t="s">
        <v>257</v>
      </c>
      <c r="F25" s="153" t="s">
        <v>257</v>
      </c>
      <c r="G25" s="153" t="s">
        <v>257</v>
      </c>
      <c r="H25" s="448"/>
      <c r="I25" s="153" t="s">
        <v>272</v>
      </c>
    </row>
    <row r="26" spans="1:28" ht="42.75" customHeight="1" thickBot="1">
      <c r="A26" s="59">
        <f>+A15+1</f>
        <v>8</v>
      </c>
      <c r="B26" s="332" t="s">
        <v>273</v>
      </c>
      <c r="C26" s="549">
        <v>418459</v>
      </c>
      <c r="D26" s="550">
        <v>0</v>
      </c>
      <c r="E26" s="550">
        <v>0</v>
      </c>
      <c r="F26" s="550">
        <v>0</v>
      </c>
      <c r="G26" s="550">
        <v>418459</v>
      </c>
      <c r="H26" s="690"/>
      <c r="I26" s="409" t="s">
        <v>274</v>
      </c>
    </row>
    <row r="27" spans="1:28" ht="38.25" customHeight="1" thickBot="1">
      <c r="A27" s="59">
        <f>+A26+1</f>
        <v>9</v>
      </c>
      <c r="B27" s="333" t="s">
        <v>275</v>
      </c>
      <c r="C27" s="551">
        <v>2995371</v>
      </c>
      <c r="D27" s="552">
        <v>2995371</v>
      </c>
      <c r="E27" s="552">
        <v>0</v>
      </c>
      <c r="F27" s="552">
        <v>0</v>
      </c>
      <c r="G27" s="550">
        <v>0</v>
      </c>
      <c r="H27" s="691"/>
      <c r="I27" s="409" t="s">
        <v>276</v>
      </c>
    </row>
    <row r="28" spans="1:28" ht="35.25" customHeight="1">
      <c r="A28" s="59">
        <f t="shared" ref="A28:A39" si="2">+A27+1</f>
        <v>10</v>
      </c>
      <c r="B28" s="333" t="s">
        <v>277</v>
      </c>
      <c r="C28" s="551">
        <v>1208210</v>
      </c>
      <c r="D28" s="552">
        <v>0</v>
      </c>
      <c r="E28" s="552">
        <v>0</v>
      </c>
      <c r="F28" s="552">
        <v>0</v>
      </c>
      <c r="G28" s="550">
        <v>1208210</v>
      </c>
      <c r="H28" s="691"/>
      <c r="I28" s="409" t="s">
        <v>274</v>
      </c>
    </row>
    <row r="29" spans="1:28" ht="25.15" customHeight="1">
      <c r="A29" s="59">
        <f t="shared" si="2"/>
        <v>11</v>
      </c>
      <c r="B29" s="505" t="s">
        <v>278</v>
      </c>
      <c r="C29" s="551">
        <v>-1010449</v>
      </c>
      <c r="D29" s="552">
        <v>0</v>
      </c>
      <c r="E29" s="552">
        <v>0</v>
      </c>
      <c r="F29" s="552">
        <v>-1010449</v>
      </c>
      <c r="G29" s="552">
        <v>0</v>
      </c>
      <c r="H29" s="691"/>
      <c r="I29" s="407" t="s">
        <v>279</v>
      </c>
    </row>
    <row r="30" spans="1:28" ht="25.15" customHeight="1">
      <c r="A30" s="59">
        <f t="shared" si="2"/>
        <v>12</v>
      </c>
      <c r="B30" s="333" t="s">
        <v>280</v>
      </c>
      <c r="C30" s="551">
        <v>651061</v>
      </c>
      <c r="D30" s="552">
        <v>0</v>
      </c>
      <c r="E30" s="552">
        <v>0</v>
      </c>
      <c r="F30" s="552">
        <v>0</v>
      </c>
      <c r="G30" s="552">
        <v>651061</v>
      </c>
      <c r="H30" s="691"/>
      <c r="I30" s="409" t="s">
        <v>281</v>
      </c>
    </row>
    <row r="31" spans="1:28" ht="25.15" customHeight="1">
      <c r="A31" s="59">
        <f t="shared" si="2"/>
        <v>13</v>
      </c>
      <c r="B31" s="333" t="s">
        <v>282</v>
      </c>
      <c r="C31" s="551">
        <v>937976</v>
      </c>
      <c r="D31" s="552">
        <v>937976</v>
      </c>
      <c r="E31" s="552">
        <v>0</v>
      </c>
      <c r="F31" s="552">
        <v>0</v>
      </c>
      <c r="G31" s="552">
        <v>0</v>
      </c>
      <c r="H31" s="691"/>
      <c r="I31" s="409" t="s">
        <v>384</v>
      </c>
    </row>
    <row r="32" spans="1:28" ht="25.15" customHeight="1">
      <c r="A32" s="59">
        <f t="shared" si="2"/>
        <v>14</v>
      </c>
      <c r="B32" s="333" t="s">
        <v>284</v>
      </c>
      <c r="C32" s="551">
        <v>41260</v>
      </c>
      <c r="D32" s="552">
        <v>0</v>
      </c>
      <c r="E32" s="552">
        <v>0</v>
      </c>
      <c r="F32" s="552">
        <v>0</v>
      </c>
      <c r="G32" s="552">
        <v>41260</v>
      </c>
      <c r="H32" s="691"/>
      <c r="I32" s="409" t="s">
        <v>285</v>
      </c>
    </row>
    <row r="33" spans="1:10" ht="35.1" customHeight="1">
      <c r="A33" s="59">
        <f t="shared" si="2"/>
        <v>15</v>
      </c>
      <c r="B33" s="333" t="s">
        <v>286</v>
      </c>
      <c r="C33" s="551">
        <v>899799</v>
      </c>
      <c r="D33" s="552">
        <v>899799</v>
      </c>
      <c r="E33" s="552">
        <v>0</v>
      </c>
      <c r="F33" s="552">
        <v>0</v>
      </c>
      <c r="G33" s="552">
        <v>0</v>
      </c>
      <c r="H33" s="691"/>
      <c r="I33" s="409" t="s">
        <v>287</v>
      </c>
    </row>
    <row r="34" spans="1:10" ht="35.1" customHeight="1">
      <c r="A34" s="59">
        <f t="shared" si="2"/>
        <v>16</v>
      </c>
      <c r="B34" s="333" t="s">
        <v>288</v>
      </c>
      <c r="C34" s="551">
        <v>431994</v>
      </c>
      <c r="D34" s="552">
        <v>0</v>
      </c>
      <c r="E34" s="552">
        <v>0</v>
      </c>
      <c r="F34" s="552">
        <v>431994</v>
      </c>
      <c r="G34" s="552">
        <v>0</v>
      </c>
      <c r="H34" s="691"/>
      <c r="I34" s="409" t="s">
        <v>385</v>
      </c>
    </row>
    <row r="35" spans="1:10" ht="35.1" customHeight="1">
      <c r="A35" s="59">
        <f t="shared" si="2"/>
        <v>17</v>
      </c>
      <c r="B35" s="333" t="s">
        <v>290</v>
      </c>
      <c r="C35" s="551">
        <v>1325352</v>
      </c>
      <c r="D35" s="552">
        <v>1325352</v>
      </c>
      <c r="E35" s="552">
        <v>0</v>
      </c>
      <c r="F35" s="552">
        <v>0</v>
      </c>
      <c r="G35" s="552">
        <v>0</v>
      </c>
      <c r="H35" s="691"/>
      <c r="I35" s="409" t="s">
        <v>386</v>
      </c>
    </row>
    <row r="36" spans="1:10" ht="35.1" customHeight="1">
      <c r="A36" s="59">
        <f t="shared" si="2"/>
        <v>18</v>
      </c>
      <c r="B36" s="333" t="s">
        <v>292</v>
      </c>
      <c r="C36" s="551">
        <v>-223999</v>
      </c>
      <c r="D36" s="552">
        <v>-223999</v>
      </c>
      <c r="E36" s="552">
        <v>0</v>
      </c>
      <c r="F36" s="552">
        <v>0</v>
      </c>
      <c r="G36" s="552">
        <v>0</v>
      </c>
      <c r="H36" s="691"/>
      <c r="I36" s="409" t="s">
        <v>387</v>
      </c>
    </row>
    <row r="37" spans="1:10" ht="35.1" customHeight="1">
      <c r="A37" s="59">
        <f>+A36+1</f>
        <v>19</v>
      </c>
      <c r="B37" s="333" t="s">
        <v>294</v>
      </c>
      <c r="C37" s="553">
        <v>4715378</v>
      </c>
      <c r="D37" s="552">
        <v>4715378</v>
      </c>
      <c r="E37" s="552">
        <v>0</v>
      </c>
      <c r="F37" s="552">
        <v>0</v>
      </c>
      <c r="G37" s="552">
        <v>0</v>
      </c>
      <c r="H37" s="691"/>
      <c r="I37" s="409" t="s">
        <v>388</v>
      </c>
    </row>
    <row r="38" spans="1:10" ht="35.1" customHeight="1">
      <c r="A38" s="59">
        <f t="shared" si="2"/>
        <v>20</v>
      </c>
      <c r="B38" s="334" t="s">
        <v>296</v>
      </c>
      <c r="C38" s="554">
        <v>12390412</v>
      </c>
      <c r="D38" s="554">
        <v>10649877</v>
      </c>
      <c r="E38" s="554">
        <v>0</v>
      </c>
      <c r="F38" s="554">
        <v>-578455</v>
      </c>
      <c r="G38" s="554">
        <v>2318990</v>
      </c>
      <c r="H38" s="554"/>
      <c r="I38" s="161"/>
    </row>
    <row r="39" spans="1:10" ht="35.1" customHeight="1">
      <c r="A39" s="59">
        <f t="shared" si="2"/>
        <v>21</v>
      </c>
      <c r="B39" s="331" t="s">
        <v>297</v>
      </c>
      <c r="C39" s="555">
        <f>SUM(D39:G39)</f>
        <v>-1010449</v>
      </c>
      <c r="D39" s="555">
        <f>D29</f>
        <v>0</v>
      </c>
      <c r="E39" s="556">
        <f>E29</f>
        <v>0</v>
      </c>
      <c r="F39" s="557">
        <f>F29</f>
        <v>-1010449</v>
      </c>
      <c r="G39" s="557">
        <f>G29</f>
        <v>0</v>
      </c>
      <c r="H39" s="557"/>
      <c r="I39" s="167" t="str">
        <f>+'1A - ADIT'!I44</f>
        <v>All FAS 109 items excluded from formula rate</v>
      </c>
    </row>
    <row r="40" spans="1:10" ht="38.25" customHeight="1" thickBot="1">
      <c r="A40" s="59">
        <f>+A39+1</f>
        <v>22</v>
      </c>
      <c r="B40" s="330" t="s">
        <v>68</v>
      </c>
      <c r="C40" s="558">
        <f>+C38-C39</f>
        <v>13400861</v>
      </c>
      <c r="D40" s="558">
        <f t="shared" ref="D40:G40" si="3">+D38-D39</f>
        <v>10649877</v>
      </c>
      <c r="E40" s="558">
        <f t="shared" si="3"/>
        <v>0</v>
      </c>
      <c r="F40" s="558">
        <f t="shared" si="3"/>
        <v>431994</v>
      </c>
      <c r="G40" s="558">
        <f t="shared" si="3"/>
        <v>2318990</v>
      </c>
      <c r="H40" s="558"/>
      <c r="I40" s="329"/>
    </row>
    <row r="41" spans="1:10" ht="30" customHeight="1">
      <c r="A41" s="59"/>
      <c r="B41" s="58"/>
      <c r="C41" s="404"/>
      <c r="D41" s="405"/>
      <c r="E41" s="405"/>
      <c r="F41" s="405"/>
      <c r="G41" s="405"/>
      <c r="H41" s="405"/>
      <c r="I41" s="401"/>
    </row>
    <row r="42" spans="1:10" ht="15.75" customHeight="1">
      <c r="A42" s="59"/>
      <c r="B42" s="45" t="s">
        <v>299</v>
      </c>
      <c r="D42" s="156"/>
      <c r="E42" s="469"/>
      <c r="F42" s="59"/>
      <c r="I42" s="470"/>
    </row>
    <row r="43" spans="1:10" s="151" customFormat="1" ht="18">
      <c r="A43" s="367"/>
      <c r="B43" s="864" t="s">
        <v>389</v>
      </c>
      <c r="C43" s="864"/>
      <c r="D43" s="864"/>
      <c r="E43" s="864"/>
      <c r="F43" s="864"/>
      <c r="G43" s="864"/>
      <c r="H43" s="864"/>
      <c r="I43" s="864"/>
      <c r="J43" s="45"/>
    </row>
    <row r="44" spans="1:10" s="151" customFormat="1" ht="18">
      <c r="A44" s="367"/>
      <c r="B44" s="154" t="s">
        <v>301</v>
      </c>
      <c r="C44" s="45"/>
      <c r="D44" s="45"/>
      <c r="E44" s="45"/>
      <c r="F44" s="45"/>
      <c r="G44" s="59"/>
      <c r="H44" s="59"/>
      <c r="I44" s="59"/>
      <c r="J44" s="45"/>
    </row>
    <row r="45" spans="1:10" s="151" customFormat="1" ht="18">
      <c r="A45" s="367"/>
      <c r="B45" s="154" t="s">
        <v>313</v>
      </c>
      <c r="C45" s="45"/>
      <c r="D45" s="45"/>
      <c r="E45" s="45"/>
      <c r="F45" s="45"/>
      <c r="G45" s="59"/>
      <c r="H45" s="59"/>
      <c r="I45" s="59"/>
      <c r="J45" s="45"/>
    </row>
    <row r="46" spans="1:10">
      <c r="A46" s="59"/>
      <c r="B46" s="154" t="s">
        <v>390</v>
      </c>
      <c r="G46" s="59"/>
      <c r="H46" s="59"/>
      <c r="I46" s="59"/>
    </row>
    <row r="47" spans="1:10" ht="15" customHeight="1">
      <c r="A47" s="59"/>
      <c r="B47" s="864" t="s">
        <v>391</v>
      </c>
      <c r="C47" s="864"/>
      <c r="D47" s="864"/>
      <c r="E47" s="864"/>
      <c r="F47" s="864"/>
      <c r="G47" s="864"/>
      <c r="H47" s="864"/>
      <c r="I47" s="864"/>
    </row>
    <row r="48" spans="1:10">
      <c r="A48" s="59"/>
      <c r="B48" s="154" t="s">
        <v>305</v>
      </c>
      <c r="C48" s="59"/>
      <c r="D48" s="471"/>
      <c r="E48" s="59"/>
      <c r="F48" s="59"/>
      <c r="G48" s="59"/>
      <c r="H48" s="59"/>
      <c r="I48" s="447"/>
    </row>
    <row r="49" spans="1:10">
      <c r="A49" s="59"/>
    </row>
    <row r="50" spans="1:10" ht="15.75">
      <c r="A50" s="59"/>
      <c r="C50" s="159"/>
      <c r="D50" s="159"/>
      <c r="E50" s="159"/>
      <c r="F50" s="159"/>
      <c r="G50" s="159"/>
      <c r="H50" s="159"/>
      <c r="I50" s="447"/>
    </row>
    <row r="51" spans="1:10" ht="18">
      <c r="A51" s="59"/>
      <c r="B51" s="865" t="str">
        <f>+B1</f>
        <v>Dayton Power and Light</v>
      </c>
      <c r="C51" s="866"/>
      <c r="D51" s="866"/>
      <c r="E51" s="866"/>
      <c r="F51" s="866"/>
      <c r="G51" s="866"/>
      <c r="H51" s="866"/>
      <c r="I51" s="866"/>
      <c r="J51" s="151"/>
    </row>
    <row r="52" spans="1:10" ht="18">
      <c r="A52" s="59"/>
      <c r="B52" s="865" t="str">
        <f>+B2</f>
        <v xml:space="preserve">ATTACHMENT H-15A </v>
      </c>
      <c r="C52" s="865"/>
      <c r="D52" s="865"/>
      <c r="E52" s="865"/>
      <c r="F52" s="865"/>
      <c r="G52" s="865"/>
      <c r="H52" s="865"/>
      <c r="I52" s="865"/>
      <c r="J52" s="151"/>
    </row>
    <row r="53" spans="1:10" ht="18">
      <c r="A53" s="59"/>
      <c r="B53" s="865" t="str">
        <f>+B3</f>
        <v>Attachment 1C - Accumulated Deferred Income Taxes (ADIT) Worksheet - December 31 of Prior Year (2022)</v>
      </c>
      <c r="C53" s="865"/>
      <c r="D53" s="865"/>
      <c r="E53" s="865"/>
      <c r="F53" s="865"/>
      <c r="G53" s="865"/>
      <c r="H53" s="865"/>
      <c r="I53" s="865"/>
      <c r="J53" s="151"/>
    </row>
    <row r="54" spans="1:10" ht="15.75">
      <c r="A54" s="59"/>
      <c r="B54" s="869"/>
      <c r="C54" s="869"/>
      <c r="D54" s="869"/>
      <c r="E54" s="869"/>
      <c r="F54" s="869"/>
      <c r="G54" s="869"/>
      <c r="H54" s="869"/>
      <c r="I54" s="869"/>
    </row>
    <row r="55" spans="1:10" ht="25.15" customHeight="1">
      <c r="A55" s="59"/>
      <c r="B55" s="159" t="s">
        <v>207</v>
      </c>
      <c r="C55" s="159" t="s">
        <v>209</v>
      </c>
      <c r="D55" s="159" t="s">
        <v>211</v>
      </c>
      <c r="E55" s="159" t="s">
        <v>213</v>
      </c>
      <c r="F55" s="159" t="s">
        <v>215</v>
      </c>
      <c r="G55" s="159" t="s">
        <v>217</v>
      </c>
      <c r="H55" s="159"/>
      <c r="I55" s="628"/>
    </row>
    <row r="56" spans="1:10" ht="25.15" customHeight="1">
      <c r="A56" s="59"/>
      <c r="B56" s="45"/>
      <c r="C56" s="153" t="s">
        <v>68</v>
      </c>
      <c r="D56" s="153"/>
      <c r="E56" s="153" t="s">
        <v>254</v>
      </c>
      <c r="F56" s="153"/>
      <c r="G56" s="153"/>
      <c r="H56" s="153"/>
      <c r="I56" s="629"/>
    </row>
    <row r="57" spans="1:10" ht="26.45" customHeight="1">
      <c r="A57" s="59"/>
      <c r="B57" s="155" t="s">
        <v>994</v>
      </c>
      <c r="C57" s="153"/>
      <c r="D57" s="153"/>
      <c r="E57" s="153" t="s">
        <v>57</v>
      </c>
      <c r="F57" s="153" t="s">
        <v>255</v>
      </c>
      <c r="G57" s="153" t="s">
        <v>256</v>
      </c>
      <c r="H57" s="153"/>
      <c r="I57" s="629"/>
    </row>
    <row r="58" spans="1:10" ht="22.15" customHeight="1" thickBot="1">
      <c r="A58" s="59"/>
      <c r="C58" s="153"/>
      <c r="D58" s="153" t="str">
        <f>+D25</f>
        <v>Excluded</v>
      </c>
      <c r="E58" s="153" t="s">
        <v>257</v>
      </c>
      <c r="F58" s="153" t="s">
        <v>257</v>
      </c>
      <c r="G58" s="153" t="s">
        <v>257</v>
      </c>
      <c r="H58" s="153"/>
      <c r="I58" s="159" t="s">
        <v>392</v>
      </c>
    </row>
    <row r="59" spans="1:10" ht="27.6" customHeight="1">
      <c r="A59" s="59">
        <f>+A40+1</f>
        <v>23</v>
      </c>
      <c r="B59" s="506" t="s">
        <v>308</v>
      </c>
      <c r="C59" s="824">
        <v>-40176281</v>
      </c>
      <c r="D59" s="783">
        <v>0</v>
      </c>
      <c r="E59" s="784">
        <v>-33980359</v>
      </c>
      <c r="F59" s="552">
        <v>0</v>
      </c>
      <c r="G59" s="552">
        <v>-6195922</v>
      </c>
      <c r="H59" s="692"/>
      <c r="I59" s="408" t="s">
        <v>393</v>
      </c>
    </row>
    <row r="60" spans="1:10" ht="35.1" customHeight="1">
      <c r="A60" s="59">
        <f>+A59+1</f>
        <v>24</v>
      </c>
      <c r="B60" s="333" t="s">
        <v>309</v>
      </c>
      <c r="C60" s="552">
        <v>-3069860</v>
      </c>
      <c r="D60" s="552">
        <v>-73829</v>
      </c>
      <c r="E60" s="562">
        <v>-2996031</v>
      </c>
      <c r="F60" s="552">
        <v>0</v>
      </c>
      <c r="G60" s="552">
        <v>0</v>
      </c>
      <c r="H60" s="691"/>
      <c r="I60" s="655" t="s">
        <v>310</v>
      </c>
    </row>
    <row r="61" spans="1:10" ht="35.1" customHeight="1" thickBot="1">
      <c r="A61" s="59">
        <f>+A60+1</f>
        <v>25</v>
      </c>
      <c r="B61" s="330" t="s">
        <v>68</v>
      </c>
      <c r="C61" s="558">
        <f>+SUM(C59:C60)</f>
        <v>-43246141</v>
      </c>
      <c r="D61" s="558">
        <f t="shared" ref="D61:G61" si="4">+SUM(D59:D60)</f>
        <v>-73829</v>
      </c>
      <c r="E61" s="558">
        <f t="shared" si="4"/>
        <v>-36976390</v>
      </c>
      <c r="F61" s="558">
        <f t="shared" si="4"/>
        <v>0</v>
      </c>
      <c r="G61" s="558">
        <f t="shared" si="4"/>
        <v>-6195922</v>
      </c>
      <c r="H61" s="558"/>
      <c r="I61" s="329"/>
    </row>
    <row r="62" spans="1:10" ht="23.45" customHeight="1">
      <c r="A62" s="59"/>
      <c r="B62" s="45" t="s">
        <v>311</v>
      </c>
      <c r="C62" s="58"/>
      <c r="D62" s="58"/>
      <c r="E62" s="159"/>
      <c r="F62" s="162"/>
      <c r="G62" s="58"/>
      <c r="H62" s="58"/>
      <c r="I62" s="401"/>
    </row>
    <row r="63" spans="1:10" ht="23.45" customHeight="1">
      <c r="A63" s="59"/>
      <c r="B63" s="154" t="s">
        <v>312</v>
      </c>
      <c r="C63" s="58"/>
      <c r="D63" s="58"/>
      <c r="E63" s="58"/>
      <c r="F63" s="58"/>
      <c r="G63" s="159"/>
      <c r="H63" s="159"/>
      <c r="I63" s="159"/>
    </row>
    <row r="64" spans="1:10" ht="15.75">
      <c r="A64" s="59"/>
      <c r="B64" s="154" t="s">
        <v>301</v>
      </c>
      <c r="C64" s="58"/>
      <c r="D64" s="58"/>
      <c r="E64" s="58"/>
      <c r="F64" s="58"/>
      <c r="G64" s="159"/>
      <c r="H64" s="159"/>
      <c r="I64" s="159"/>
    </row>
    <row r="65" spans="1:10" ht="18" customHeight="1">
      <c r="A65" s="59"/>
      <c r="B65" s="154" t="s">
        <v>313</v>
      </c>
      <c r="C65" s="58"/>
      <c r="D65" s="58"/>
      <c r="E65" s="58"/>
      <c r="F65" s="58"/>
      <c r="G65" s="159"/>
      <c r="H65" s="159"/>
      <c r="I65" s="159"/>
    </row>
    <row r="66" spans="1:10" s="151" customFormat="1" ht="18" customHeight="1">
      <c r="A66" s="367"/>
      <c r="B66" s="154" t="s">
        <v>314</v>
      </c>
      <c r="C66" s="58"/>
      <c r="D66" s="58"/>
      <c r="E66" s="58"/>
      <c r="F66" s="58"/>
      <c r="G66" s="159"/>
      <c r="H66" s="159"/>
      <c r="I66" s="159"/>
      <c r="J66" s="45"/>
    </row>
    <row r="67" spans="1:10" s="151" customFormat="1" ht="18">
      <c r="A67" s="367"/>
      <c r="B67" s="864" t="s">
        <v>391</v>
      </c>
      <c r="C67" s="864"/>
      <c r="D67" s="864"/>
      <c r="E67" s="864"/>
      <c r="F67" s="864"/>
      <c r="G67" s="864"/>
      <c r="H67" s="864"/>
      <c r="I67" s="864"/>
      <c r="J67" s="45"/>
    </row>
    <row r="68" spans="1:10" s="151" customFormat="1" ht="18">
      <c r="A68" s="367"/>
      <c r="B68" s="154" t="s">
        <v>305</v>
      </c>
      <c r="C68" s="59"/>
      <c r="D68" s="471"/>
      <c r="E68" s="59"/>
      <c r="F68" s="59"/>
      <c r="G68" s="59"/>
      <c r="H68" s="59"/>
      <c r="I68" s="447"/>
      <c r="J68" s="45"/>
    </row>
    <row r="69" spans="1:10" s="151" customFormat="1" ht="18">
      <c r="A69" s="367"/>
      <c r="B69" s="159"/>
      <c r="C69" s="45"/>
      <c r="D69" s="45"/>
      <c r="E69" s="45"/>
      <c r="F69" s="45"/>
      <c r="G69" s="45"/>
      <c r="H69" s="45"/>
      <c r="I69" s="45"/>
      <c r="J69" s="45"/>
    </row>
    <row r="70" spans="1:10" ht="18">
      <c r="A70" s="59"/>
      <c r="B70" s="172" t="str">
        <f>B1</f>
        <v>Dayton Power and Light</v>
      </c>
      <c r="C70" s="173"/>
      <c r="D70" s="173"/>
      <c r="E70" s="173"/>
      <c r="F70" s="173"/>
      <c r="G70" s="173"/>
      <c r="H70" s="173"/>
      <c r="I70" s="173"/>
      <c r="J70" s="151"/>
    </row>
    <row r="71" spans="1:10" ht="18">
      <c r="A71" s="59"/>
      <c r="B71" s="865" t="str">
        <f>+B52</f>
        <v xml:space="preserve">ATTACHMENT H-15A </v>
      </c>
      <c r="C71" s="865"/>
      <c r="D71" s="865"/>
      <c r="E71" s="865"/>
      <c r="F71" s="865"/>
      <c r="G71" s="865"/>
      <c r="H71" s="865"/>
      <c r="I71" s="865"/>
      <c r="J71" s="151"/>
    </row>
    <row r="72" spans="1:10" ht="18">
      <c r="A72" s="59"/>
      <c r="B72" s="865" t="str">
        <f>+B3</f>
        <v>Attachment 1C - Accumulated Deferred Income Taxes (ADIT) Worksheet - December 31 of Prior Year (2022)</v>
      </c>
      <c r="C72" s="865"/>
      <c r="D72" s="865"/>
      <c r="E72" s="865"/>
      <c r="F72" s="865"/>
      <c r="G72" s="865"/>
      <c r="H72" s="865"/>
      <c r="I72" s="865"/>
      <c r="J72" s="151"/>
    </row>
    <row r="73" spans="1:10" ht="20.100000000000001" customHeight="1">
      <c r="A73" s="59"/>
      <c r="B73" s="163"/>
      <c r="C73" s="151"/>
      <c r="D73" s="151"/>
      <c r="E73" s="151"/>
      <c r="F73" s="151"/>
      <c r="G73" s="149"/>
      <c r="H73" s="149"/>
      <c r="I73" s="185"/>
      <c r="J73" s="151"/>
    </row>
    <row r="74" spans="1:10" ht="36.75" customHeight="1">
      <c r="A74" s="59"/>
      <c r="B74" s="159" t="s">
        <v>207</v>
      </c>
      <c r="C74" s="159" t="s">
        <v>209</v>
      </c>
      <c r="D74" s="159" t="s">
        <v>211</v>
      </c>
      <c r="E74" s="159" t="s">
        <v>213</v>
      </c>
      <c r="F74" s="159" t="s">
        <v>215</v>
      </c>
      <c r="G74" s="159" t="s">
        <v>217</v>
      </c>
      <c r="H74" s="159"/>
      <c r="I74" s="159" t="s">
        <v>219</v>
      </c>
    </row>
    <row r="75" spans="1:10" ht="33.75" customHeight="1">
      <c r="A75" s="59"/>
      <c r="B75" s="155" t="s">
        <v>995</v>
      </c>
      <c r="C75" s="153" t="s">
        <v>68</v>
      </c>
      <c r="D75" s="165"/>
      <c r="E75" s="165" t="s">
        <v>394</v>
      </c>
      <c r="F75" s="165" t="s">
        <v>255</v>
      </c>
      <c r="G75" s="165" t="s">
        <v>256</v>
      </c>
      <c r="H75" s="159"/>
    </row>
    <row r="76" spans="1:10" ht="36" customHeight="1" thickBot="1">
      <c r="A76" s="59"/>
      <c r="C76" s="153"/>
      <c r="D76" s="153" t="str">
        <f>+D58</f>
        <v>Excluded</v>
      </c>
      <c r="E76" s="153" t="str">
        <f>+E58</f>
        <v>Related</v>
      </c>
      <c r="F76" s="153" t="str">
        <f>+F58</f>
        <v>Related</v>
      </c>
      <c r="G76" s="153" t="str">
        <f>+G58</f>
        <v>Related</v>
      </c>
      <c r="H76" s="159"/>
    </row>
    <row r="77" spans="1:10" ht="30.75" customHeight="1">
      <c r="A77" s="59">
        <f>+A61+1</f>
        <v>26</v>
      </c>
      <c r="B77" s="332" t="s">
        <v>316</v>
      </c>
      <c r="C77" s="550">
        <v>-6274880</v>
      </c>
      <c r="D77" s="550">
        <v>0</v>
      </c>
      <c r="E77" s="550">
        <v>0</v>
      </c>
      <c r="F77" s="550">
        <v>0</v>
      </c>
      <c r="G77" s="550">
        <f>+C77</f>
        <v>-6274880</v>
      </c>
      <c r="H77" s="692"/>
      <c r="I77" s="654" t="s">
        <v>317</v>
      </c>
    </row>
    <row r="78" spans="1:10" ht="43.5" customHeight="1">
      <c r="A78" s="59">
        <f>+A77+1</f>
        <v>27</v>
      </c>
      <c r="B78" s="333" t="s">
        <v>318</v>
      </c>
      <c r="C78" s="552">
        <v>-1477655</v>
      </c>
      <c r="D78" s="552">
        <f>+C78</f>
        <v>-1477655</v>
      </c>
      <c r="E78" s="552">
        <v>0</v>
      </c>
      <c r="F78" s="552">
        <v>0</v>
      </c>
      <c r="G78" s="552">
        <v>0</v>
      </c>
      <c r="H78" s="691"/>
      <c r="I78" s="410" t="s">
        <v>319</v>
      </c>
    </row>
    <row r="79" spans="1:10" ht="40.5" customHeight="1">
      <c r="A79" s="59">
        <f t="shared" ref="A79:A87" si="5">+A78+1</f>
        <v>28</v>
      </c>
      <c r="B79" s="333" t="s">
        <v>320</v>
      </c>
      <c r="C79" s="552">
        <v>-19784694</v>
      </c>
      <c r="D79" s="552">
        <f>+C79</f>
        <v>-19784694</v>
      </c>
      <c r="E79" s="552">
        <v>0</v>
      </c>
      <c r="F79" s="552">
        <v>0</v>
      </c>
      <c r="G79" s="552">
        <v>0</v>
      </c>
      <c r="H79" s="691"/>
      <c r="I79" s="410" t="s">
        <v>321</v>
      </c>
    </row>
    <row r="80" spans="1:10" s="531" customFormat="1" ht="33" customHeight="1">
      <c r="A80" s="656">
        <f t="shared" si="5"/>
        <v>29</v>
      </c>
      <c r="B80" s="657" t="s">
        <v>322</v>
      </c>
      <c r="C80" s="552">
        <v>0</v>
      </c>
      <c r="D80" s="552">
        <v>0</v>
      </c>
      <c r="E80" s="552">
        <v>0</v>
      </c>
      <c r="F80" s="552">
        <v>0</v>
      </c>
      <c r="G80" s="552">
        <v>0</v>
      </c>
      <c r="H80" s="691"/>
      <c r="I80" s="410" t="s">
        <v>323</v>
      </c>
    </row>
    <row r="81" spans="1:9" ht="25.15" customHeight="1">
      <c r="A81" s="59">
        <f t="shared" si="5"/>
        <v>30</v>
      </c>
      <c r="B81" s="505" t="s">
        <v>324</v>
      </c>
      <c r="C81" s="552">
        <v>14861511</v>
      </c>
      <c r="D81" s="552">
        <v>0</v>
      </c>
      <c r="E81" s="552">
        <v>0</v>
      </c>
      <c r="F81" s="552">
        <f>+C81</f>
        <v>14861511</v>
      </c>
      <c r="G81" s="552">
        <v>0</v>
      </c>
      <c r="H81" s="691"/>
      <c r="I81" s="406" t="s">
        <v>279</v>
      </c>
    </row>
    <row r="82" spans="1:9" ht="25.15" customHeight="1">
      <c r="A82" s="59">
        <f t="shared" si="5"/>
        <v>31</v>
      </c>
      <c r="B82" s="333" t="s">
        <v>325</v>
      </c>
      <c r="C82" s="552">
        <v>709536</v>
      </c>
      <c r="D82" s="552">
        <v>0</v>
      </c>
      <c r="E82" s="552">
        <v>0</v>
      </c>
      <c r="F82" s="552">
        <v>0</v>
      </c>
      <c r="G82" s="552">
        <f>+C82</f>
        <v>709536</v>
      </c>
      <c r="H82" s="691"/>
      <c r="I82" s="410" t="s">
        <v>326</v>
      </c>
    </row>
    <row r="83" spans="1:9" ht="25.15" customHeight="1" thickBot="1">
      <c r="A83" s="59">
        <f>+A82+1</f>
        <v>32</v>
      </c>
      <c r="B83" s="333" t="s">
        <v>294</v>
      </c>
      <c r="C83" s="552">
        <v>-22655585</v>
      </c>
      <c r="D83" s="552">
        <f>+C83</f>
        <v>-22655585</v>
      </c>
      <c r="E83" s="552">
        <v>0</v>
      </c>
      <c r="F83" s="552">
        <v>0</v>
      </c>
      <c r="G83" s="552">
        <v>0</v>
      </c>
      <c r="H83" s="691"/>
      <c r="I83" s="410" t="s">
        <v>395</v>
      </c>
    </row>
    <row r="84" spans="1:9" ht="35.1" customHeight="1">
      <c r="A84" s="59">
        <f t="shared" si="5"/>
        <v>33</v>
      </c>
      <c r="B84" s="174" t="s">
        <v>328</v>
      </c>
      <c r="C84" s="563">
        <f>SUM(C77:C83)</f>
        <v>-34621767</v>
      </c>
      <c r="D84" s="563">
        <f t="shared" ref="D84:G84" si="6">SUM(D77:D83)</f>
        <v>-43917934</v>
      </c>
      <c r="E84" s="563">
        <f t="shared" si="6"/>
        <v>0</v>
      </c>
      <c r="F84" s="563">
        <f>SUM(F77:F83)</f>
        <v>14861511</v>
      </c>
      <c r="G84" s="563">
        <f t="shared" si="6"/>
        <v>-5565344</v>
      </c>
      <c r="H84" s="563"/>
      <c r="I84" s="175"/>
    </row>
    <row r="85" spans="1:9" ht="15.6" customHeight="1">
      <c r="A85" s="59">
        <f t="shared" si="5"/>
        <v>34</v>
      </c>
      <c r="B85" s="166" t="s">
        <v>329</v>
      </c>
      <c r="C85" s="555">
        <f>+C81</f>
        <v>14861511</v>
      </c>
      <c r="D85" s="555">
        <f>+D81</f>
        <v>0</v>
      </c>
      <c r="E85" s="555">
        <f>+E81</f>
        <v>0</v>
      </c>
      <c r="F85" s="555">
        <f>+F81</f>
        <v>14861511</v>
      </c>
      <c r="G85" s="555">
        <f>+G81</f>
        <v>0</v>
      </c>
      <c r="H85" s="568"/>
      <c r="I85" s="167"/>
    </row>
    <row r="86" spans="1:9" ht="15.6" customHeight="1">
      <c r="A86" s="59">
        <f t="shared" si="5"/>
        <v>35</v>
      </c>
      <c r="B86" s="396" t="s">
        <v>330</v>
      </c>
      <c r="C86" s="564">
        <f>+C78</f>
        <v>-1477655</v>
      </c>
      <c r="D86" s="564">
        <f>+D78</f>
        <v>-1477655</v>
      </c>
      <c r="E86" s="564">
        <f>+E78</f>
        <v>0</v>
      </c>
      <c r="F86" s="564">
        <f>+F78</f>
        <v>0</v>
      </c>
      <c r="G86" s="564">
        <f>+G78</f>
        <v>0</v>
      </c>
      <c r="H86" s="569"/>
      <c r="I86" s="397" t="s">
        <v>331</v>
      </c>
    </row>
    <row r="87" spans="1:9" ht="35.1" customHeight="1" thickBot="1">
      <c r="A87" s="59">
        <f t="shared" si="5"/>
        <v>36</v>
      </c>
      <c r="B87" s="330" t="s">
        <v>68</v>
      </c>
      <c r="C87" s="558">
        <f>+C84-C85-C86</f>
        <v>-48005623</v>
      </c>
      <c r="D87" s="558">
        <f t="shared" ref="D87:G87" si="7">+D84-D85-D86</f>
        <v>-42440279</v>
      </c>
      <c r="E87" s="558">
        <f t="shared" si="7"/>
        <v>0</v>
      </c>
      <c r="F87" s="558">
        <f t="shared" si="7"/>
        <v>0</v>
      </c>
      <c r="G87" s="558">
        <f t="shared" si="7"/>
        <v>-5565344</v>
      </c>
      <c r="H87" s="558"/>
      <c r="I87" s="329"/>
    </row>
    <row r="88" spans="1:9" ht="28.15" customHeight="1">
      <c r="A88" s="59"/>
      <c r="B88" s="45" t="s">
        <v>332</v>
      </c>
      <c r="E88" s="59"/>
      <c r="F88" s="59"/>
      <c r="I88" s="168"/>
    </row>
    <row r="89" spans="1:9" ht="19.149999999999999" customHeight="1">
      <c r="A89" s="59"/>
      <c r="B89" s="154" t="str">
        <f>+B63</f>
        <v>1.  ADIT items related only to Non-Electric Operations or Production are directly assigned to Column C</v>
      </c>
      <c r="C89" s="58"/>
      <c r="D89" s="58"/>
      <c r="E89" s="58"/>
      <c r="F89" s="58"/>
      <c r="G89" s="159"/>
      <c r="H89" s="159"/>
      <c r="I89" s="159"/>
    </row>
    <row r="90" spans="1:9" ht="18.600000000000001" customHeight="1">
      <c r="A90" s="59"/>
      <c r="B90" s="154" t="s">
        <v>301</v>
      </c>
      <c r="C90" s="58"/>
      <c r="D90" s="58"/>
      <c r="E90" s="58"/>
      <c r="F90" s="58"/>
      <c r="G90" s="159"/>
      <c r="H90" s="159"/>
      <c r="I90" s="159"/>
    </row>
    <row r="91" spans="1:9" ht="15" customHeight="1">
      <c r="A91" s="59"/>
      <c r="B91" s="154" t="s">
        <v>313</v>
      </c>
      <c r="C91" s="58"/>
      <c r="D91" s="58"/>
      <c r="E91" s="58"/>
      <c r="F91" s="58"/>
      <c r="G91" s="159"/>
      <c r="H91" s="159"/>
      <c r="I91" s="159"/>
    </row>
    <row r="92" spans="1:9" ht="15.75">
      <c r="A92" s="59"/>
      <c r="B92" s="154" t="s">
        <v>314</v>
      </c>
      <c r="C92" s="58"/>
      <c r="D92" s="58"/>
      <c r="E92" s="58"/>
      <c r="F92" s="58"/>
      <c r="G92" s="159"/>
      <c r="H92" s="159"/>
      <c r="I92" s="159"/>
    </row>
    <row r="93" spans="1:9" ht="15.75" customHeight="1">
      <c r="A93" s="59"/>
      <c r="B93" s="864" t="s">
        <v>391</v>
      </c>
      <c r="C93" s="864"/>
      <c r="D93" s="864"/>
      <c r="E93" s="864"/>
      <c r="F93" s="864"/>
      <c r="G93" s="864"/>
      <c r="H93" s="864"/>
      <c r="I93" s="864"/>
    </row>
    <row r="94" spans="1:9" ht="15.75" customHeight="1">
      <c r="A94" s="59"/>
      <c r="B94" s="154" t="s">
        <v>305</v>
      </c>
      <c r="C94" s="59"/>
      <c r="D94" s="471"/>
      <c r="E94" s="59"/>
      <c r="F94" s="59"/>
      <c r="G94" s="59"/>
      <c r="H94" s="59"/>
      <c r="I94" s="447"/>
    </row>
    <row r="95" spans="1:9" ht="15.75">
      <c r="A95" s="59"/>
      <c r="B95" s="169"/>
      <c r="C95" s="170"/>
      <c r="D95" s="170"/>
      <c r="E95" s="170"/>
      <c r="F95" s="170"/>
      <c r="G95" s="170"/>
      <c r="H95" s="170"/>
      <c r="I95" s="170"/>
    </row>
    <row r="96" spans="1:9" ht="15.75">
      <c r="A96" s="59"/>
      <c r="B96" s="863"/>
      <c r="C96" s="863"/>
      <c r="D96" s="863"/>
      <c r="E96" s="863"/>
      <c r="F96" s="863"/>
      <c r="G96" s="863"/>
      <c r="H96" s="863"/>
      <c r="I96" s="863"/>
    </row>
    <row r="97" spans="1:9">
      <c r="A97" s="59"/>
      <c r="B97" s="45"/>
    </row>
    <row r="98" spans="1:9">
      <c r="A98" s="59"/>
      <c r="B98" s="45"/>
    </row>
    <row r="99" spans="1:9">
      <c r="A99" s="59"/>
      <c r="B99" s="45"/>
    </row>
    <row r="100" spans="1:9" ht="15.75">
      <c r="A100" s="59"/>
      <c r="B100" s="58"/>
      <c r="D100" s="171"/>
      <c r="E100" s="171"/>
      <c r="F100" s="171"/>
      <c r="G100" s="171"/>
      <c r="H100" s="171"/>
      <c r="I100" s="171"/>
    </row>
    <row r="101" spans="1:9" ht="15.75">
      <c r="B101" s="58"/>
      <c r="D101" s="171"/>
      <c r="E101" s="171"/>
      <c r="F101" s="171"/>
      <c r="G101" s="171"/>
      <c r="H101" s="171"/>
      <c r="I101" s="171"/>
    </row>
    <row r="102" spans="1:9">
      <c r="D102" s="59"/>
      <c r="E102" s="59"/>
    </row>
    <row r="103" spans="1:9">
      <c r="D103" s="17"/>
      <c r="E103" s="17"/>
    </row>
    <row r="104" spans="1:9">
      <c r="D104" s="17"/>
      <c r="E104" s="17"/>
    </row>
    <row r="105" spans="1:9">
      <c r="D105" s="17"/>
      <c r="E105" s="17"/>
    </row>
    <row r="106" spans="1:9">
      <c r="D106" s="17"/>
      <c r="E106" s="17"/>
    </row>
    <row r="107" spans="1:9">
      <c r="D107" s="17"/>
      <c r="E107" s="17"/>
    </row>
    <row r="108" spans="1:9">
      <c r="D108" s="17"/>
      <c r="E108" s="17"/>
    </row>
    <row r="109" spans="1:9">
      <c r="D109" s="17"/>
      <c r="E109" s="17"/>
    </row>
    <row r="110" spans="1:9">
      <c r="D110" s="17"/>
      <c r="E110" s="17"/>
    </row>
    <row r="111" spans="1:9">
      <c r="D111" s="17"/>
      <c r="E111" s="17"/>
    </row>
    <row r="112" spans="1:9">
      <c r="D112" s="17"/>
      <c r="E112" s="17"/>
    </row>
    <row r="113" spans="2:5">
      <c r="B113" s="45"/>
      <c r="D113" s="17"/>
      <c r="E113" s="17"/>
    </row>
    <row r="114" spans="2:5">
      <c r="D114" s="17"/>
      <c r="E114" s="17"/>
    </row>
    <row r="115" spans="2:5">
      <c r="B115" s="45"/>
      <c r="D115" s="17"/>
      <c r="E115" s="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topLeftCell="A3" zoomScale="70" zoomScaleNormal="70" zoomScaleSheetLayoutView="50" workbookViewId="0">
      <selection activeCell="B6" sqref="B6"/>
    </sheetView>
  </sheetViews>
  <sheetFormatPr defaultRowHeight="12.75"/>
  <cols>
    <col min="1" max="1" width="5.140625" customWidth="1"/>
    <col min="2" max="2" width="28.425781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c r="B3" s="867" t="s">
        <v>0</v>
      </c>
      <c r="C3" s="867"/>
      <c r="D3" s="867"/>
      <c r="E3" s="867"/>
      <c r="F3" s="867"/>
      <c r="G3" s="867"/>
      <c r="H3" s="867"/>
      <c r="I3" s="867"/>
    </row>
    <row r="4" spans="1:9" ht="18">
      <c r="B4" s="867" t="s">
        <v>1</v>
      </c>
      <c r="C4" s="867"/>
      <c r="D4" s="867"/>
      <c r="E4" s="867"/>
      <c r="F4" s="867"/>
      <c r="G4" s="867"/>
      <c r="H4" s="867"/>
      <c r="I4" s="867"/>
    </row>
    <row r="5" spans="1:9" ht="18">
      <c r="B5" s="867" t="s">
        <v>396</v>
      </c>
      <c r="C5" s="867"/>
      <c r="D5" s="867"/>
      <c r="E5" s="867"/>
      <c r="F5" s="867"/>
      <c r="G5" s="867"/>
      <c r="H5" s="867"/>
      <c r="I5" s="867"/>
    </row>
    <row r="6" spans="1:9" ht="15">
      <c r="B6" s="831" t="s">
        <v>1022</v>
      </c>
      <c r="C6" s="45"/>
      <c r="D6" s="45"/>
      <c r="E6" s="45"/>
      <c r="F6" s="45"/>
      <c r="G6" s="45"/>
      <c r="H6" s="45"/>
      <c r="I6" s="45"/>
    </row>
    <row r="7" spans="1:9" ht="18">
      <c r="B7" s="178"/>
      <c r="C7" s="1"/>
      <c r="D7" s="153" t="s">
        <v>254</v>
      </c>
      <c r="E7" s="153"/>
      <c r="F7" s="45"/>
      <c r="G7" s="153"/>
      <c r="H7" s="153"/>
      <c r="I7" s="45"/>
    </row>
    <row r="8" spans="1:9" ht="18">
      <c r="B8" s="154"/>
      <c r="C8" s="45"/>
      <c r="D8" s="153" t="s">
        <v>57</v>
      </c>
      <c r="E8" s="153" t="s">
        <v>255</v>
      </c>
      <c r="F8" s="153" t="s">
        <v>256</v>
      </c>
      <c r="G8" s="153"/>
      <c r="H8" s="153" t="s">
        <v>68</v>
      </c>
      <c r="I8" s="628"/>
    </row>
    <row r="9" spans="1:9" ht="18">
      <c r="B9" s="154"/>
      <c r="C9" s="45"/>
      <c r="D9" s="153" t="s">
        <v>257</v>
      </c>
      <c r="E9" s="153" t="s">
        <v>257</v>
      </c>
      <c r="F9" s="153" t="s">
        <v>257</v>
      </c>
      <c r="G9" s="153"/>
      <c r="H9" s="153" t="s">
        <v>258</v>
      </c>
      <c r="I9" s="629"/>
    </row>
    <row r="10" spans="1:9" ht="25.5">
      <c r="B10" s="347"/>
      <c r="C10" s="344"/>
      <c r="D10" s="344"/>
      <c r="E10" s="344"/>
      <c r="F10" s="344"/>
      <c r="G10" s="344"/>
      <c r="H10" s="344"/>
      <c r="I10" s="629"/>
    </row>
    <row r="11" spans="1:9" ht="15">
      <c r="B11" s="154"/>
      <c r="C11" s="45"/>
      <c r="D11" s="45"/>
      <c r="E11" s="45"/>
      <c r="F11" s="45"/>
      <c r="G11" s="45"/>
      <c r="H11" s="45"/>
      <c r="I11" s="45"/>
    </row>
    <row r="12" spans="1:9" ht="15.75">
      <c r="A12" s="400">
        <f>+A11+1</f>
        <v>1</v>
      </c>
      <c r="B12" s="154"/>
      <c r="C12" s="58" t="s">
        <v>270</v>
      </c>
      <c r="D12" s="156">
        <f>+E47</f>
        <v>0</v>
      </c>
      <c r="E12" s="156">
        <f>+F47</f>
        <v>0</v>
      </c>
      <c r="F12" s="156">
        <f>+G47</f>
        <v>0</v>
      </c>
      <c r="G12" s="156"/>
      <c r="H12" s="156"/>
      <c r="I12" s="91" t="str">
        <f>"(Line "&amp;A47&amp;")"</f>
        <v>(Line 26)</v>
      </c>
    </row>
    <row r="13" spans="1:9" ht="15.75">
      <c r="A13" s="400">
        <f>+A12+1</f>
        <v>2</v>
      </c>
      <c r="B13" s="154"/>
      <c r="C13" s="58" t="s">
        <v>260</v>
      </c>
      <c r="D13" s="156">
        <f>+E67</f>
        <v>0</v>
      </c>
      <c r="E13" s="156">
        <f>+F67</f>
        <v>0</v>
      </c>
      <c r="F13" s="156">
        <f>+G67</f>
        <v>0</v>
      </c>
      <c r="G13" s="156"/>
      <c r="H13" s="156"/>
      <c r="I13" s="91" t="str">
        <f>"(Line "&amp;A67&amp;")"</f>
        <v>(Line 29)</v>
      </c>
    </row>
    <row r="14" spans="1:9" ht="15.75">
      <c r="A14" s="400">
        <f>+A13+1</f>
        <v>3</v>
      </c>
      <c r="B14" s="154"/>
      <c r="C14" s="58" t="s">
        <v>315</v>
      </c>
      <c r="D14" s="156">
        <f>+E97</f>
        <v>0</v>
      </c>
      <c r="E14" s="156">
        <f>+F97</f>
        <v>0</v>
      </c>
      <c r="F14" s="156">
        <f>+G97</f>
        <v>0</v>
      </c>
      <c r="G14" s="156"/>
      <c r="H14" s="156"/>
      <c r="I14" s="91" t="str">
        <f>"(Line "&amp;A97&amp;")"</f>
        <v>(Line 37)</v>
      </c>
    </row>
    <row r="15" spans="1:9" ht="15.75">
      <c r="A15" s="400">
        <f>+A14+1</f>
        <v>4</v>
      </c>
      <c r="B15" s="154"/>
      <c r="C15" s="58" t="s">
        <v>91</v>
      </c>
      <c r="D15" s="156">
        <f>SUM(D12:D14)</f>
        <v>0</v>
      </c>
      <c r="E15" s="156">
        <f t="shared" ref="E15:F15" si="0">SUM(E12:E14)</f>
        <v>0</v>
      </c>
      <c r="F15" s="156">
        <f t="shared" si="0"/>
        <v>0</v>
      </c>
      <c r="G15" s="156"/>
      <c r="H15" s="156"/>
      <c r="I15" s="91" t="str">
        <f>"(Line "&amp;A12&amp;" + Line "&amp;A13&amp;" + Line "&amp;A14&amp;")"</f>
        <v>(Line 1 + Line 2 + Line 3)</v>
      </c>
    </row>
    <row r="16" spans="1:9" ht="15.75">
      <c r="A16" s="400">
        <f t="shared" ref="A16:A20" si="1">+A15+1</f>
        <v>5</v>
      </c>
      <c r="B16" s="154"/>
      <c r="C16" s="58" t="s">
        <v>13</v>
      </c>
      <c r="D16" s="45"/>
      <c r="E16" s="45"/>
      <c r="F16" s="463">
        <f>+'Appendix A'!H16</f>
        <v>0.12783050741274057</v>
      </c>
      <c r="G16" s="45"/>
      <c r="H16" s="45"/>
      <c r="I16" s="19" t="str">
        <f>"(Appendix A, Line "&amp;'Appendix A'!A16&amp;")"</f>
        <v>(Appendix A, Line 5)</v>
      </c>
    </row>
    <row r="17" spans="1:9" ht="15.75">
      <c r="A17" s="400">
        <f t="shared" si="1"/>
        <v>6</v>
      </c>
      <c r="B17" s="154"/>
      <c r="C17" s="58" t="s">
        <v>21</v>
      </c>
      <c r="D17" s="45"/>
      <c r="E17" s="463">
        <f>+'Appendix A'!H27</f>
        <v>0.22074546692968111</v>
      </c>
      <c r="F17" s="45"/>
      <c r="G17" s="45"/>
      <c r="H17" s="45"/>
      <c r="I17" s="19" t="str">
        <f>"(Appendix A, Line "&amp;'Appendix A'!A27&amp;")"</f>
        <v>(Appendix A, Line 12)</v>
      </c>
    </row>
    <row r="18" spans="1:9" ht="15.75">
      <c r="A18" s="400">
        <f>+A17+1</f>
        <v>7</v>
      </c>
      <c r="B18" s="154"/>
      <c r="C18" s="58" t="s">
        <v>262</v>
      </c>
      <c r="D18" s="343">
        <f>+D15</f>
        <v>0</v>
      </c>
      <c r="E18" s="343">
        <f>+E17*E15</f>
        <v>0</v>
      </c>
      <c r="F18" s="343">
        <f>+F16*F15</f>
        <v>0</v>
      </c>
      <c r="G18" s="343"/>
      <c r="H18" s="343">
        <f>+SUM(D18:G18)</f>
        <v>0</v>
      </c>
      <c r="I18" s="91" t="str">
        <f>"(Line "&amp;A15&amp;" * Line "&amp;A16&amp;" or Line "&amp;A17&amp;")"</f>
        <v>(Line 4 * Line 5 or Line 6)</v>
      </c>
    </row>
    <row r="19" spans="1:9" ht="15.75">
      <c r="A19" s="400">
        <f t="shared" si="1"/>
        <v>8</v>
      </c>
      <c r="B19" s="154"/>
      <c r="C19" s="58" t="s">
        <v>263</v>
      </c>
      <c r="D19" s="343">
        <f>+'1C - ADIT Prior Year'!D15</f>
        <v>-36976390</v>
      </c>
      <c r="E19" s="343">
        <f>+'1C - ADIT Prior Year'!E15</f>
        <v>95360.717240820668</v>
      </c>
      <c r="F19" s="343">
        <f>+'1C - ADIT Prior Year'!F15</f>
        <v>-1207010.9322111425</v>
      </c>
      <c r="G19" s="343"/>
      <c r="H19" s="343">
        <f>+SUM(D19:G19)</f>
        <v>-38088040.214970328</v>
      </c>
      <c r="I19" s="91" t="str">
        <f>"(Attachment 1C - ADIT Prior Year, Line "&amp;A18&amp;")"</f>
        <v>(Attachment 1C - ADIT Prior Year, Line 7)</v>
      </c>
    </row>
    <row r="20" spans="1:9" ht="15.75">
      <c r="A20" s="400">
        <f t="shared" si="1"/>
        <v>9</v>
      </c>
      <c r="B20" s="154"/>
      <c r="C20" s="58" t="s">
        <v>397</v>
      </c>
      <c r="D20" s="343">
        <f>(D18+D19)/2</f>
        <v>-18488195</v>
      </c>
      <c r="E20" s="343">
        <f>(E18+E19)/2</f>
        <v>47680.358620410334</v>
      </c>
      <c r="F20" s="343">
        <f>(F18+F19)/2</f>
        <v>-603505.46610557125</v>
      </c>
      <c r="G20" s="343"/>
      <c r="H20" s="343">
        <f>+SUM(D20:G20)</f>
        <v>-19044020.107485164</v>
      </c>
      <c r="I20" s="91" t="str">
        <f>"(Average of Line "&amp;A18&amp;" + Line "&amp;A19&amp;")"</f>
        <v>(Average of Line 7 + Line 8)</v>
      </c>
    </row>
    <row r="21" spans="1:9" ht="15.75">
      <c r="A21" s="400">
        <f>+A20+1</f>
        <v>10</v>
      </c>
      <c r="B21" s="58"/>
      <c r="C21" s="58" t="s">
        <v>265</v>
      </c>
      <c r="D21" s="343"/>
      <c r="E21" s="343"/>
      <c r="F21" s="343"/>
      <c r="G21" s="343"/>
      <c r="H21" s="343">
        <f>+'1E - ADIT True-Up Proration'!Q27</f>
        <v>0</v>
      </c>
      <c r="I21" s="19" t="str">
        <f>"(Attachment 1E, Line "&amp;'1E - ADIT True-Up Proration'!A27&amp;")"</f>
        <v>(Attachment 1E, Line 13)</v>
      </c>
    </row>
    <row r="22" spans="1:9" ht="15.75">
      <c r="A22" s="400">
        <f>+A21+1</f>
        <v>11</v>
      </c>
      <c r="B22" s="58"/>
      <c r="C22" s="58" t="s">
        <v>398</v>
      </c>
      <c r="D22" s="343"/>
      <c r="E22" s="343"/>
      <c r="F22" s="343"/>
      <c r="G22" s="343"/>
      <c r="H22" s="570">
        <f>+H20+H21</f>
        <v>-19044020.107485164</v>
      </c>
      <c r="I22" s="45"/>
    </row>
    <row r="23" spans="1:9" ht="15.75">
      <c r="A23" s="400"/>
      <c r="B23" s="58"/>
      <c r="C23" s="58"/>
      <c r="D23" s="156"/>
      <c r="E23" s="45"/>
      <c r="F23" s="45"/>
      <c r="G23" s="45"/>
      <c r="H23" s="157"/>
      <c r="I23" s="45"/>
    </row>
    <row r="24" spans="1:9" ht="15">
      <c r="B24" s="45" t="s">
        <v>267</v>
      </c>
      <c r="C24" s="45"/>
      <c r="D24" s="45"/>
      <c r="E24" s="45"/>
      <c r="F24" s="45"/>
      <c r="G24" s="45"/>
      <c r="H24" s="45"/>
      <c r="I24" s="45"/>
    </row>
    <row r="25" spans="1:9" ht="15">
      <c r="B25" s="45"/>
      <c r="C25" s="45"/>
      <c r="D25" s="45"/>
      <c r="E25" s="45"/>
      <c r="F25" s="45"/>
      <c r="G25" s="45"/>
      <c r="H25" s="45"/>
      <c r="I25" s="45"/>
    </row>
    <row r="26" spans="1:9" ht="15">
      <c r="B26" s="154" t="s">
        <v>268</v>
      </c>
      <c r="C26" s="45"/>
      <c r="D26" s="45"/>
      <c r="E26" s="45"/>
      <c r="F26" s="45"/>
      <c r="G26" s="45"/>
      <c r="H26" s="45"/>
      <c r="I26" s="45"/>
    </row>
    <row r="27" spans="1:9" ht="15">
      <c r="B27" s="154" t="s">
        <v>269</v>
      </c>
      <c r="C27" s="45"/>
      <c r="D27" s="45"/>
      <c r="E27" s="45"/>
      <c r="F27" s="45"/>
      <c r="G27" s="45"/>
      <c r="H27" s="45"/>
      <c r="I27" s="45"/>
    </row>
    <row r="28" spans="1:9" ht="15">
      <c r="B28" s="154"/>
      <c r="C28" s="45"/>
      <c r="D28" s="45"/>
      <c r="E28" s="45"/>
      <c r="F28" s="45"/>
      <c r="G28" s="155"/>
      <c r="H28" s="155"/>
      <c r="I28" s="45"/>
    </row>
    <row r="29" spans="1:9" ht="15.75">
      <c r="B29" s="159" t="s">
        <v>207</v>
      </c>
      <c r="C29" s="159" t="s">
        <v>209</v>
      </c>
      <c r="D29" s="159" t="s">
        <v>211</v>
      </c>
      <c r="E29" s="159" t="s">
        <v>213</v>
      </c>
      <c r="F29" s="159" t="s">
        <v>215</v>
      </c>
      <c r="G29" s="159" t="s">
        <v>217</v>
      </c>
      <c r="H29" s="159"/>
      <c r="I29" s="159" t="s">
        <v>219</v>
      </c>
    </row>
    <row r="30" spans="1:9" ht="15">
      <c r="B30" s="154"/>
      <c r="C30" s="153" t="s">
        <v>68</v>
      </c>
      <c r="D30" s="153"/>
      <c r="E30" s="153" t="s">
        <v>254</v>
      </c>
      <c r="F30" s="153"/>
      <c r="G30" s="153"/>
      <c r="H30" s="153"/>
      <c r="I30" s="45"/>
    </row>
    <row r="31" spans="1:9" ht="15">
      <c r="B31" s="160" t="s">
        <v>270</v>
      </c>
      <c r="C31" s="153"/>
      <c r="D31" s="153"/>
      <c r="E31" s="153" t="s">
        <v>57</v>
      </c>
      <c r="F31" s="153" t="s">
        <v>255</v>
      </c>
      <c r="G31" s="153" t="s">
        <v>256</v>
      </c>
      <c r="H31" s="153"/>
      <c r="I31" s="45"/>
    </row>
    <row r="32" spans="1:9" ht="15.75" thickBot="1">
      <c r="B32" s="154"/>
      <c r="C32" s="153"/>
      <c r="D32" s="153" t="s">
        <v>271</v>
      </c>
      <c r="E32" s="153" t="s">
        <v>257</v>
      </c>
      <c r="F32" s="153" t="s">
        <v>257</v>
      </c>
      <c r="G32" s="153" t="s">
        <v>257</v>
      </c>
      <c r="H32" s="448"/>
      <c r="I32" s="153" t="s">
        <v>272</v>
      </c>
    </row>
    <row r="33" spans="1:9" ht="27.6" customHeight="1">
      <c r="A33" s="400">
        <f>+A22+1</f>
        <v>12</v>
      </c>
      <c r="B33" s="332" t="s">
        <v>273</v>
      </c>
      <c r="C33" s="549">
        <v>0</v>
      </c>
      <c r="D33" s="550">
        <v>0</v>
      </c>
      <c r="E33" s="550">
        <v>0</v>
      </c>
      <c r="F33" s="550">
        <v>0</v>
      </c>
      <c r="G33" s="550">
        <v>0</v>
      </c>
      <c r="H33" s="690"/>
      <c r="I33" s="409" t="s">
        <v>274</v>
      </c>
    </row>
    <row r="34" spans="1:9" ht="30.6" customHeight="1">
      <c r="A34" s="400">
        <f>+A33+1</f>
        <v>13</v>
      </c>
      <c r="B34" s="333" t="s">
        <v>275</v>
      </c>
      <c r="C34" s="551">
        <v>0</v>
      </c>
      <c r="D34" s="552">
        <v>0</v>
      </c>
      <c r="E34" s="552">
        <v>0</v>
      </c>
      <c r="F34" s="552">
        <v>0</v>
      </c>
      <c r="G34" s="552">
        <v>0</v>
      </c>
      <c r="H34" s="691"/>
      <c r="I34" s="409" t="s">
        <v>276</v>
      </c>
    </row>
    <row r="35" spans="1:9" ht="32.450000000000003" customHeight="1">
      <c r="A35" s="400">
        <f t="shared" ref="A35:A46" si="2">+A34+1</f>
        <v>14</v>
      </c>
      <c r="B35" s="333" t="s">
        <v>277</v>
      </c>
      <c r="C35" s="551">
        <v>0</v>
      </c>
      <c r="D35" s="552">
        <v>0</v>
      </c>
      <c r="E35" s="552">
        <v>0</v>
      </c>
      <c r="F35" s="552">
        <v>0</v>
      </c>
      <c r="G35" s="552">
        <v>0</v>
      </c>
      <c r="H35" s="691"/>
      <c r="I35" s="409" t="s">
        <v>274</v>
      </c>
    </row>
    <row r="36" spans="1:9" ht="40.15" customHeight="1">
      <c r="A36" s="400">
        <f t="shared" si="2"/>
        <v>15</v>
      </c>
      <c r="B36" s="505" t="s">
        <v>278</v>
      </c>
      <c r="C36" s="551">
        <v>0</v>
      </c>
      <c r="D36" s="552">
        <v>0</v>
      </c>
      <c r="E36" s="552">
        <v>0</v>
      </c>
      <c r="F36" s="552">
        <v>0</v>
      </c>
      <c r="G36" s="552">
        <v>0</v>
      </c>
      <c r="H36" s="691"/>
      <c r="I36" s="407" t="s">
        <v>279</v>
      </c>
    </row>
    <row r="37" spans="1:9" ht="24.75" customHeight="1">
      <c r="A37" s="400">
        <f t="shared" si="2"/>
        <v>16</v>
      </c>
      <c r="B37" s="333" t="s">
        <v>280</v>
      </c>
      <c r="C37" s="551">
        <v>0</v>
      </c>
      <c r="D37" s="552">
        <v>0</v>
      </c>
      <c r="E37" s="552">
        <v>0</v>
      </c>
      <c r="F37" s="552">
        <v>0</v>
      </c>
      <c r="G37" s="552">
        <v>0</v>
      </c>
      <c r="H37" s="691"/>
      <c r="I37" s="409" t="s">
        <v>281</v>
      </c>
    </row>
    <row r="38" spans="1:9" ht="37.9" customHeight="1">
      <c r="A38" s="400">
        <f t="shared" si="2"/>
        <v>17</v>
      </c>
      <c r="B38" s="333" t="s">
        <v>282</v>
      </c>
      <c r="C38" s="551">
        <v>0</v>
      </c>
      <c r="D38" s="552">
        <v>0</v>
      </c>
      <c r="E38" s="552">
        <v>0</v>
      </c>
      <c r="F38" s="552">
        <v>0</v>
      </c>
      <c r="G38" s="552">
        <v>0</v>
      </c>
      <c r="H38" s="691"/>
      <c r="I38" s="409" t="s">
        <v>384</v>
      </c>
    </row>
    <row r="39" spans="1:9" ht="31.9" customHeight="1">
      <c r="A39" s="400">
        <f t="shared" si="2"/>
        <v>18</v>
      </c>
      <c r="B39" s="333" t="s">
        <v>284</v>
      </c>
      <c r="C39" s="551">
        <v>0</v>
      </c>
      <c r="D39" s="552">
        <v>0</v>
      </c>
      <c r="E39" s="552">
        <v>0</v>
      </c>
      <c r="F39" s="552">
        <v>0</v>
      </c>
      <c r="G39" s="552">
        <v>0</v>
      </c>
      <c r="H39" s="691"/>
      <c r="I39" s="409" t="s">
        <v>285</v>
      </c>
    </row>
    <row r="40" spans="1:9" ht="37.15" customHeight="1">
      <c r="A40" s="400">
        <f t="shared" si="2"/>
        <v>19</v>
      </c>
      <c r="B40" s="333" t="s">
        <v>286</v>
      </c>
      <c r="C40" s="551">
        <v>0</v>
      </c>
      <c r="D40" s="552">
        <f>+C40</f>
        <v>0</v>
      </c>
      <c r="E40" s="552">
        <v>0</v>
      </c>
      <c r="F40" s="552">
        <v>0</v>
      </c>
      <c r="G40" s="552">
        <v>0</v>
      </c>
      <c r="H40" s="691"/>
      <c r="I40" s="409" t="s">
        <v>287</v>
      </c>
    </row>
    <row r="41" spans="1:9" ht="24.6" customHeight="1">
      <c r="A41" s="400">
        <f t="shared" si="2"/>
        <v>20</v>
      </c>
      <c r="B41" s="333" t="s">
        <v>288</v>
      </c>
      <c r="C41" s="551">
        <v>0</v>
      </c>
      <c r="D41" s="552">
        <v>0</v>
      </c>
      <c r="E41" s="552">
        <v>0</v>
      </c>
      <c r="F41" s="552">
        <v>0</v>
      </c>
      <c r="G41" s="552">
        <v>0</v>
      </c>
      <c r="H41" s="691"/>
      <c r="I41" s="409" t="s">
        <v>289</v>
      </c>
    </row>
    <row r="42" spans="1:9" ht="24.6" customHeight="1">
      <c r="A42" s="400">
        <f t="shared" si="2"/>
        <v>21</v>
      </c>
      <c r="B42" s="333" t="s">
        <v>290</v>
      </c>
      <c r="C42" s="551">
        <v>0</v>
      </c>
      <c r="D42" s="552">
        <v>0</v>
      </c>
      <c r="E42" s="552">
        <v>0</v>
      </c>
      <c r="F42" s="552">
        <v>0</v>
      </c>
      <c r="G42" s="552">
        <v>0</v>
      </c>
      <c r="H42" s="691"/>
      <c r="I42" s="409" t="s">
        <v>291</v>
      </c>
    </row>
    <row r="43" spans="1:9" ht="39.6" customHeight="1">
      <c r="A43" s="400">
        <f t="shared" si="2"/>
        <v>22</v>
      </c>
      <c r="B43" s="333" t="s">
        <v>292</v>
      </c>
      <c r="C43" s="551">
        <v>0</v>
      </c>
      <c r="D43" s="552">
        <v>0</v>
      </c>
      <c r="E43" s="552">
        <v>0</v>
      </c>
      <c r="F43" s="552">
        <v>0</v>
      </c>
      <c r="G43" s="552">
        <v>0</v>
      </c>
      <c r="H43" s="691"/>
      <c r="I43" s="409" t="s">
        <v>291</v>
      </c>
    </row>
    <row r="44" spans="1:9" ht="27" customHeight="1">
      <c r="A44" s="400">
        <f>+A43+1</f>
        <v>23</v>
      </c>
      <c r="B44" s="333" t="s">
        <v>294</v>
      </c>
      <c r="C44" s="553">
        <v>0</v>
      </c>
      <c r="D44" s="552">
        <v>0</v>
      </c>
      <c r="E44" s="552">
        <v>0</v>
      </c>
      <c r="F44" s="552">
        <v>0</v>
      </c>
      <c r="G44" s="552">
        <v>0</v>
      </c>
      <c r="H44" s="691"/>
      <c r="I44" s="335" t="s">
        <v>295</v>
      </c>
    </row>
    <row r="45" spans="1:9" ht="15.75">
      <c r="A45" s="400">
        <f t="shared" si="2"/>
        <v>24</v>
      </c>
      <c r="B45" s="334" t="s">
        <v>296</v>
      </c>
      <c r="C45" s="554">
        <f t="shared" ref="C45:G45" si="3">SUM(C33:C44)</f>
        <v>0</v>
      </c>
      <c r="D45" s="554">
        <f t="shared" si="3"/>
        <v>0</v>
      </c>
      <c r="E45" s="554">
        <f t="shared" si="3"/>
        <v>0</v>
      </c>
      <c r="F45" s="554">
        <f t="shared" si="3"/>
        <v>0</v>
      </c>
      <c r="G45" s="554">
        <f t="shared" si="3"/>
        <v>0</v>
      </c>
      <c r="H45" s="554"/>
      <c r="I45" s="161"/>
    </row>
    <row r="46" spans="1:9" ht="47.25">
      <c r="A46" s="400">
        <f t="shared" si="2"/>
        <v>25</v>
      </c>
      <c r="B46" s="466" t="s">
        <v>297</v>
      </c>
      <c r="C46" s="555">
        <f>SUM(D46:H46)</f>
        <v>0</v>
      </c>
      <c r="D46" s="555">
        <f>D36</f>
        <v>0</v>
      </c>
      <c r="E46" s="556">
        <f>+E36</f>
        <v>0</v>
      </c>
      <c r="F46" s="557">
        <f>F36</f>
        <v>0</v>
      </c>
      <c r="G46" s="557">
        <f>+G36</f>
        <v>0</v>
      </c>
      <c r="H46" s="557"/>
      <c r="I46" s="167" t="str">
        <f>+'1A - ADIT'!I44</f>
        <v>All FAS 109 items excluded from formula rate</v>
      </c>
    </row>
    <row r="47" spans="1:9" ht="16.5" thickBot="1">
      <c r="A47" s="400">
        <f>+A46+1</f>
        <v>26</v>
      </c>
      <c r="B47" s="330" t="s">
        <v>68</v>
      </c>
      <c r="C47" s="558">
        <f>+C45-C46</f>
        <v>0</v>
      </c>
      <c r="D47" s="558">
        <f t="shared" ref="D47:G47" si="4">+D45-D46</f>
        <v>0</v>
      </c>
      <c r="E47" s="558">
        <f t="shared" si="4"/>
        <v>0</v>
      </c>
      <c r="F47" s="558">
        <f t="shared" si="4"/>
        <v>0</v>
      </c>
      <c r="G47" s="558">
        <f t="shared" si="4"/>
        <v>0</v>
      </c>
      <c r="H47" s="558"/>
      <c r="I47" s="329"/>
    </row>
    <row r="48" spans="1:9" ht="15.75">
      <c r="A48" s="400"/>
      <c r="B48" s="58"/>
      <c r="C48" s="404"/>
      <c r="D48" s="405"/>
      <c r="E48" s="405"/>
      <c r="F48" s="405"/>
      <c r="G48" s="405"/>
      <c r="H48" s="405"/>
      <c r="I48" s="401"/>
    </row>
    <row r="49" spans="1:9" ht="15">
      <c r="B49" s="45" t="s">
        <v>299</v>
      </c>
      <c r="C49" s="45"/>
      <c r="D49" s="156"/>
      <c r="E49" s="469"/>
      <c r="F49" s="59"/>
      <c r="G49" s="45"/>
      <c r="H49" s="45"/>
      <c r="I49" s="470"/>
    </row>
    <row r="50" spans="1:9" ht="15">
      <c r="B50" s="864" t="s">
        <v>389</v>
      </c>
      <c r="C50" s="864"/>
      <c r="D50" s="864"/>
      <c r="E50" s="864"/>
      <c r="F50" s="864"/>
      <c r="G50" s="864"/>
      <c r="H50" s="864"/>
      <c r="I50" s="864"/>
    </row>
    <row r="51" spans="1:9" ht="15">
      <c r="B51" s="154" t="s">
        <v>301</v>
      </c>
      <c r="C51" s="45"/>
      <c r="D51" s="45"/>
      <c r="E51" s="45"/>
      <c r="F51" s="45"/>
      <c r="G51" s="59"/>
      <c r="H51" s="59"/>
      <c r="I51" s="59"/>
    </row>
    <row r="52" spans="1:9" ht="15">
      <c r="B52" s="154" t="s">
        <v>313</v>
      </c>
      <c r="C52" s="45"/>
      <c r="D52" s="45"/>
      <c r="E52" s="45"/>
      <c r="F52" s="45"/>
      <c r="G52" s="59"/>
      <c r="H52" s="59"/>
      <c r="I52" s="59"/>
    </row>
    <row r="53" spans="1:9" ht="15">
      <c r="B53" s="154" t="s">
        <v>390</v>
      </c>
      <c r="C53" s="45"/>
      <c r="D53" s="45"/>
      <c r="E53" s="45"/>
      <c r="F53" s="45"/>
      <c r="G53" s="59"/>
      <c r="H53" s="59"/>
      <c r="I53" s="59"/>
    </row>
    <row r="54" spans="1:9" ht="15" customHeight="1">
      <c r="B54" s="864" t="s">
        <v>304</v>
      </c>
      <c r="C54" s="864"/>
      <c r="D54" s="864"/>
      <c r="E54" s="864"/>
      <c r="F54" s="864"/>
      <c r="G54" s="864"/>
      <c r="H54" s="864"/>
      <c r="I54" s="864"/>
    </row>
    <row r="55" spans="1:9" ht="15">
      <c r="B55" s="154" t="s">
        <v>305</v>
      </c>
      <c r="C55" s="59"/>
      <c r="D55" s="471"/>
      <c r="E55" s="59"/>
      <c r="F55" s="59"/>
      <c r="G55" s="59"/>
      <c r="H55" s="59"/>
      <c r="I55" s="447"/>
    </row>
    <row r="56" spans="1:9" ht="15.75">
      <c r="B56" s="401"/>
      <c r="C56" s="401"/>
      <c r="D56" s="401"/>
      <c r="E56" s="401"/>
      <c r="F56" s="401"/>
      <c r="G56" s="401"/>
      <c r="H56" s="401"/>
      <c r="I56" s="401"/>
    </row>
    <row r="57" spans="1:9" ht="18">
      <c r="A57" s="151"/>
      <c r="B57" s="865" t="str">
        <f>+B3</f>
        <v>Dayton Power and Light</v>
      </c>
      <c r="C57" s="866"/>
      <c r="D57" s="866"/>
      <c r="E57" s="866"/>
      <c r="F57" s="866"/>
      <c r="G57" s="866"/>
      <c r="H57" s="866"/>
      <c r="I57" s="866"/>
    </row>
    <row r="58" spans="1:9" ht="18">
      <c r="A58" s="151"/>
      <c r="B58" s="865" t="str">
        <f>+B4</f>
        <v xml:space="preserve">ATTACHMENT H-15A </v>
      </c>
      <c r="C58" s="865"/>
      <c r="D58" s="865"/>
      <c r="E58" s="865"/>
      <c r="F58" s="865"/>
      <c r="G58" s="865"/>
      <c r="H58" s="865"/>
      <c r="I58" s="865"/>
    </row>
    <row r="59" spans="1:9" ht="18">
      <c r="A59" s="151"/>
      <c r="B59" s="865" t="str">
        <f>+B5</f>
        <v xml:space="preserve">Attachment 1D - Accumulated Deferred Income Taxes for Annual True-up - December 31, </v>
      </c>
      <c r="C59" s="865"/>
      <c r="D59" s="865"/>
      <c r="E59" s="865"/>
      <c r="F59" s="865"/>
      <c r="G59" s="865"/>
      <c r="H59" s="865"/>
      <c r="I59" s="865"/>
    </row>
    <row r="60" spans="1:9" ht="18">
      <c r="A60" s="45"/>
      <c r="B60" s="153"/>
      <c r="C60" s="45"/>
      <c r="D60" s="45"/>
      <c r="E60" s="45"/>
      <c r="F60" s="45"/>
      <c r="G60" s="45"/>
      <c r="H60" s="45"/>
      <c r="I60" s="628"/>
    </row>
    <row r="61" spans="1:9" ht="18">
      <c r="A61" s="45"/>
      <c r="B61" s="159" t="s">
        <v>207</v>
      </c>
      <c r="C61" s="159" t="s">
        <v>209</v>
      </c>
      <c r="D61" s="159" t="s">
        <v>211</v>
      </c>
      <c r="E61" s="159" t="s">
        <v>213</v>
      </c>
      <c r="F61" s="159" t="s">
        <v>215</v>
      </c>
      <c r="G61" s="159" t="s">
        <v>217</v>
      </c>
      <c r="H61" s="159"/>
      <c r="I61" s="629"/>
    </row>
    <row r="62" spans="1:9" ht="18">
      <c r="A62" s="45"/>
      <c r="B62" s="45"/>
      <c r="C62" s="153" t="s">
        <v>306</v>
      </c>
      <c r="D62" s="153"/>
      <c r="E62" s="153"/>
      <c r="F62" s="153"/>
      <c r="G62" s="153"/>
      <c r="H62" s="153"/>
      <c r="I62" s="629"/>
    </row>
    <row r="63" spans="1:9" ht="15.75">
      <c r="A63" s="45"/>
      <c r="B63" s="155" t="s">
        <v>307</v>
      </c>
      <c r="C63" s="153"/>
      <c r="D63" s="153"/>
      <c r="E63" s="153" t="s">
        <v>57</v>
      </c>
      <c r="F63" s="153" t="s">
        <v>255</v>
      </c>
      <c r="G63" s="153" t="s">
        <v>256</v>
      </c>
      <c r="H63" s="153"/>
      <c r="I63" s="159" t="s">
        <v>219</v>
      </c>
    </row>
    <row r="64" spans="1:9" ht="15.75" thickBot="1">
      <c r="A64" s="45"/>
      <c r="B64" s="154"/>
      <c r="C64" s="153"/>
      <c r="D64" s="153" t="s">
        <v>271</v>
      </c>
      <c r="E64" s="153" t="s">
        <v>257</v>
      </c>
      <c r="F64" s="153" t="s">
        <v>257</v>
      </c>
      <c r="G64" s="153" t="s">
        <v>257</v>
      </c>
      <c r="H64" s="448"/>
      <c r="I64" s="153" t="s">
        <v>272</v>
      </c>
    </row>
    <row r="65" spans="1:9" ht="30">
      <c r="A65" s="45">
        <f>+A47+1</f>
        <v>27</v>
      </c>
      <c r="B65" s="332" t="s">
        <v>308</v>
      </c>
      <c r="C65" s="559">
        <v>0</v>
      </c>
      <c r="D65" s="560">
        <v>0</v>
      </c>
      <c r="E65" s="561">
        <v>0</v>
      </c>
      <c r="F65" s="561">
        <v>0</v>
      </c>
      <c r="G65" s="561">
        <v>0</v>
      </c>
      <c r="H65" s="692"/>
      <c r="I65" s="507" t="str">
        <f>+'1C - ADIT Prior Year'!I59</f>
        <v>Tax and book differences resulting from accelerated tax depreciation .  Included in prorated amount</v>
      </c>
    </row>
    <row r="66" spans="1:9" ht="30">
      <c r="A66" s="45">
        <f>+A65+1</f>
        <v>28</v>
      </c>
      <c r="B66" s="333" t="s">
        <v>309</v>
      </c>
      <c r="C66" s="552">
        <v>0</v>
      </c>
      <c r="D66" s="562">
        <v>0</v>
      </c>
      <c r="E66" s="562">
        <v>0</v>
      </c>
      <c r="F66" s="562">
        <v>0</v>
      </c>
      <c r="G66" s="562">
        <v>0</v>
      </c>
      <c r="H66" s="691"/>
      <c r="I66" s="340" t="s">
        <v>310</v>
      </c>
    </row>
    <row r="67" spans="1:9" ht="16.5" thickBot="1">
      <c r="A67" s="45">
        <f>+A66+1</f>
        <v>29</v>
      </c>
      <c r="B67" s="330" t="s">
        <v>68</v>
      </c>
      <c r="C67" s="558">
        <f>+SUM(C65:C66)</f>
        <v>0</v>
      </c>
      <c r="D67" s="558">
        <f t="shared" ref="D67:G67" si="5">+SUM(D65:D66)</f>
        <v>0</v>
      </c>
      <c r="E67" s="558">
        <f t="shared" si="5"/>
        <v>0</v>
      </c>
      <c r="F67" s="558">
        <f t="shared" si="5"/>
        <v>0</v>
      </c>
      <c r="G67" s="558">
        <f t="shared" si="5"/>
        <v>0</v>
      </c>
      <c r="H67" s="558"/>
      <c r="I67" s="329"/>
    </row>
    <row r="68" spans="1:9" ht="15">
      <c r="A68" s="45"/>
      <c r="B68" s="45" t="s">
        <v>311</v>
      </c>
      <c r="C68" s="45"/>
      <c r="D68" s="45"/>
      <c r="E68" s="59"/>
      <c r="F68" s="469"/>
      <c r="G68" s="45"/>
      <c r="H68" s="45"/>
      <c r="I68" s="447"/>
    </row>
    <row r="69" spans="1:9" ht="15">
      <c r="A69" s="45"/>
      <c r="B69" s="154" t="s">
        <v>312</v>
      </c>
      <c r="C69" s="45"/>
      <c r="D69" s="45"/>
      <c r="E69" s="45"/>
      <c r="F69" s="45"/>
      <c r="G69" s="59"/>
      <c r="H69" s="59"/>
      <c r="I69" s="59"/>
    </row>
    <row r="70" spans="1:9" ht="15">
      <c r="A70" s="45"/>
      <c r="B70" s="154" t="s">
        <v>301</v>
      </c>
      <c r="C70" s="45"/>
      <c r="D70" s="45"/>
      <c r="E70" s="45"/>
      <c r="F70" s="45"/>
      <c r="G70" s="59"/>
      <c r="H70" s="59"/>
      <c r="I70" s="59"/>
    </row>
    <row r="71" spans="1:9" ht="15">
      <c r="A71" s="45"/>
      <c r="B71" s="154" t="s">
        <v>313</v>
      </c>
      <c r="C71" s="45"/>
      <c r="D71" s="45"/>
      <c r="E71" s="45"/>
      <c r="F71" s="45"/>
      <c r="G71" s="59"/>
      <c r="H71" s="59"/>
      <c r="I71" s="59"/>
    </row>
    <row r="72" spans="1:9" ht="15">
      <c r="A72" s="45"/>
      <c r="B72" s="154" t="s">
        <v>314</v>
      </c>
      <c r="C72" s="45"/>
      <c r="D72" s="45"/>
      <c r="E72" s="45"/>
      <c r="F72" s="45"/>
      <c r="G72" s="59"/>
      <c r="H72" s="59"/>
      <c r="I72" s="59"/>
    </row>
    <row r="73" spans="1:9" ht="15">
      <c r="A73" s="45"/>
      <c r="B73" s="864" t="s">
        <v>304</v>
      </c>
      <c r="C73" s="864"/>
      <c r="D73" s="864"/>
      <c r="E73" s="864"/>
      <c r="F73" s="864"/>
      <c r="G73" s="864"/>
      <c r="H73" s="864"/>
      <c r="I73" s="864"/>
    </row>
    <row r="74" spans="1:9" ht="15">
      <c r="A74" s="45"/>
      <c r="B74" s="154" t="s">
        <v>305</v>
      </c>
      <c r="C74" s="59"/>
      <c r="D74" s="471"/>
      <c r="E74" s="59"/>
      <c r="F74" s="59"/>
      <c r="G74" s="59"/>
      <c r="H74" s="59"/>
      <c r="I74" s="447"/>
    </row>
    <row r="75" spans="1:9" ht="15.75">
      <c r="A75" s="45"/>
      <c r="B75" s="395"/>
      <c r="C75" s="45"/>
      <c r="D75" s="45"/>
      <c r="E75" s="45"/>
      <c r="F75" s="59"/>
      <c r="G75" s="59"/>
      <c r="H75" s="59"/>
      <c r="I75" s="447"/>
    </row>
    <row r="76" spans="1:9" ht="15">
      <c r="A76" s="45"/>
      <c r="B76" s="154"/>
      <c r="C76" s="45"/>
      <c r="D76" s="45"/>
      <c r="E76" s="45"/>
      <c r="F76" s="59"/>
      <c r="G76" s="59"/>
      <c r="H76" s="59"/>
      <c r="I76" s="447"/>
    </row>
    <row r="77" spans="1:9" ht="15.75">
      <c r="A77" s="45"/>
      <c r="B77" s="159"/>
      <c r="C77" s="45"/>
      <c r="D77" s="45"/>
      <c r="E77" s="45"/>
      <c r="F77" s="45"/>
      <c r="G77" s="45"/>
      <c r="H77" s="45"/>
      <c r="I77" s="45"/>
    </row>
    <row r="78" spans="1:9" ht="18">
      <c r="B78" s="172" t="str">
        <f>B3</f>
        <v>Dayton Power and Light</v>
      </c>
      <c r="C78" s="173"/>
      <c r="D78" s="173"/>
      <c r="E78" s="173"/>
      <c r="F78" s="173"/>
      <c r="G78" s="173"/>
      <c r="H78" s="173"/>
      <c r="I78" s="173"/>
    </row>
    <row r="79" spans="1:9" ht="18">
      <c r="B79" s="865" t="str">
        <f>+'Appendix A'!A4</f>
        <v xml:space="preserve">ATTACHMENT H-15A </v>
      </c>
      <c r="C79" s="865"/>
      <c r="D79" s="865"/>
      <c r="E79" s="865"/>
      <c r="F79" s="865"/>
      <c r="G79" s="865"/>
      <c r="H79" s="865"/>
      <c r="I79" s="865"/>
    </row>
    <row r="80" spans="1:9" ht="18">
      <c r="B80" s="865" t="str">
        <f>+B5</f>
        <v xml:space="preserve">Attachment 1D - Accumulated Deferred Income Taxes for Annual True-up - December 31, </v>
      </c>
      <c r="C80" s="865"/>
      <c r="D80" s="865"/>
      <c r="E80" s="865"/>
      <c r="F80" s="865"/>
      <c r="G80" s="865"/>
      <c r="H80" s="865"/>
      <c r="I80" s="865"/>
    </row>
    <row r="81" spans="1:9" ht="18.75">
      <c r="B81" s="163"/>
      <c r="C81" s="151"/>
      <c r="D81" s="151"/>
      <c r="E81" s="151"/>
      <c r="F81" s="151"/>
      <c r="G81" s="149"/>
      <c r="H81" s="149"/>
      <c r="I81" s="164"/>
    </row>
    <row r="82" spans="1:9" ht="15.75">
      <c r="B82" s="154"/>
      <c r="C82" s="45"/>
      <c r="D82" s="45"/>
      <c r="E82" s="45"/>
      <c r="F82" s="45"/>
      <c r="G82" s="155"/>
      <c r="H82" s="155"/>
      <c r="I82" s="185"/>
    </row>
    <row r="83" spans="1:9" ht="15">
      <c r="B83" s="154"/>
      <c r="C83" s="45"/>
      <c r="D83" s="45"/>
      <c r="E83" s="45"/>
      <c r="F83" s="45"/>
      <c r="G83" s="155"/>
      <c r="H83" s="155"/>
      <c r="I83" s="447"/>
    </row>
    <row r="84" spans="1:9" ht="15.75">
      <c r="B84" s="159" t="s">
        <v>207</v>
      </c>
      <c r="C84" s="159" t="s">
        <v>209</v>
      </c>
      <c r="D84" s="159" t="s">
        <v>211</v>
      </c>
      <c r="E84" s="159" t="s">
        <v>213</v>
      </c>
      <c r="F84" s="159" t="s">
        <v>215</v>
      </c>
      <c r="G84" s="159" t="s">
        <v>217</v>
      </c>
      <c r="H84" s="159"/>
      <c r="I84" s="159" t="s">
        <v>219</v>
      </c>
    </row>
    <row r="85" spans="1:9" ht="31.5">
      <c r="B85" s="155" t="s">
        <v>315</v>
      </c>
      <c r="C85" s="153" t="s">
        <v>68</v>
      </c>
      <c r="D85" s="165" t="s">
        <v>271</v>
      </c>
      <c r="E85" s="165" t="s">
        <v>399</v>
      </c>
      <c r="F85" s="165" t="s">
        <v>255</v>
      </c>
      <c r="G85" s="165" t="s">
        <v>256</v>
      </c>
      <c r="H85" s="153"/>
      <c r="I85" s="153" t="s">
        <v>272</v>
      </c>
    </row>
    <row r="86" spans="1:9" ht="15.75" thickBot="1">
      <c r="B86" s="154"/>
      <c r="C86" s="153"/>
      <c r="D86" s="153"/>
      <c r="E86" s="153"/>
      <c r="F86" s="153"/>
      <c r="G86" s="153"/>
      <c r="H86" s="448"/>
      <c r="I86" s="45"/>
    </row>
    <row r="87" spans="1:9" ht="15">
      <c r="A87" s="400">
        <f>+A47+1</f>
        <v>27</v>
      </c>
      <c r="B87" s="332" t="s">
        <v>316</v>
      </c>
      <c r="C87" s="550">
        <v>0</v>
      </c>
      <c r="D87" s="550">
        <v>0</v>
      </c>
      <c r="E87" s="550">
        <v>0</v>
      </c>
      <c r="F87" s="550">
        <v>0</v>
      </c>
      <c r="G87" s="550">
        <v>0</v>
      </c>
      <c r="H87" s="692"/>
      <c r="I87" s="654" t="s">
        <v>317</v>
      </c>
    </row>
    <row r="88" spans="1:9" ht="30">
      <c r="A88" s="400">
        <f>+A87+1</f>
        <v>28</v>
      </c>
      <c r="B88" s="333" t="s">
        <v>318</v>
      </c>
      <c r="C88" s="552">
        <v>0</v>
      </c>
      <c r="D88" s="552">
        <v>0</v>
      </c>
      <c r="E88" s="552">
        <v>0</v>
      </c>
      <c r="F88" s="552">
        <v>0</v>
      </c>
      <c r="G88" s="552">
        <v>0</v>
      </c>
      <c r="H88" s="691"/>
      <c r="I88" s="410" t="s">
        <v>319</v>
      </c>
    </row>
    <row r="89" spans="1:9" ht="30">
      <c r="A89" s="400">
        <f t="shared" ref="A89:A97" si="6">+A88+1</f>
        <v>29</v>
      </c>
      <c r="B89" s="333" t="s">
        <v>320</v>
      </c>
      <c r="C89" s="552">
        <v>0</v>
      </c>
      <c r="D89" s="552">
        <v>0</v>
      </c>
      <c r="E89" s="552">
        <v>0</v>
      </c>
      <c r="F89" s="552">
        <v>0</v>
      </c>
      <c r="G89" s="552">
        <v>0</v>
      </c>
      <c r="H89" s="691"/>
      <c r="I89" s="410" t="s">
        <v>321</v>
      </c>
    </row>
    <row r="90" spans="1:9" ht="37.5" customHeight="1">
      <c r="A90" s="400">
        <f t="shared" si="6"/>
        <v>30</v>
      </c>
      <c r="B90" s="333" t="s">
        <v>322</v>
      </c>
      <c r="C90" s="552">
        <v>0</v>
      </c>
      <c r="D90" s="552">
        <v>0</v>
      </c>
      <c r="E90" s="552">
        <v>0</v>
      </c>
      <c r="F90" s="552">
        <v>0</v>
      </c>
      <c r="G90" s="552">
        <v>0</v>
      </c>
      <c r="H90" s="691"/>
      <c r="I90" s="410" t="s">
        <v>323</v>
      </c>
    </row>
    <row r="91" spans="1:9" ht="15">
      <c r="A91" s="400">
        <f t="shared" si="6"/>
        <v>31</v>
      </c>
      <c r="B91" s="333" t="s">
        <v>324</v>
      </c>
      <c r="C91" s="552">
        <v>0</v>
      </c>
      <c r="D91" s="552">
        <v>0</v>
      </c>
      <c r="E91" s="552">
        <v>0</v>
      </c>
      <c r="F91" s="552">
        <v>0</v>
      </c>
      <c r="G91" s="552">
        <v>0</v>
      </c>
      <c r="H91" s="691"/>
      <c r="I91" s="406" t="s">
        <v>279</v>
      </c>
    </row>
    <row r="92" spans="1:9" ht="15">
      <c r="A92" s="400">
        <f t="shared" si="6"/>
        <v>32</v>
      </c>
      <c r="B92" s="333" t="s">
        <v>325</v>
      </c>
      <c r="C92" s="552">
        <v>0</v>
      </c>
      <c r="D92" s="552">
        <v>0</v>
      </c>
      <c r="E92" s="552">
        <v>0</v>
      </c>
      <c r="F92" s="552">
        <v>0</v>
      </c>
      <c r="G92" s="552">
        <v>0</v>
      </c>
      <c r="H92" s="691"/>
      <c r="I92" s="410" t="s">
        <v>326</v>
      </c>
    </row>
    <row r="93" spans="1:9" ht="15.75" thickBot="1">
      <c r="A93" s="400">
        <f t="shared" si="6"/>
        <v>33</v>
      </c>
      <c r="B93" s="333" t="s">
        <v>294</v>
      </c>
      <c r="C93" s="552">
        <v>0</v>
      </c>
      <c r="D93" s="552">
        <v>0</v>
      </c>
      <c r="E93" s="552">
        <v>0</v>
      </c>
      <c r="F93" s="552">
        <v>0</v>
      </c>
      <c r="G93" s="552">
        <v>0</v>
      </c>
      <c r="H93" s="691"/>
      <c r="I93" s="410"/>
    </row>
    <row r="94" spans="1:9" ht="15.75">
      <c r="A94" s="400">
        <f t="shared" si="6"/>
        <v>34</v>
      </c>
      <c r="B94" s="174" t="s">
        <v>328</v>
      </c>
      <c r="C94" s="563">
        <f t="shared" ref="C94:G94" si="7">SUM(C87:C93)</f>
        <v>0</v>
      </c>
      <c r="D94" s="563">
        <f>SUM(D87:D93)</f>
        <v>0</v>
      </c>
      <c r="E94" s="563">
        <f t="shared" si="7"/>
        <v>0</v>
      </c>
      <c r="F94" s="563">
        <f>SUM(F87:F93)</f>
        <v>0</v>
      </c>
      <c r="G94" s="563">
        <f t="shared" si="7"/>
        <v>0</v>
      </c>
      <c r="H94" s="563"/>
      <c r="I94" s="175"/>
    </row>
    <row r="95" spans="1:9" ht="47.25">
      <c r="A95" s="400">
        <f t="shared" si="6"/>
        <v>35</v>
      </c>
      <c r="B95" s="467" t="s">
        <v>329</v>
      </c>
      <c r="C95" s="555">
        <f>+C91</f>
        <v>0</v>
      </c>
      <c r="D95" s="555">
        <f t="shared" ref="D95:G95" si="8">+D91</f>
        <v>0</v>
      </c>
      <c r="E95" s="555">
        <f t="shared" si="8"/>
        <v>0</v>
      </c>
      <c r="F95" s="555">
        <f t="shared" si="8"/>
        <v>0</v>
      </c>
      <c r="G95" s="555">
        <f t="shared" si="8"/>
        <v>0</v>
      </c>
      <c r="H95" s="568"/>
      <c r="I95" s="167"/>
    </row>
    <row r="96" spans="1:9" ht="31.5">
      <c r="A96" s="400">
        <f t="shared" si="6"/>
        <v>36</v>
      </c>
      <c r="B96" s="468" t="s">
        <v>330</v>
      </c>
      <c r="C96" s="564">
        <f>+C88</f>
        <v>0</v>
      </c>
      <c r="D96" s="564">
        <f>+D88</f>
        <v>0</v>
      </c>
      <c r="E96" s="564">
        <f t="shared" ref="E96:G96" si="9">+E88</f>
        <v>0</v>
      </c>
      <c r="F96" s="564">
        <f t="shared" si="9"/>
        <v>0</v>
      </c>
      <c r="G96" s="564">
        <f t="shared" si="9"/>
        <v>0</v>
      </c>
      <c r="H96" s="569"/>
      <c r="I96" s="397" t="s">
        <v>400</v>
      </c>
    </row>
    <row r="97" spans="1:9" ht="16.5" thickBot="1">
      <c r="A97" s="400">
        <f t="shared" si="6"/>
        <v>37</v>
      </c>
      <c r="B97" s="330" t="s">
        <v>68</v>
      </c>
      <c r="C97" s="558">
        <f>+C94-C95-C96</f>
        <v>0</v>
      </c>
      <c r="D97" s="558">
        <f t="shared" ref="D97:G97" si="10">+D94-D95-D96</f>
        <v>0</v>
      </c>
      <c r="E97" s="558">
        <f t="shared" si="10"/>
        <v>0</v>
      </c>
      <c r="F97" s="558">
        <f t="shared" si="10"/>
        <v>0</v>
      </c>
      <c r="G97" s="558">
        <f t="shared" si="10"/>
        <v>0</v>
      </c>
      <c r="H97" s="558"/>
      <c r="I97" s="329"/>
    </row>
    <row r="98" spans="1:9" ht="15">
      <c r="B98" s="154"/>
      <c r="C98" s="156"/>
      <c r="D98" s="156"/>
      <c r="E98" s="156"/>
      <c r="F98" s="156"/>
      <c r="G98" s="156"/>
      <c r="H98" s="156"/>
      <c r="I98" s="447"/>
    </row>
    <row r="99" spans="1:9" ht="15">
      <c r="B99" s="45" t="s">
        <v>332</v>
      </c>
      <c r="C99" s="45"/>
      <c r="D99" s="45"/>
      <c r="E99" s="59"/>
      <c r="F99" s="59"/>
      <c r="G99" s="45"/>
      <c r="H99" s="45"/>
      <c r="I99" s="168"/>
    </row>
    <row r="100" spans="1:9" ht="15">
      <c r="B100" s="154" t="str">
        <f>+'1A - ADIT'!B95</f>
        <v>1.  ADIT items related only to Non-Electric Operations or Production are directly assigned to Column C</v>
      </c>
      <c r="C100" s="45"/>
      <c r="D100" s="45"/>
      <c r="E100" s="45"/>
      <c r="F100" s="45"/>
      <c r="G100" s="59"/>
      <c r="H100" s="59"/>
      <c r="I100" s="59"/>
    </row>
    <row r="101" spans="1:9" ht="15">
      <c r="B101" s="154" t="s">
        <v>301</v>
      </c>
      <c r="C101" s="45"/>
      <c r="D101" s="45"/>
      <c r="E101" s="45"/>
      <c r="F101" s="45"/>
      <c r="G101" s="59"/>
      <c r="H101" s="59"/>
      <c r="I101" s="59"/>
    </row>
    <row r="102" spans="1:9" ht="15">
      <c r="B102" s="154" t="s">
        <v>313</v>
      </c>
      <c r="C102" s="45"/>
      <c r="D102" s="45"/>
      <c r="E102" s="45"/>
      <c r="F102" s="45"/>
      <c r="G102" s="59"/>
      <c r="H102" s="59"/>
      <c r="I102" s="59"/>
    </row>
    <row r="103" spans="1:9" ht="15">
      <c r="B103" s="154" t="s">
        <v>314</v>
      </c>
      <c r="C103" s="45"/>
      <c r="D103" s="45"/>
      <c r="E103" s="45"/>
      <c r="F103" s="45"/>
      <c r="G103" s="59"/>
      <c r="H103" s="59"/>
      <c r="I103" s="59"/>
    </row>
    <row r="104" spans="1:9" ht="15">
      <c r="B104" s="864" t="s">
        <v>304</v>
      </c>
      <c r="C104" s="864"/>
      <c r="D104" s="864"/>
      <c r="E104" s="864"/>
      <c r="F104" s="864"/>
      <c r="G104" s="864"/>
      <c r="H104" s="864"/>
      <c r="I104" s="864"/>
    </row>
    <row r="105" spans="1:9" ht="15">
      <c r="B105" s="154" t="s">
        <v>305</v>
      </c>
      <c r="C105" s="59"/>
      <c r="D105" s="471"/>
      <c r="E105" s="59"/>
      <c r="F105" s="59"/>
      <c r="G105" s="59"/>
      <c r="H105" s="59"/>
      <c r="I105" s="447"/>
    </row>
    <row r="106" spans="1:9" ht="15.75">
      <c r="B106" s="169"/>
      <c r="C106" s="170"/>
      <c r="D106" s="170"/>
      <c r="E106" s="170"/>
      <c r="F106" s="170"/>
      <c r="G106" s="170"/>
      <c r="H106" s="170"/>
      <c r="I106" s="170"/>
    </row>
    <row r="107" spans="1:9" ht="15.75">
      <c r="B107" s="863" t="s">
        <v>401</v>
      </c>
      <c r="C107" s="863"/>
      <c r="D107" s="863"/>
      <c r="E107" s="863"/>
      <c r="F107" s="863"/>
      <c r="G107" s="863"/>
      <c r="H107" s="863"/>
      <c r="I107" s="863"/>
    </row>
    <row r="108" spans="1:9" ht="15">
      <c r="B108" s="45" t="s">
        <v>402</v>
      </c>
      <c r="C108" s="45"/>
      <c r="D108" s="45"/>
      <c r="E108" s="45"/>
      <c r="F108" s="45"/>
      <c r="G108" s="45"/>
      <c r="H108" s="45"/>
      <c r="I108" s="45"/>
    </row>
    <row r="109" spans="1:9" ht="15">
      <c r="B109" s="45" t="s">
        <v>403</v>
      </c>
      <c r="C109" s="45"/>
      <c r="D109" s="45"/>
      <c r="E109" s="45"/>
      <c r="F109" s="45"/>
      <c r="G109" s="45"/>
      <c r="H109" s="45"/>
      <c r="I109" s="45"/>
    </row>
    <row r="110" spans="1:9" ht="15">
      <c r="B110" s="45" t="s">
        <v>404</v>
      </c>
      <c r="C110" s="45"/>
      <c r="D110" s="45"/>
      <c r="E110" s="45"/>
      <c r="F110" s="45"/>
      <c r="G110" s="45"/>
      <c r="H110" s="45"/>
      <c r="I110" s="45"/>
    </row>
    <row r="111" spans="1:9" ht="15.75">
      <c r="B111" s="45" t="s">
        <v>405</v>
      </c>
      <c r="C111" s="45"/>
      <c r="D111" s="171"/>
      <c r="E111" s="171"/>
      <c r="F111" s="171"/>
      <c r="G111" s="171"/>
      <c r="H111" s="171"/>
      <c r="I111" s="171"/>
    </row>
    <row r="112" spans="1:9" ht="15.75">
      <c r="B112" s="45" t="s">
        <v>406</v>
      </c>
      <c r="C112" s="45"/>
      <c r="D112" s="171"/>
      <c r="E112" s="171"/>
      <c r="F112" s="171"/>
      <c r="G112" s="171"/>
      <c r="H112" s="171"/>
      <c r="I112" s="171"/>
    </row>
    <row r="113" spans="2:9" ht="15">
      <c r="B113" s="154"/>
      <c r="C113" s="45"/>
      <c r="D113" s="59"/>
      <c r="E113" s="59"/>
      <c r="F113" s="45"/>
      <c r="G113" s="45"/>
      <c r="H113" s="45"/>
      <c r="I113" s="45"/>
    </row>
    <row r="114" spans="2:9" ht="15">
      <c r="B114" s="154"/>
      <c r="C114" s="45"/>
      <c r="D114" s="17"/>
      <c r="E114" s="17"/>
      <c r="F114" s="45"/>
      <c r="G114" s="45"/>
      <c r="H114" s="45"/>
      <c r="I114" s="45"/>
    </row>
    <row r="115" spans="2:9" ht="15">
      <c r="B115" s="154"/>
      <c r="C115" s="45"/>
      <c r="D115" s="17"/>
      <c r="E115" s="17"/>
      <c r="F115" s="45"/>
      <c r="G115" s="45"/>
      <c r="H115" s="45"/>
      <c r="I115" s="45"/>
    </row>
    <row r="116" spans="2:9" ht="15">
      <c r="B116" s="154"/>
      <c r="C116" s="45"/>
      <c r="D116" s="17"/>
      <c r="E116" s="17"/>
      <c r="F116" s="45"/>
      <c r="G116" s="45"/>
      <c r="H116" s="45"/>
      <c r="I116" s="45"/>
    </row>
    <row r="117" spans="2:9" ht="15">
      <c r="B117" s="154"/>
      <c r="C117" s="45"/>
      <c r="D117" s="17"/>
      <c r="E117" s="17"/>
      <c r="F117" s="45"/>
      <c r="G117" s="45"/>
      <c r="H117" s="45"/>
      <c r="I117" s="45"/>
    </row>
    <row r="118" spans="2:9" ht="15">
      <c r="B118" s="154"/>
      <c r="C118" s="45"/>
      <c r="D118" s="17"/>
      <c r="E118" s="17"/>
      <c r="F118" s="45"/>
      <c r="G118" s="45"/>
      <c r="H118" s="45"/>
      <c r="I118" s="45"/>
    </row>
    <row r="119" spans="2:9" ht="15">
      <c r="B119" s="154"/>
      <c r="C119" s="45"/>
      <c r="D119" s="17"/>
      <c r="E119" s="17"/>
      <c r="F119" s="45"/>
      <c r="G119" s="45"/>
      <c r="H119" s="45"/>
      <c r="I119" s="45"/>
    </row>
    <row r="120" spans="2:9" ht="15">
      <c r="B120" s="154"/>
      <c r="C120" s="45"/>
      <c r="D120" s="17"/>
      <c r="E120" s="17"/>
      <c r="F120" s="45"/>
      <c r="G120" s="45"/>
      <c r="H120" s="45"/>
      <c r="I120" s="45"/>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10"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2:Q52"/>
  <sheetViews>
    <sheetView zoomScale="70" zoomScaleNormal="70" workbookViewId="0">
      <selection activeCell="B5" sqref="B5"/>
    </sheetView>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s>
  <sheetData>
    <row r="2" spans="1:17" ht="18">
      <c r="I2" s="796" t="str">
        <f>+'Appendix A'!A3</f>
        <v>Dayton Power and Light</v>
      </c>
    </row>
    <row r="3" spans="1:17" ht="18">
      <c r="I3" s="796" t="str">
        <f>+'Appendix A'!A4</f>
        <v xml:space="preserve">ATTACHMENT H-15A </v>
      </c>
    </row>
    <row r="4" spans="1:17" ht="18">
      <c r="I4" s="178" t="s">
        <v>407</v>
      </c>
      <c r="J4" s="178"/>
      <c r="K4" s="178"/>
      <c r="L4" s="178"/>
      <c r="M4" s="178"/>
      <c r="N4" s="178"/>
      <c r="O4" s="178"/>
    </row>
    <row r="5" spans="1:17" ht="18">
      <c r="B5" s="831" t="s">
        <v>1022</v>
      </c>
      <c r="I5" s="796" t="s">
        <v>408</v>
      </c>
      <c r="Q5" s="628"/>
    </row>
    <row r="6" spans="1:17">
      <c r="I6" s="356"/>
    </row>
    <row r="7" spans="1:17" ht="15">
      <c r="A7" s="45"/>
      <c r="B7" s="45" t="s">
        <v>409</v>
      </c>
      <c r="C7" s="45"/>
      <c r="D7" s="45"/>
      <c r="E7" s="45"/>
      <c r="F7" s="45"/>
      <c r="G7" s="45"/>
      <c r="H7" s="45"/>
      <c r="I7" s="45"/>
      <c r="J7" s="45"/>
      <c r="K7" s="45"/>
      <c r="L7" s="45"/>
      <c r="M7" s="45"/>
      <c r="N7" s="45"/>
      <c r="O7" s="45"/>
      <c r="P7" s="45"/>
      <c r="Q7" s="45"/>
    </row>
    <row r="8" spans="1:17" ht="15">
      <c r="A8" s="45"/>
      <c r="B8" s="45"/>
      <c r="C8" s="45"/>
      <c r="D8" s="45"/>
      <c r="E8" s="45"/>
      <c r="F8" s="45"/>
      <c r="G8" s="45"/>
      <c r="H8" s="45"/>
      <c r="I8" s="45"/>
      <c r="J8" s="45"/>
      <c r="K8" s="45"/>
      <c r="L8" s="45"/>
      <c r="M8" s="45"/>
      <c r="N8" s="45"/>
      <c r="O8" s="45"/>
      <c r="P8" s="45"/>
      <c r="Q8" s="45"/>
    </row>
    <row r="10" spans="1:17" ht="15.75">
      <c r="A10" s="414"/>
      <c r="B10" s="415" t="s">
        <v>410</v>
      </c>
      <c r="C10" s="414"/>
      <c r="D10" s="414"/>
      <c r="E10" s="414"/>
      <c r="F10" s="414"/>
      <c r="G10" s="414"/>
      <c r="H10" s="414"/>
      <c r="I10" s="414"/>
      <c r="J10" s="414"/>
      <c r="K10" s="414"/>
      <c r="L10" s="415"/>
      <c r="M10" s="414"/>
      <c r="N10" s="414"/>
      <c r="O10" s="414"/>
      <c r="P10" s="414"/>
      <c r="Q10" s="414"/>
    </row>
    <row r="11" spans="1:17" ht="15.75">
      <c r="A11" s="414"/>
      <c r="B11" s="870" t="s">
        <v>411</v>
      </c>
      <c r="C11" s="871"/>
      <c r="D11" s="871"/>
      <c r="E11" s="871"/>
      <c r="F11" s="872"/>
      <c r="G11" s="416"/>
      <c r="H11" s="873" t="s">
        <v>412</v>
      </c>
      <c r="I11" s="874"/>
      <c r="J11" s="875"/>
      <c r="K11" s="417"/>
      <c r="L11" s="876" t="s">
        <v>413</v>
      </c>
      <c r="M11" s="877"/>
      <c r="N11" s="877"/>
      <c r="O11" s="877"/>
      <c r="P11" s="877"/>
      <c r="Q11" s="877"/>
    </row>
    <row r="12" spans="1:17" ht="15.75">
      <c r="A12" s="414"/>
      <c r="B12" s="418" t="s">
        <v>207</v>
      </c>
      <c r="C12" s="418" t="s">
        <v>209</v>
      </c>
      <c r="D12" s="418" t="s">
        <v>211</v>
      </c>
      <c r="E12" s="418" t="s">
        <v>213</v>
      </c>
      <c r="F12" s="418" t="s">
        <v>215</v>
      </c>
      <c r="G12" s="416"/>
      <c r="H12" s="418" t="s">
        <v>217</v>
      </c>
      <c r="I12" s="418" t="s">
        <v>219</v>
      </c>
      <c r="J12" s="418" t="s">
        <v>221</v>
      </c>
      <c r="K12" s="419"/>
      <c r="L12" s="420" t="s">
        <v>223</v>
      </c>
      <c r="M12" s="420" t="s">
        <v>225</v>
      </c>
      <c r="N12" s="420" t="s">
        <v>227</v>
      </c>
      <c r="O12" s="420" t="s">
        <v>229</v>
      </c>
      <c r="P12" s="420" t="s">
        <v>231</v>
      </c>
      <c r="Q12" s="420" t="s">
        <v>233</v>
      </c>
    </row>
    <row r="13" spans="1:17" ht="150">
      <c r="A13" s="414"/>
      <c r="B13" s="421" t="s">
        <v>414</v>
      </c>
      <c r="C13" s="421" t="s">
        <v>355</v>
      </c>
      <c r="D13" s="421" t="s">
        <v>415</v>
      </c>
      <c r="E13" s="421" t="s">
        <v>416</v>
      </c>
      <c r="F13" s="421" t="s">
        <v>417</v>
      </c>
      <c r="G13" s="422"/>
      <c r="H13" s="421" t="s">
        <v>418</v>
      </c>
      <c r="I13" s="421" t="s">
        <v>419</v>
      </c>
      <c r="J13" s="421" t="s">
        <v>420</v>
      </c>
      <c r="K13" s="422"/>
      <c r="L13" s="423" t="s">
        <v>421</v>
      </c>
      <c r="M13" s="423" t="s">
        <v>422</v>
      </c>
      <c r="N13" s="423" t="s">
        <v>423</v>
      </c>
      <c r="O13" s="423" t="s">
        <v>424</v>
      </c>
      <c r="P13" s="423" t="s">
        <v>425</v>
      </c>
      <c r="Q13" s="423" t="s">
        <v>426</v>
      </c>
    </row>
    <row r="14" spans="1:17" ht="15">
      <c r="A14" s="414"/>
      <c r="B14" s="414"/>
      <c r="C14" s="422"/>
      <c r="D14" s="422"/>
      <c r="E14" s="422"/>
      <c r="F14" s="422"/>
      <c r="G14" s="422"/>
      <c r="H14" s="422"/>
      <c r="I14" s="422"/>
      <c r="J14" s="422"/>
      <c r="K14" s="422"/>
      <c r="L14" s="424"/>
      <c r="M14" s="424"/>
      <c r="N14" s="424"/>
      <c r="O14" s="424"/>
      <c r="P14" s="424"/>
      <c r="Q14" s="424"/>
    </row>
    <row r="15" spans="1:17" ht="15">
      <c r="A15" s="414">
        <v>1</v>
      </c>
      <c r="B15" s="425" t="s">
        <v>427</v>
      </c>
      <c r="C15" s="426"/>
      <c r="D15" s="412"/>
      <c r="E15" s="412"/>
      <c r="F15" s="412"/>
      <c r="G15" s="412"/>
      <c r="H15" s="571"/>
      <c r="I15" s="571"/>
      <c r="J15" s="572">
        <v>0</v>
      </c>
      <c r="K15" s="573"/>
      <c r="L15" s="574" t="str">
        <f>+B15</f>
        <v>December 31st balance (FF1 274.2.b)</v>
      </c>
      <c r="M15" s="575"/>
      <c r="N15" s="575"/>
      <c r="O15" s="575"/>
      <c r="P15" s="575"/>
      <c r="Q15" s="576">
        <f>+J15</f>
        <v>0</v>
      </c>
    </row>
    <row r="16" spans="1:17" ht="15">
      <c r="A16" s="414">
        <f t="shared" ref="A16:A28" si="0">+A15+1</f>
        <v>2</v>
      </c>
      <c r="B16" s="426" t="s">
        <v>369</v>
      </c>
      <c r="C16" s="411">
        <v>31</v>
      </c>
      <c r="D16" s="412">
        <f t="shared" ref="D16:D26" si="1">D17+C17</f>
        <v>335</v>
      </c>
      <c r="E16" s="412">
        <f>SUM(C16:C27)</f>
        <v>365</v>
      </c>
      <c r="F16" s="43">
        <f>335/365</f>
        <v>0.9178082191780822</v>
      </c>
      <c r="G16" s="412"/>
      <c r="H16" s="572">
        <v>0</v>
      </c>
      <c r="I16" s="571">
        <f t="shared" ref="I16:I27" si="2">+H16*F16</f>
        <v>0</v>
      </c>
      <c r="J16" s="571">
        <f t="shared" ref="J16:J18" si="3">+I16+J15</f>
        <v>0</v>
      </c>
      <c r="K16" s="573"/>
      <c r="L16" s="577">
        <f t="shared" ref="L16:L27" si="4">+N34</f>
        <v>0</v>
      </c>
      <c r="M16" s="575">
        <f>L16-H16</f>
        <v>0</v>
      </c>
      <c r="N16" s="576">
        <f>IF(AND(H16&gt;=0,L16&gt;=0),IF(M16&gt;=0,I16,L16/H16*I16),IF(AND(H16&lt;0,L16&lt;0),IF(M16&lt;0,I16,L16/H16*I16),0))</f>
        <v>0</v>
      </c>
      <c r="O16" s="576">
        <f t="shared" ref="O16:O27" si="5">IF(AND(H16&gt;=0,L16&gt;=0),IF(M16&gt;=0,M16,0),IF(AND(H16&lt;0,L16&lt;0),IF(M16&lt;0,M16,0),0))</f>
        <v>0</v>
      </c>
      <c r="P16" s="576">
        <f>IF(AND(H16&gt;=0,L16&lt;0),L16,IF(AND(H16&lt;0,L16&gt;=0),L16,0))</f>
        <v>0</v>
      </c>
      <c r="Q16" s="576">
        <f>Q15+N16+(O16+P16)*0.5</f>
        <v>0</v>
      </c>
    </row>
    <row r="17" spans="1:17" ht="15">
      <c r="A17" s="414">
        <f t="shared" si="0"/>
        <v>3</v>
      </c>
      <c r="B17" s="426" t="s">
        <v>370</v>
      </c>
      <c r="C17" s="413">
        <v>28</v>
      </c>
      <c r="D17" s="412">
        <f t="shared" si="1"/>
        <v>307</v>
      </c>
      <c r="E17" s="412">
        <f>E16</f>
        <v>365</v>
      </c>
      <c r="F17" s="43">
        <f>307/365</f>
        <v>0.84109589041095889</v>
      </c>
      <c r="G17" s="412"/>
      <c r="H17" s="572">
        <v>0</v>
      </c>
      <c r="I17" s="571">
        <f t="shared" si="2"/>
        <v>0</v>
      </c>
      <c r="J17" s="571">
        <f t="shared" si="3"/>
        <v>0</v>
      </c>
      <c r="K17" s="573"/>
      <c r="L17" s="577">
        <f t="shared" si="4"/>
        <v>0</v>
      </c>
      <c r="M17" s="575">
        <f>L17-H17</f>
        <v>0</v>
      </c>
      <c r="N17" s="576">
        <f t="shared" ref="N17:N27" si="6">IF(AND(H17&gt;=0,L17&gt;=0),IF(M17&gt;=0,I17,L17/H17*I17),IF(AND(H17&lt;0,L17&lt;0),IF(M17&lt;0,I17,L17/H17*I17),0))</f>
        <v>0</v>
      </c>
      <c r="O17" s="576">
        <f t="shared" si="5"/>
        <v>0</v>
      </c>
      <c r="P17" s="576">
        <f t="shared" ref="P17:P27" si="7">IF(AND(H17&gt;=0,L17&lt;0),L17,IF(AND(H17&lt;0,L17&gt;=0),L17,0))</f>
        <v>0</v>
      </c>
      <c r="Q17" s="576">
        <f>Q16+N17+(O17+P17)*0.5</f>
        <v>0</v>
      </c>
    </row>
    <row r="18" spans="1:17" ht="15">
      <c r="A18" s="414">
        <f t="shared" si="0"/>
        <v>4</v>
      </c>
      <c r="B18" s="426" t="s">
        <v>371</v>
      </c>
      <c r="C18" s="411">
        <v>31</v>
      </c>
      <c r="D18" s="412">
        <f t="shared" si="1"/>
        <v>276</v>
      </c>
      <c r="E18" s="412">
        <f t="shared" ref="E18:E27" si="8">E17</f>
        <v>365</v>
      </c>
      <c r="F18" s="43">
        <f>276/365</f>
        <v>0.75616438356164384</v>
      </c>
      <c r="G18" s="412"/>
      <c r="H18" s="572">
        <v>0</v>
      </c>
      <c r="I18" s="571">
        <f t="shared" si="2"/>
        <v>0</v>
      </c>
      <c r="J18" s="571">
        <f t="shared" si="3"/>
        <v>0</v>
      </c>
      <c r="K18" s="573"/>
      <c r="L18" s="577">
        <f t="shared" si="4"/>
        <v>0</v>
      </c>
      <c r="M18" s="575">
        <f t="shared" ref="M18:M27" si="9">L18-H18</f>
        <v>0</v>
      </c>
      <c r="N18" s="576">
        <f t="shared" si="6"/>
        <v>0</v>
      </c>
      <c r="O18" s="576">
        <f t="shared" si="5"/>
        <v>0</v>
      </c>
      <c r="P18" s="576">
        <f t="shared" si="7"/>
        <v>0</v>
      </c>
      <c r="Q18" s="576">
        <f>Q17+N18+(O18+P18)*0.5</f>
        <v>0</v>
      </c>
    </row>
    <row r="19" spans="1:17" ht="15">
      <c r="A19" s="414">
        <f t="shared" si="0"/>
        <v>5</v>
      </c>
      <c r="B19" s="426" t="s">
        <v>372</v>
      </c>
      <c r="C19" s="411">
        <v>30</v>
      </c>
      <c r="D19" s="412">
        <f t="shared" si="1"/>
        <v>246</v>
      </c>
      <c r="E19" s="412">
        <f t="shared" si="8"/>
        <v>365</v>
      </c>
      <c r="F19" s="43">
        <f>246/365</f>
        <v>0.67397260273972603</v>
      </c>
      <c r="G19" s="412"/>
      <c r="H19" s="572">
        <v>0</v>
      </c>
      <c r="I19" s="571">
        <f t="shared" si="2"/>
        <v>0</v>
      </c>
      <c r="J19" s="571">
        <f>+I19+J18</f>
        <v>0</v>
      </c>
      <c r="K19" s="573"/>
      <c r="L19" s="577">
        <f t="shared" si="4"/>
        <v>0</v>
      </c>
      <c r="M19" s="575">
        <f t="shared" si="9"/>
        <v>0</v>
      </c>
      <c r="N19" s="576">
        <f t="shared" si="6"/>
        <v>0</v>
      </c>
      <c r="O19" s="576">
        <f t="shared" si="5"/>
        <v>0</v>
      </c>
      <c r="P19" s="576">
        <f t="shared" si="7"/>
        <v>0</v>
      </c>
      <c r="Q19" s="576">
        <f t="shared" ref="Q19:Q27" si="10">Q18+N19+(O19+P19)*0.5</f>
        <v>0</v>
      </c>
    </row>
    <row r="20" spans="1:17" ht="15">
      <c r="A20" s="414">
        <f t="shared" si="0"/>
        <v>6</v>
      </c>
      <c r="B20" s="426" t="s">
        <v>373</v>
      </c>
      <c r="C20" s="411">
        <v>31</v>
      </c>
      <c r="D20" s="412">
        <f t="shared" si="1"/>
        <v>215</v>
      </c>
      <c r="E20" s="412">
        <f t="shared" si="8"/>
        <v>365</v>
      </c>
      <c r="F20" s="43">
        <f>215/365</f>
        <v>0.58904109589041098</v>
      </c>
      <c r="G20" s="412"/>
      <c r="H20" s="572">
        <v>0</v>
      </c>
      <c r="I20" s="571">
        <f t="shared" si="2"/>
        <v>0</v>
      </c>
      <c r="J20" s="571">
        <f t="shared" ref="J20:J27" si="11">+I20+J19</f>
        <v>0</v>
      </c>
      <c r="K20" s="573"/>
      <c r="L20" s="577">
        <f t="shared" si="4"/>
        <v>0</v>
      </c>
      <c r="M20" s="575">
        <f t="shared" si="9"/>
        <v>0</v>
      </c>
      <c r="N20" s="576">
        <f t="shared" si="6"/>
        <v>0</v>
      </c>
      <c r="O20" s="576">
        <f t="shared" si="5"/>
        <v>0</v>
      </c>
      <c r="P20" s="576">
        <f t="shared" si="7"/>
        <v>0</v>
      </c>
      <c r="Q20" s="576">
        <f t="shared" si="10"/>
        <v>0</v>
      </c>
    </row>
    <row r="21" spans="1:17" ht="15">
      <c r="A21" s="414">
        <f t="shared" si="0"/>
        <v>7</v>
      </c>
      <c r="B21" s="426" t="s">
        <v>374</v>
      </c>
      <c r="C21" s="411">
        <v>30</v>
      </c>
      <c r="D21" s="412">
        <f t="shared" si="1"/>
        <v>185</v>
      </c>
      <c r="E21" s="412">
        <f t="shared" si="8"/>
        <v>365</v>
      </c>
      <c r="F21" s="43">
        <f>185/365</f>
        <v>0.50684931506849318</v>
      </c>
      <c r="G21" s="412"/>
      <c r="H21" s="572">
        <v>0</v>
      </c>
      <c r="I21" s="571">
        <f t="shared" si="2"/>
        <v>0</v>
      </c>
      <c r="J21" s="571">
        <f t="shared" si="11"/>
        <v>0</v>
      </c>
      <c r="K21" s="573"/>
      <c r="L21" s="577">
        <f t="shared" si="4"/>
        <v>0</v>
      </c>
      <c r="M21" s="575">
        <f t="shared" si="9"/>
        <v>0</v>
      </c>
      <c r="N21" s="576">
        <f t="shared" si="6"/>
        <v>0</v>
      </c>
      <c r="O21" s="576">
        <f t="shared" si="5"/>
        <v>0</v>
      </c>
      <c r="P21" s="576">
        <f t="shared" si="7"/>
        <v>0</v>
      </c>
      <c r="Q21" s="576">
        <f t="shared" si="10"/>
        <v>0</v>
      </c>
    </row>
    <row r="22" spans="1:17" ht="15">
      <c r="A22" s="414">
        <f t="shared" si="0"/>
        <v>8</v>
      </c>
      <c r="B22" s="426" t="s">
        <v>375</v>
      </c>
      <c r="C22" s="411">
        <v>31</v>
      </c>
      <c r="D22" s="412">
        <f t="shared" si="1"/>
        <v>154</v>
      </c>
      <c r="E22" s="412">
        <f t="shared" si="8"/>
        <v>365</v>
      </c>
      <c r="F22" s="43">
        <f>154/365</f>
        <v>0.42191780821917807</v>
      </c>
      <c r="G22" s="412"/>
      <c r="H22" s="572">
        <v>0</v>
      </c>
      <c r="I22" s="571">
        <f t="shared" si="2"/>
        <v>0</v>
      </c>
      <c r="J22" s="571">
        <f t="shared" si="11"/>
        <v>0</v>
      </c>
      <c r="K22" s="573"/>
      <c r="L22" s="577">
        <f t="shared" si="4"/>
        <v>0</v>
      </c>
      <c r="M22" s="575">
        <f t="shared" si="9"/>
        <v>0</v>
      </c>
      <c r="N22" s="576">
        <f t="shared" si="6"/>
        <v>0</v>
      </c>
      <c r="O22" s="576">
        <f t="shared" si="5"/>
        <v>0</v>
      </c>
      <c r="P22" s="576">
        <f t="shared" si="7"/>
        <v>0</v>
      </c>
      <c r="Q22" s="576">
        <f t="shared" si="10"/>
        <v>0</v>
      </c>
    </row>
    <row r="23" spans="1:17" ht="15">
      <c r="A23" s="414">
        <f t="shared" si="0"/>
        <v>9</v>
      </c>
      <c r="B23" s="426" t="s">
        <v>376</v>
      </c>
      <c r="C23" s="411">
        <v>31</v>
      </c>
      <c r="D23" s="412">
        <f t="shared" si="1"/>
        <v>123</v>
      </c>
      <c r="E23" s="412">
        <f t="shared" si="8"/>
        <v>365</v>
      </c>
      <c r="F23" s="43">
        <f>123/365</f>
        <v>0.33698630136986302</v>
      </c>
      <c r="G23" s="412"/>
      <c r="H23" s="572">
        <v>0</v>
      </c>
      <c r="I23" s="571">
        <f t="shared" si="2"/>
        <v>0</v>
      </c>
      <c r="J23" s="571">
        <f t="shared" si="11"/>
        <v>0</v>
      </c>
      <c r="K23" s="573"/>
      <c r="L23" s="577">
        <f t="shared" si="4"/>
        <v>0</v>
      </c>
      <c r="M23" s="575">
        <f t="shared" si="9"/>
        <v>0</v>
      </c>
      <c r="N23" s="576">
        <f t="shared" si="6"/>
        <v>0</v>
      </c>
      <c r="O23" s="576">
        <f t="shared" si="5"/>
        <v>0</v>
      </c>
      <c r="P23" s="576">
        <f t="shared" si="7"/>
        <v>0</v>
      </c>
      <c r="Q23" s="576">
        <f t="shared" si="10"/>
        <v>0</v>
      </c>
    </row>
    <row r="24" spans="1:17" ht="15">
      <c r="A24" s="414">
        <f t="shared" si="0"/>
        <v>10</v>
      </c>
      <c r="B24" s="426" t="s">
        <v>377</v>
      </c>
      <c r="C24" s="411">
        <v>30</v>
      </c>
      <c r="D24" s="412">
        <f t="shared" si="1"/>
        <v>93</v>
      </c>
      <c r="E24" s="412">
        <f t="shared" si="8"/>
        <v>365</v>
      </c>
      <c r="F24" s="43">
        <f>93/365</f>
        <v>0.25479452054794521</v>
      </c>
      <c r="G24" s="412"/>
      <c r="H24" s="572">
        <v>0</v>
      </c>
      <c r="I24" s="571">
        <f t="shared" si="2"/>
        <v>0</v>
      </c>
      <c r="J24" s="571">
        <f t="shared" si="11"/>
        <v>0</v>
      </c>
      <c r="K24" s="573"/>
      <c r="L24" s="577">
        <f t="shared" si="4"/>
        <v>0</v>
      </c>
      <c r="M24" s="575">
        <f t="shared" si="9"/>
        <v>0</v>
      </c>
      <c r="N24" s="576">
        <f t="shared" si="6"/>
        <v>0</v>
      </c>
      <c r="O24" s="576">
        <f t="shared" si="5"/>
        <v>0</v>
      </c>
      <c r="P24" s="576">
        <f t="shared" si="7"/>
        <v>0</v>
      </c>
      <c r="Q24" s="576">
        <f t="shared" si="10"/>
        <v>0</v>
      </c>
    </row>
    <row r="25" spans="1:17" ht="15">
      <c r="A25" s="414">
        <f t="shared" si="0"/>
        <v>11</v>
      </c>
      <c r="B25" s="426" t="s">
        <v>378</v>
      </c>
      <c r="C25" s="411">
        <v>31</v>
      </c>
      <c r="D25" s="412">
        <f t="shared" si="1"/>
        <v>62</v>
      </c>
      <c r="E25" s="412">
        <f t="shared" si="8"/>
        <v>365</v>
      </c>
      <c r="F25" s="43">
        <f>62/365</f>
        <v>0.16986301369863013</v>
      </c>
      <c r="G25" s="412"/>
      <c r="H25" s="572">
        <v>0</v>
      </c>
      <c r="I25" s="571">
        <f t="shared" si="2"/>
        <v>0</v>
      </c>
      <c r="J25" s="571">
        <f t="shared" si="11"/>
        <v>0</v>
      </c>
      <c r="K25" s="573"/>
      <c r="L25" s="577">
        <f t="shared" si="4"/>
        <v>0</v>
      </c>
      <c r="M25" s="575">
        <f t="shared" si="9"/>
        <v>0</v>
      </c>
      <c r="N25" s="576">
        <f t="shared" si="6"/>
        <v>0</v>
      </c>
      <c r="O25" s="576">
        <f t="shared" si="5"/>
        <v>0</v>
      </c>
      <c r="P25" s="576">
        <f t="shared" si="7"/>
        <v>0</v>
      </c>
      <c r="Q25" s="576">
        <f t="shared" si="10"/>
        <v>0</v>
      </c>
    </row>
    <row r="26" spans="1:17" ht="15">
      <c r="A26" s="414">
        <f t="shared" si="0"/>
        <v>12</v>
      </c>
      <c r="B26" s="426" t="s">
        <v>379</v>
      </c>
      <c r="C26" s="411">
        <v>30</v>
      </c>
      <c r="D26" s="412">
        <f t="shared" si="1"/>
        <v>32</v>
      </c>
      <c r="E26" s="412">
        <f t="shared" si="8"/>
        <v>365</v>
      </c>
      <c r="F26" s="43">
        <f>32/365</f>
        <v>8.7671232876712329E-2</v>
      </c>
      <c r="G26" s="412"/>
      <c r="H26" s="572">
        <v>0</v>
      </c>
      <c r="I26" s="571">
        <f t="shared" si="2"/>
        <v>0</v>
      </c>
      <c r="J26" s="571">
        <f t="shared" si="11"/>
        <v>0</v>
      </c>
      <c r="K26" s="573"/>
      <c r="L26" s="577">
        <f t="shared" si="4"/>
        <v>0</v>
      </c>
      <c r="M26" s="575">
        <f t="shared" si="9"/>
        <v>0</v>
      </c>
      <c r="N26" s="576">
        <f t="shared" si="6"/>
        <v>0</v>
      </c>
      <c r="O26" s="576">
        <f t="shared" si="5"/>
        <v>0</v>
      </c>
      <c r="P26" s="576">
        <f t="shared" si="7"/>
        <v>0</v>
      </c>
      <c r="Q26" s="576">
        <f t="shared" si="10"/>
        <v>0</v>
      </c>
    </row>
    <row r="27" spans="1:17" ht="15">
      <c r="A27" s="414">
        <f t="shared" si="0"/>
        <v>13</v>
      </c>
      <c r="B27" s="426" t="s">
        <v>380</v>
      </c>
      <c r="C27" s="411">
        <v>31</v>
      </c>
      <c r="D27" s="412">
        <v>1</v>
      </c>
      <c r="E27" s="412">
        <f t="shared" si="8"/>
        <v>365</v>
      </c>
      <c r="F27" s="43">
        <f>1/365</f>
        <v>2.7397260273972603E-3</v>
      </c>
      <c r="G27" s="412"/>
      <c r="H27" s="572">
        <v>0</v>
      </c>
      <c r="I27" s="571">
        <f t="shared" si="2"/>
        <v>0</v>
      </c>
      <c r="J27" s="571">
        <f t="shared" si="11"/>
        <v>0</v>
      </c>
      <c r="K27" s="573"/>
      <c r="L27" s="577">
        <f t="shared" si="4"/>
        <v>0</v>
      </c>
      <c r="M27" s="575">
        <f t="shared" si="9"/>
        <v>0</v>
      </c>
      <c r="N27" s="576">
        <f t="shared" si="6"/>
        <v>0</v>
      </c>
      <c r="O27" s="576">
        <f t="shared" si="5"/>
        <v>0</v>
      </c>
      <c r="P27" s="576">
        <f t="shared" si="7"/>
        <v>0</v>
      </c>
      <c r="Q27" s="576">
        <f t="shared" si="10"/>
        <v>0</v>
      </c>
    </row>
    <row r="28" spans="1:17" ht="15">
      <c r="A28" s="414">
        <f t="shared" si="0"/>
        <v>14</v>
      </c>
      <c r="B28" s="427" t="s">
        <v>68</v>
      </c>
      <c r="C28" s="428">
        <f>SUM(C16:C27)</f>
        <v>365</v>
      </c>
      <c r="D28" s="427"/>
      <c r="E28" s="427"/>
      <c r="F28" s="429"/>
      <c r="G28" s="412"/>
      <c r="H28" s="578">
        <f>SUM(H16:H27)</f>
        <v>0</v>
      </c>
      <c r="I28" s="578">
        <f>SUM(I16:I27)</f>
        <v>0</v>
      </c>
      <c r="J28" s="579"/>
      <c r="K28" s="573"/>
      <c r="L28" s="578">
        <f>SUM(L16:L27)</f>
        <v>0</v>
      </c>
      <c r="M28" s="578">
        <f t="shared" ref="M28:P28" si="12">SUM(M16:M27)</f>
        <v>0</v>
      </c>
      <c r="N28" s="580">
        <f t="shared" si="12"/>
        <v>0</v>
      </c>
      <c r="O28" s="580">
        <f t="shared" si="12"/>
        <v>0</v>
      </c>
      <c r="P28" s="580">
        <f t="shared" si="12"/>
        <v>0</v>
      </c>
      <c r="Q28" s="581"/>
    </row>
    <row r="29" spans="1:17" ht="15">
      <c r="A29" s="414"/>
      <c r="B29" s="430"/>
      <c r="C29" s="430"/>
      <c r="D29" s="430"/>
      <c r="E29" s="430"/>
      <c r="F29" s="431"/>
      <c r="G29" s="431"/>
      <c r="H29" s="414"/>
      <c r="I29" s="432"/>
      <c r="J29" s="431"/>
      <c r="K29" s="431"/>
      <c r="L29" s="414"/>
      <c r="M29" s="414"/>
      <c r="N29" s="414"/>
      <c r="O29" s="414"/>
      <c r="P29" s="414"/>
      <c r="Q29" s="414"/>
    </row>
    <row r="30" spans="1:17" ht="16.899999999999999" customHeight="1">
      <c r="A30" s="45"/>
      <c r="B30" s="45"/>
      <c r="C30" s="45"/>
      <c r="D30" s="45"/>
      <c r="E30" s="45"/>
      <c r="F30" s="45"/>
      <c r="G30" s="45"/>
      <c r="H30" s="45"/>
      <c r="I30" s="45"/>
      <c r="J30" s="45"/>
      <c r="K30" s="45"/>
      <c r="L30" s="45"/>
      <c r="M30" s="45"/>
      <c r="N30" s="45"/>
      <c r="O30" s="45"/>
      <c r="P30" s="45"/>
      <c r="Q30" s="45"/>
    </row>
    <row r="31" spans="1:17" ht="16.899999999999999" customHeight="1">
      <c r="A31" s="45"/>
      <c r="B31" s="45"/>
      <c r="C31" s="45"/>
      <c r="D31" s="45"/>
      <c r="E31" s="45"/>
      <c r="F31" s="59" t="s">
        <v>17</v>
      </c>
      <c r="G31" s="45"/>
      <c r="H31" s="45"/>
      <c r="I31" s="45"/>
      <c r="J31" s="59" t="s">
        <v>428</v>
      </c>
      <c r="K31" s="45"/>
      <c r="L31" s="45"/>
      <c r="M31" s="45"/>
      <c r="N31" s="45"/>
      <c r="O31" s="59"/>
      <c r="P31" s="45"/>
      <c r="Q31" s="45"/>
    </row>
    <row r="32" spans="1:17" ht="16.899999999999999" customHeight="1">
      <c r="A32" s="45"/>
      <c r="B32" s="45"/>
      <c r="C32" s="52" t="s">
        <v>57</v>
      </c>
      <c r="D32" s="52"/>
      <c r="E32" s="52" t="s">
        <v>361</v>
      </c>
      <c r="F32" s="53" t="s">
        <v>429</v>
      </c>
      <c r="G32" s="53" t="s">
        <v>68</v>
      </c>
      <c r="H32" s="52"/>
      <c r="I32" s="52" t="s">
        <v>364</v>
      </c>
      <c r="J32" s="53" t="s">
        <v>429</v>
      </c>
      <c r="K32" s="45"/>
      <c r="L32" s="53" t="s">
        <v>68</v>
      </c>
      <c r="M32" s="45"/>
      <c r="N32" s="53" t="s">
        <v>430</v>
      </c>
      <c r="O32" s="53"/>
      <c r="P32" s="53"/>
    </row>
    <row r="33" spans="1:17" ht="16.899999999999999" customHeight="1">
      <c r="A33" s="45"/>
      <c r="B33" s="45" t="s">
        <v>421</v>
      </c>
      <c r="C33" s="45"/>
      <c r="D33" s="45"/>
      <c r="E33" s="45"/>
      <c r="F33" s="45"/>
      <c r="G33" s="45"/>
      <c r="H33" s="45"/>
      <c r="I33" s="45"/>
      <c r="J33" s="45"/>
      <c r="K33" s="45"/>
      <c r="L33" s="45"/>
      <c r="M33" s="45"/>
      <c r="N33" s="45"/>
      <c r="O33" s="45"/>
    </row>
    <row r="34" spans="1:17" ht="16.899999999999999" customHeight="1">
      <c r="A34" s="45">
        <f>+A28+1</f>
        <v>15</v>
      </c>
      <c r="B34" s="45" t="s">
        <v>369</v>
      </c>
      <c r="C34" s="582">
        <v>0</v>
      </c>
      <c r="D34" s="343"/>
      <c r="E34" s="582">
        <v>0</v>
      </c>
      <c r="F34" s="464">
        <f>+'Appendix A'!$H$27</f>
        <v>0.22074546692968111</v>
      </c>
      <c r="G34" s="343">
        <f t="shared" ref="G34:G45" si="13">+E34*F34</f>
        <v>0</v>
      </c>
      <c r="H34" s="343"/>
      <c r="I34" s="582">
        <v>0</v>
      </c>
      <c r="J34" s="464">
        <f>+'Appendix A'!$H$16</f>
        <v>0.12783050741274057</v>
      </c>
      <c r="K34" s="45"/>
      <c r="L34" s="343">
        <f>+I34*J34</f>
        <v>0</v>
      </c>
      <c r="M34" s="343"/>
      <c r="N34" s="343">
        <f t="shared" ref="N34:N45" si="14">+C34+G34+L34+P34</f>
        <v>0</v>
      </c>
      <c r="O34" s="463"/>
      <c r="P34" s="343"/>
    </row>
    <row r="35" spans="1:17" ht="16.899999999999999" customHeight="1">
      <c r="A35" s="45">
        <f>+A34+1</f>
        <v>16</v>
      </c>
      <c r="B35" s="45" t="s">
        <v>370</v>
      </c>
      <c r="C35" s="582">
        <v>0</v>
      </c>
      <c r="D35" s="343"/>
      <c r="E35" s="582">
        <v>0</v>
      </c>
      <c r="F35" s="464">
        <f>+'Appendix A'!$H$27</f>
        <v>0.22074546692968111</v>
      </c>
      <c r="G35" s="343">
        <f t="shared" si="13"/>
        <v>0</v>
      </c>
      <c r="H35" s="343"/>
      <c r="I35" s="582">
        <v>0</v>
      </c>
      <c r="J35" s="464">
        <f>+'Appendix A'!$H$16</f>
        <v>0.12783050741274057</v>
      </c>
      <c r="K35" s="45"/>
      <c r="L35" s="343">
        <f t="shared" ref="L35:L45" si="15">+I35*J35</f>
        <v>0</v>
      </c>
      <c r="M35" s="343"/>
      <c r="N35" s="343">
        <f t="shared" si="14"/>
        <v>0</v>
      </c>
      <c r="O35" s="463"/>
      <c r="P35" s="343"/>
    </row>
    <row r="36" spans="1:17" ht="16.899999999999999" customHeight="1">
      <c r="A36" s="45">
        <f t="shared" ref="A36:A45" si="16">+A35+1</f>
        <v>17</v>
      </c>
      <c r="B36" s="45" t="s">
        <v>371</v>
      </c>
      <c r="C36" s="582">
        <v>0</v>
      </c>
      <c r="D36" s="343"/>
      <c r="E36" s="582">
        <v>0</v>
      </c>
      <c r="F36" s="464">
        <f>+'Appendix A'!$H$27</f>
        <v>0.22074546692968111</v>
      </c>
      <c r="G36" s="343">
        <f t="shared" si="13"/>
        <v>0</v>
      </c>
      <c r="H36" s="343"/>
      <c r="I36" s="582">
        <v>0</v>
      </c>
      <c r="J36" s="464">
        <f>+'Appendix A'!$H$16</f>
        <v>0.12783050741274057</v>
      </c>
      <c r="K36" s="45"/>
      <c r="L36" s="343">
        <f t="shared" si="15"/>
        <v>0</v>
      </c>
      <c r="M36" s="343"/>
      <c r="N36" s="343">
        <f t="shared" si="14"/>
        <v>0</v>
      </c>
      <c r="O36" s="463"/>
      <c r="P36" s="343"/>
    </row>
    <row r="37" spans="1:17" ht="16.899999999999999" customHeight="1">
      <c r="A37" s="45">
        <f t="shared" si="16"/>
        <v>18</v>
      </c>
      <c r="B37" s="45" t="s">
        <v>372</v>
      </c>
      <c r="C37" s="582">
        <v>0</v>
      </c>
      <c r="D37" s="343"/>
      <c r="E37" s="582">
        <v>0</v>
      </c>
      <c r="F37" s="464">
        <f>+'Appendix A'!$H$27</f>
        <v>0.22074546692968111</v>
      </c>
      <c r="G37" s="343">
        <f t="shared" si="13"/>
        <v>0</v>
      </c>
      <c r="H37" s="343"/>
      <c r="I37" s="582">
        <v>0</v>
      </c>
      <c r="J37" s="464">
        <f>+'Appendix A'!$H$16</f>
        <v>0.12783050741274057</v>
      </c>
      <c r="K37" s="45"/>
      <c r="L37" s="343">
        <f t="shared" si="15"/>
        <v>0</v>
      </c>
      <c r="M37" s="343"/>
      <c r="N37" s="343">
        <f t="shared" si="14"/>
        <v>0</v>
      </c>
      <c r="O37" s="463"/>
      <c r="P37" s="343"/>
    </row>
    <row r="38" spans="1:17" ht="16.899999999999999" customHeight="1">
      <c r="A38" s="45">
        <f t="shared" si="16"/>
        <v>19</v>
      </c>
      <c r="B38" s="45" t="s">
        <v>373</v>
      </c>
      <c r="C38" s="582">
        <v>0</v>
      </c>
      <c r="D38" s="343"/>
      <c r="E38" s="582">
        <v>0</v>
      </c>
      <c r="F38" s="464">
        <f>+'Appendix A'!$H$27</f>
        <v>0.22074546692968111</v>
      </c>
      <c r="G38" s="343">
        <f t="shared" si="13"/>
        <v>0</v>
      </c>
      <c r="H38" s="343"/>
      <c r="I38" s="582">
        <v>0</v>
      </c>
      <c r="J38" s="464">
        <f>+'Appendix A'!$H$16</f>
        <v>0.12783050741274057</v>
      </c>
      <c r="K38" s="45"/>
      <c r="L38" s="343">
        <f t="shared" si="15"/>
        <v>0</v>
      </c>
      <c r="M38" s="343"/>
      <c r="N38" s="343">
        <f t="shared" si="14"/>
        <v>0</v>
      </c>
      <c r="O38" s="463"/>
      <c r="P38" s="343"/>
    </row>
    <row r="39" spans="1:17" ht="16.899999999999999" customHeight="1">
      <c r="A39" s="45">
        <f t="shared" si="16"/>
        <v>20</v>
      </c>
      <c r="B39" s="45" t="s">
        <v>374</v>
      </c>
      <c r="C39" s="582">
        <v>0</v>
      </c>
      <c r="D39" s="343"/>
      <c r="E39" s="582">
        <v>0</v>
      </c>
      <c r="F39" s="464">
        <f>+'Appendix A'!$H$27</f>
        <v>0.22074546692968111</v>
      </c>
      <c r="G39" s="343">
        <f t="shared" si="13"/>
        <v>0</v>
      </c>
      <c r="H39" s="343"/>
      <c r="I39" s="582">
        <v>0</v>
      </c>
      <c r="J39" s="464">
        <f>+'Appendix A'!$H$16</f>
        <v>0.12783050741274057</v>
      </c>
      <c r="K39" s="45"/>
      <c r="L39" s="343">
        <f t="shared" si="15"/>
        <v>0</v>
      </c>
      <c r="M39" s="343"/>
      <c r="N39" s="343">
        <f t="shared" si="14"/>
        <v>0</v>
      </c>
      <c r="O39" s="463"/>
      <c r="P39" s="343"/>
    </row>
    <row r="40" spans="1:17" ht="15">
      <c r="A40" s="45">
        <f t="shared" si="16"/>
        <v>21</v>
      </c>
      <c r="B40" s="45" t="s">
        <v>375</v>
      </c>
      <c r="C40" s="582">
        <v>0</v>
      </c>
      <c r="D40" s="343"/>
      <c r="E40" s="582">
        <v>0</v>
      </c>
      <c r="F40" s="464">
        <f>+'Appendix A'!$H$27</f>
        <v>0.22074546692968111</v>
      </c>
      <c r="G40" s="343">
        <f t="shared" si="13"/>
        <v>0</v>
      </c>
      <c r="H40" s="343"/>
      <c r="I40" s="582">
        <v>0</v>
      </c>
      <c r="J40" s="464">
        <f>+'Appendix A'!$H$16</f>
        <v>0.12783050741274057</v>
      </c>
      <c r="K40" s="45"/>
      <c r="L40" s="343">
        <f t="shared" si="15"/>
        <v>0</v>
      </c>
      <c r="M40" s="343"/>
      <c r="N40" s="343">
        <f t="shared" si="14"/>
        <v>0</v>
      </c>
      <c r="O40" s="463"/>
      <c r="P40" s="343"/>
    </row>
    <row r="41" spans="1:17" ht="15">
      <c r="A41" s="45">
        <f t="shared" si="16"/>
        <v>22</v>
      </c>
      <c r="B41" s="45" t="s">
        <v>376</v>
      </c>
      <c r="C41" s="582">
        <v>0</v>
      </c>
      <c r="D41" s="343"/>
      <c r="E41" s="582">
        <v>0</v>
      </c>
      <c r="F41" s="464">
        <f>+'Appendix A'!$H$27</f>
        <v>0.22074546692968111</v>
      </c>
      <c r="G41" s="343">
        <f t="shared" si="13"/>
        <v>0</v>
      </c>
      <c r="H41" s="343"/>
      <c r="I41" s="582">
        <v>0</v>
      </c>
      <c r="J41" s="464">
        <f>+'Appendix A'!$H$16</f>
        <v>0.12783050741274057</v>
      </c>
      <c r="K41" s="45"/>
      <c r="L41" s="343">
        <f t="shared" si="15"/>
        <v>0</v>
      </c>
      <c r="M41" s="343"/>
      <c r="N41" s="343">
        <f t="shared" si="14"/>
        <v>0</v>
      </c>
      <c r="O41" s="463"/>
      <c r="P41" s="343"/>
    </row>
    <row r="42" spans="1:17" ht="15">
      <c r="A42" s="45">
        <f t="shared" si="16"/>
        <v>23</v>
      </c>
      <c r="B42" s="45" t="s">
        <v>377</v>
      </c>
      <c r="C42" s="582">
        <v>0</v>
      </c>
      <c r="D42" s="343"/>
      <c r="E42" s="582">
        <v>0</v>
      </c>
      <c r="F42" s="464">
        <f>+'Appendix A'!$H$27</f>
        <v>0.22074546692968111</v>
      </c>
      <c r="G42" s="343">
        <f t="shared" si="13"/>
        <v>0</v>
      </c>
      <c r="H42" s="343"/>
      <c r="I42" s="582">
        <v>0</v>
      </c>
      <c r="J42" s="464">
        <f>+'Appendix A'!$H$16</f>
        <v>0.12783050741274057</v>
      </c>
      <c r="K42" s="45"/>
      <c r="L42" s="343">
        <f t="shared" si="15"/>
        <v>0</v>
      </c>
      <c r="M42" s="343"/>
      <c r="N42" s="343">
        <f t="shared" si="14"/>
        <v>0</v>
      </c>
      <c r="O42" s="463"/>
      <c r="P42" s="343"/>
    </row>
    <row r="43" spans="1:17" ht="15">
      <c r="A43" s="45">
        <f t="shared" si="16"/>
        <v>24</v>
      </c>
      <c r="B43" s="45" t="s">
        <v>378</v>
      </c>
      <c r="C43" s="582">
        <v>0</v>
      </c>
      <c r="D43" s="343"/>
      <c r="E43" s="582">
        <v>0</v>
      </c>
      <c r="F43" s="464">
        <f>+'Appendix A'!$H$27</f>
        <v>0.22074546692968111</v>
      </c>
      <c r="G43" s="343">
        <f t="shared" si="13"/>
        <v>0</v>
      </c>
      <c r="H43" s="343"/>
      <c r="I43" s="582">
        <v>0</v>
      </c>
      <c r="J43" s="464">
        <f>+'Appendix A'!$H$16</f>
        <v>0.12783050741274057</v>
      </c>
      <c r="K43" s="45"/>
      <c r="L43" s="343">
        <f t="shared" si="15"/>
        <v>0</v>
      </c>
      <c r="M43" s="343"/>
      <c r="N43" s="343">
        <f t="shared" si="14"/>
        <v>0</v>
      </c>
      <c r="O43" s="463"/>
      <c r="P43" s="343"/>
    </row>
    <row r="44" spans="1:17" ht="15">
      <c r="A44" s="45">
        <f t="shared" si="16"/>
        <v>25</v>
      </c>
      <c r="B44" s="45" t="s">
        <v>379</v>
      </c>
      <c r="C44" s="582">
        <v>0</v>
      </c>
      <c r="D44" s="343"/>
      <c r="E44" s="582">
        <v>0</v>
      </c>
      <c r="F44" s="464">
        <f>+'Appendix A'!$H$27</f>
        <v>0.22074546692968111</v>
      </c>
      <c r="G44" s="343">
        <f t="shared" si="13"/>
        <v>0</v>
      </c>
      <c r="H44" s="343"/>
      <c r="I44" s="582">
        <v>0</v>
      </c>
      <c r="J44" s="464">
        <f>+'Appendix A'!$H$16</f>
        <v>0.12783050741274057</v>
      </c>
      <c r="K44" s="45"/>
      <c r="L44" s="343">
        <f t="shared" si="15"/>
        <v>0</v>
      </c>
      <c r="M44" s="343"/>
      <c r="N44" s="343">
        <f t="shared" si="14"/>
        <v>0</v>
      </c>
      <c r="O44" s="463"/>
      <c r="P44" s="343"/>
    </row>
    <row r="45" spans="1:17" ht="15">
      <c r="A45" s="45">
        <f t="shared" si="16"/>
        <v>26</v>
      </c>
      <c r="B45" s="45" t="s">
        <v>380</v>
      </c>
      <c r="C45" s="582">
        <v>0</v>
      </c>
      <c r="D45" s="343"/>
      <c r="E45" s="582">
        <v>0</v>
      </c>
      <c r="F45" s="464">
        <f>+'Appendix A'!$H$27</f>
        <v>0.22074546692968111</v>
      </c>
      <c r="G45" s="343">
        <f t="shared" si="13"/>
        <v>0</v>
      </c>
      <c r="H45" s="343"/>
      <c r="I45" s="582">
        <v>0</v>
      </c>
      <c r="J45" s="464">
        <f>+'Appendix A'!$H$16</f>
        <v>0.12783050741274057</v>
      </c>
      <c r="K45" s="45"/>
      <c r="L45" s="343">
        <f t="shared" si="15"/>
        <v>0</v>
      </c>
      <c r="M45" s="343"/>
      <c r="N45" s="343">
        <f t="shared" si="14"/>
        <v>0</v>
      </c>
      <c r="O45" s="463"/>
      <c r="P45" s="343"/>
    </row>
    <row r="46" spans="1:17" ht="15">
      <c r="A46" s="45"/>
      <c r="B46" s="45"/>
      <c r="C46" s="45"/>
      <c r="D46" s="45"/>
      <c r="E46" s="45"/>
      <c r="F46" s="45"/>
      <c r="G46" s="45"/>
      <c r="H46" s="45"/>
      <c r="I46" s="45"/>
      <c r="J46" s="45"/>
      <c r="K46" s="45"/>
      <c r="L46" s="45"/>
      <c r="M46" s="45"/>
      <c r="N46" s="45"/>
      <c r="O46" s="45"/>
      <c r="P46" s="45"/>
      <c r="Q46" s="45"/>
    </row>
    <row r="47" spans="1:17" ht="15">
      <c r="A47" s="45"/>
      <c r="B47" s="45"/>
      <c r="C47" s="45"/>
      <c r="D47" s="45"/>
      <c r="E47" s="45"/>
      <c r="F47" s="45"/>
      <c r="G47" s="45"/>
      <c r="H47" s="45"/>
      <c r="I47" s="45"/>
      <c r="J47" s="45"/>
      <c r="K47" s="45"/>
      <c r="L47" s="45"/>
      <c r="M47" s="45"/>
      <c r="N47" s="45"/>
      <c r="O47" s="45"/>
      <c r="P47" s="45"/>
      <c r="Q47" s="45"/>
    </row>
    <row r="48" spans="1:17" ht="15">
      <c r="A48" s="45"/>
      <c r="B48" s="45" t="s">
        <v>431</v>
      </c>
      <c r="C48" s="45"/>
      <c r="D48" s="45"/>
      <c r="E48" s="45"/>
      <c r="F48" s="45"/>
      <c r="G48" s="45"/>
      <c r="H48" s="45"/>
      <c r="I48" s="45"/>
      <c r="J48" s="45"/>
      <c r="K48" s="45"/>
      <c r="L48" s="45"/>
      <c r="M48" s="45"/>
      <c r="N48" s="45"/>
      <c r="O48" s="45"/>
      <c r="P48" s="45"/>
      <c r="Q48" s="45"/>
    </row>
    <row r="49" spans="1:17" ht="15">
      <c r="A49" s="45"/>
      <c r="B49" s="45" t="s">
        <v>403</v>
      </c>
      <c r="C49" s="45"/>
      <c r="D49" s="45"/>
      <c r="E49" s="45"/>
      <c r="F49" s="45"/>
      <c r="G49" s="45"/>
      <c r="H49" s="45"/>
      <c r="I49" s="45"/>
      <c r="J49" s="45"/>
      <c r="K49" s="45"/>
      <c r="L49" s="45"/>
      <c r="M49" s="45"/>
      <c r="N49" s="45"/>
      <c r="O49" s="45"/>
      <c r="P49" s="45"/>
      <c r="Q49" s="45"/>
    </row>
    <row r="50" spans="1:17" ht="15">
      <c r="A50" s="45"/>
      <c r="B50" s="45" t="s">
        <v>404</v>
      </c>
      <c r="C50" s="45"/>
      <c r="D50" s="45"/>
      <c r="E50" s="45"/>
      <c r="F50" s="45"/>
      <c r="G50" s="45"/>
      <c r="H50" s="45"/>
      <c r="I50" s="45"/>
      <c r="J50" s="45"/>
      <c r="K50" s="45"/>
      <c r="L50" s="45"/>
      <c r="M50" s="45"/>
      <c r="N50" s="45"/>
      <c r="O50" s="45"/>
      <c r="P50" s="45"/>
      <c r="Q50" s="45"/>
    </row>
    <row r="51" spans="1:17" ht="15">
      <c r="A51" s="45"/>
      <c r="B51" s="45" t="s">
        <v>405</v>
      </c>
      <c r="C51" s="45"/>
      <c r="D51" s="45"/>
      <c r="E51" s="45"/>
      <c r="F51" s="45"/>
      <c r="G51" s="45"/>
      <c r="H51" s="45"/>
      <c r="I51" s="45"/>
      <c r="J51" s="45"/>
      <c r="K51" s="45"/>
      <c r="L51" s="45"/>
      <c r="M51" s="45"/>
      <c r="N51" s="45"/>
      <c r="O51" s="45"/>
      <c r="P51" s="45"/>
      <c r="Q51" s="45"/>
    </row>
    <row r="52" spans="1:17" ht="15">
      <c r="B52" s="45" t="s">
        <v>406</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zoomScale="75" zoomScaleNormal="75" workbookViewId="0">
      <selection activeCell="E12" sqref="E12"/>
    </sheetView>
  </sheetViews>
  <sheetFormatPr defaultColWidth="9.28515625" defaultRowHeight="15"/>
  <cols>
    <col min="1" max="2" width="4.7109375" style="22" customWidth="1"/>
    <col min="3" max="3" width="59.7109375" style="22" customWidth="1"/>
    <col min="4" max="4" width="3.28515625" style="22" customWidth="1"/>
    <col min="5" max="5" width="16.5703125" style="28" customWidth="1"/>
    <col min="6" max="6" width="15.28515625" style="22" customWidth="1"/>
    <col min="7" max="8" width="20.28515625" style="22" customWidth="1"/>
    <col min="9" max="9" width="17.28515625" style="22" customWidth="1"/>
    <col min="10" max="10" width="9.28515625" style="22"/>
    <col min="11" max="11" width="18" style="22" bestFit="1" customWidth="1"/>
    <col min="12" max="12" width="9.28515625" style="22" bestFit="1" customWidth="1"/>
    <col min="13" max="13" width="18" style="22" bestFit="1" customWidth="1"/>
    <col min="14" max="16384" width="9.28515625" style="22"/>
  </cols>
  <sheetData>
    <row r="1" spans="1:9" ht="18">
      <c r="A1" s="18"/>
      <c r="B1" s="18"/>
      <c r="C1" s="18"/>
      <c r="D1" s="18"/>
      <c r="E1" s="33"/>
      <c r="F1" s="18"/>
      <c r="G1" s="18"/>
      <c r="H1" s="18"/>
      <c r="I1" s="1"/>
    </row>
    <row r="2" spans="1:9" ht="18">
      <c r="A2" s="878" t="str">
        <f>+'Appendix A'!A3</f>
        <v>Dayton Power and Light</v>
      </c>
      <c r="B2" s="878"/>
      <c r="C2" s="878"/>
      <c r="D2" s="878"/>
      <c r="E2" s="878"/>
      <c r="F2" s="878"/>
      <c r="G2" s="878"/>
      <c r="H2" s="878"/>
      <c r="I2" s="628"/>
    </row>
    <row r="3" spans="1:9" ht="18">
      <c r="A3" s="878" t="str">
        <f>+'Appendix A'!A4</f>
        <v xml:space="preserve">ATTACHMENT H-15A </v>
      </c>
      <c r="B3" s="878"/>
      <c r="C3" s="878"/>
      <c r="D3" s="878"/>
      <c r="E3" s="878"/>
      <c r="F3" s="879"/>
      <c r="G3" s="879"/>
      <c r="H3" s="879"/>
      <c r="I3" s="435"/>
    </row>
    <row r="4" spans="1:9" s="18" customFormat="1" ht="18">
      <c r="A4" s="878" t="s">
        <v>1002</v>
      </c>
      <c r="B4" s="878"/>
      <c r="C4" s="878"/>
      <c r="D4" s="878"/>
      <c r="E4" s="878"/>
      <c r="F4" s="879"/>
      <c r="G4" s="879"/>
      <c r="H4" s="879"/>
    </row>
    <row r="5" spans="1:9">
      <c r="A5" s="1" t="s">
        <v>432</v>
      </c>
      <c r="B5" s="1"/>
      <c r="C5" s="1"/>
      <c r="D5" s="1"/>
      <c r="E5" s="3"/>
      <c r="F5" s="1"/>
      <c r="G5" s="1"/>
      <c r="H5" s="1"/>
      <c r="I5" s="1"/>
    </row>
    <row r="6" spans="1:9" s="1" customFormat="1" ht="15.75">
      <c r="A6" s="1" t="s">
        <v>409</v>
      </c>
      <c r="D6" s="23"/>
      <c r="E6" s="3"/>
    </row>
    <row r="7" spans="1:9" s="1" customFormat="1">
      <c r="E7" s="3"/>
    </row>
    <row r="8" spans="1:9">
      <c r="A8" s="1"/>
      <c r="B8" s="1"/>
      <c r="C8" s="1"/>
      <c r="D8" s="7"/>
      <c r="E8" s="7" t="s">
        <v>433</v>
      </c>
      <c r="F8" s="7"/>
      <c r="G8" s="7" t="s">
        <v>434</v>
      </c>
      <c r="H8" s="7"/>
      <c r="I8" s="1"/>
    </row>
    <row r="9" spans="1:9">
      <c r="A9" s="25" t="s">
        <v>435</v>
      </c>
      <c r="B9" s="25"/>
      <c r="C9" s="1"/>
      <c r="D9" s="7"/>
      <c r="E9" s="7" t="s">
        <v>436</v>
      </c>
      <c r="F9" s="7" t="s">
        <v>429</v>
      </c>
      <c r="G9" s="7" t="s">
        <v>437</v>
      </c>
      <c r="H9" s="7"/>
      <c r="I9" s="1"/>
    </row>
    <row r="10" spans="1:9">
      <c r="A10" s="25"/>
      <c r="B10" s="25"/>
      <c r="C10" s="1"/>
      <c r="D10" s="7"/>
      <c r="E10" s="24"/>
      <c r="F10" s="7"/>
      <c r="G10" s="7"/>
      <c r="H10" s="7"/>
      <c r="I10" s="1"/>
    </row>
    <row r="11" spans="1:9">
      <c r="A11" s="25"/>
      <c r="B11" s="25" t="s">
        <v>438</v>
      </c>
      <c r="C11" s="1"/>
      <c r="D11" s="7"/>
      <c r="E11" s="24"/>
      <c r="F11" s="7"/>
      <c r="G11" s="7"/>
      <c r="H11" s="7"/>
      <c r="I11" s="1"/>
    </row>
    <row r="12" spans="1:9">
      <c r="A12" s="4">
        <v>1</v>
      </c>
      <c r="B12" s="1"/>
      <c r="C12" s="1" t="s">
        <v>439</v>
      </c>
      <c r="D12" s="15"/>
      <c r="E12" s="583">
        <f>+'4 - Cost Support'!T117</f>
        <v>21829767.649000291</v>
      </c>
      <c r="F12" s="584" t="s">
        <v>440</v>
      </c>
      <c r="G12" s="19">
        <f>+E12</f>
        <v>21829767.649000291</v>
      </c>
      <c r="H12" s="91" t="str">
        <f>"(Attachment 4, Line "&amp;'4 - Cost Support'!A117&amp;")"</f>
        <v>(Attachment 4, Line 41)</v>
      </c>
      <c r="I12" s="1"/>
    </row>
    <row r="13" spans="1:9">
      <c r="A13" s="4">
        <f>+A12+1</f>
        <v>2</v>
      </c>
      <c r="B13" s="1"/>
      <c r="C13" s="358" t="s">
        <v>441</v>
      </c>
      <c r="D13" s="1"/>
      <c r="E13" s="585">
        <v>0</v>
      </c>
      <c r="F13" s="586" t="s">
        <v>440</v>
      </c>
      <c r="G13" s="587">
        <f t="shared" ref="G13:G14" si="0">+E13</f>
        <v>0</v>
      </c>
      <c r="H13" s="15"/>
      <c r="I13" s="1"/>
    </row>
    <row r="14" spans="1:9">
      <c r="A14" s="4">
        <f>+A13+1</f>
        <v>3</v>
      </c>
      <c r="B14" s="1"/>
      <c r="C14" s="358" t="s">
        <v>441</v>
      </c>
      <c r="D14" s="1"/>
      <c r="E14" s="588">
        <v>0</v>
      </c>
      <c r="F14" s="589" t="s">
        <v>440</v>
      </c>
      <c r="G14" s="590">
        <f t="shared" si="0"/>
        <v>0</v>
      </c>
      <c r="H14" s="15"/>
      <c r="I14" s="1"/>
    </row>
    <row r="15" spans="1:9">
      <c r="A15" s="4">
        <f>+A14+1</f>
        <v>4</v>
      </c>
      <c r="B15" s="25" t="s">
        <v>442</v>
      </c>
      <c r="C15" s="1"/>
      <c r="D15" s="15"/>
      <c r="E15" s="583">
        <f>+E12+E13+E14</f>
        <v>21829767.649000291</v>
      </c>
      <c r="F15" s="586" t="s">
        <v>440</v>
      </c>
      <c r="G15" s="587">
        <f>+E15</f>
        <v>21829767.649000291</v>
      </c>
      <c r="H15" s="15"/>
      <c r="I15" s="1"/>
    </row>
    <row r="16" spans="1:9">
      <c r="A16" s="1"/>
      <c r="B16" s="1"/>
      <c r="C16" s="1"/>
      <c r="D16" s="7"/>
      <c r="E16" s="591"/>
      <c r="F16" s="19"/>
      <c r="G16" s="592"/>
      <c r="H16" s="7"/>
      <c r="I16" s="1"/>
    </row>
    <row r="17" spans="1:13">
      <c r="A17" s="4"/>
      <c r="B17" s="25" t="s">
        <v>443</v>
      </c>
      <c r="C17" s="1"/>
      <c r="D17" s="7"/>
      <c r="E17" s="593"/>
      <c r="F17" s="592"/>
      <c r="G17" s="592"/>
      <c r="H17" s="7"/>
      <c r="I17" s="1"/>
      <c r="J17" s="1"/>
      <c r="K17" s="1"/>
      <c r="L17" s="1"/>
      <c r="M17" s="1"/>
    </row>
    <row r="18" spans="1:13" s="1" customFormat="1">
      <c r="A18" s="4"/>
      <c r="D18" s="7"/>
      <c r="E18" s="593"/>
      <c r="F18" s="592"/>
      <c r="G18" s="592"/>
      <c r="H18" s="7"/>
    </row>
    <row r="19" spans="1:13" s="1" customFormat="1">
      <c r="A19" s="4">
        <f>+A15+1</f>
        <v>5</v>
      </c>
      <c r="C19" s="357" t="s">
        <v>441</v>
      </c>
      <c r="D19" s="15"/>
      <c r="E19" s="594">
        <v>0</v>
      </c>
      <c r="F19" s="595"/>
      <c r="G19" s="596"/>
      <c r="H19" s="15"/>
      <c r="K19" s="179"/>
      <c r="L19" s="179"/>
      <c r="M19" s="179"/>
    </row>
    <row r="20" spans="1:13" s="1" customFormat="1">
      <c r="A20" s="4">
        <f>+A19+1</f>
        <v>6</v>
      </c>
      <c r="B20" s="25" t="s">
        <v>444</v>
      </c>
      <c r="D20" s="15"/>
      <c r="E20" s="29">
        <f>SUM(E19:E19)</f>
        <v>0</v>
      </c>
      <c r="F20" s="544">
        <f>+'Appendix A'!H27</f>
        <v>0.22074546692968111</v>
      </c>
      <c r="G20" s="29">
        <f>+E20*F20</f>
        <v>0</v>
      </c>
      <c r="H20" s="29"/>
      <c r="K20" s="179"/>
      <c r="L20" s="179"/>
      <c r="M20" s="179"/>
    </row>
    <row r="21" spans="1:13" s="1" customFormat="1" ht="12.75" customHeight="1">
      <c r="A21" s="4"/>
      <c r="D21" s="15"/>
      <c r="E21" s="26"/>
      <c r="F21" s="15"/>
      <c r="G21" s="27"/>
      <c r="H21" s="27"/>
      <c r="K21" s="179"/>
      <c r="L21" s="179"/>
      <c r="M21" s="179"/>
    </row>
    <row r="22" spans="1:13" s="1" customFormat="1" ht="12.75" customHeight="1">
      <c r="A22" s="4"/>
      <c r="B22" s="25" t="s">
        <v>364</v>
      </c>
      <c r="D22" s="15"/>
      <c r="E22" s="26"/>
      <c r="F22" s="7" t="s">
        <v>445</v>
      </c>
      <c r="G22" s="15"/>
      <c r="H22" s="15"/>
      <c r="K22" s="179"/>
      <c r="L22" s="179"/>
      <c r="M22" s="179"/>
    </row>
    <row r="23" spans="1:13" s="1" customFormat="1" ht="12.75" customHeight="1">
      <c r="A23" s="4"/>
      <c r="D23" s="15"/>
      <c r="E23" s="26"/>
      <c r="F23" s="15"/>
      <c r="G23" s="15"/>
      <c r="H23" s="15"/>
      <c r="K23" s="179"/>
      <c r="L23" s="179"/>
      <c r="M23" s="179"/>
    </row>
    <row r="24" spans="1:13" s="1" customFormat="1">
      <c r="A24" s="4">
        <f>+A20+1</f>
        <v>7</v>
      </c>
      <c r="C24" s="1" t="s">
        <v>446</v>
      </c>
      <c r="E24" s="29">
        <f>+'4 - Cost Support'!S118</f>
        <v>3613759</v>
      </c>
      <c r="K24" s="179"/>
      <c r="L24" s="179"/>
      <c r="M24" s="179"/>
    </row>
    <row r="25" spans="1:13" s="1" customFormat="1">
      <c r="A25" s="4">
        <f>1+A24</f>
        <v>8</v>
      </c>
      <c r="C25" s="1" t="s">
        <v>447</v>
      </c>
      <c r="E25" s="29">
        <f>+'4 - Cost Support'!S119</f>
        <v>0</v>
      </c>
      <c r="K25" s="179"/>
      <c r="L25" s="179"/>
      <c r="M25" s="179"/>
    </row>
    <row r="26" spans="1:13" s="1" customFormat="1">
      <c r="A26" s="4">
        <f>1+A25</f>
        <v>9</v>
      </c>
      <c r="C26" s="357" t="s">
        <v>448</v>
      </c>
      <c r="E26" s="833">
        <v>1093087.7589496193</v>
      </c>
      <c r="F26" s="6"/>
      <c r="G26" s="6"/>
      <c r="K26" s="179"/>
      <c r="L26" s="179"/>
      <c r="M26" s="179"/>
    </row>
    <row r="27" spans="1:13">
      <c r="A27" s="4">
        <f>1+A26</f>
        <v>10</v>
      </c>
      <c r="B27" s="25" t="s">
        <v>449</v>
      </c>
      <c r="C27" s="1"/>
      <c r="D27" s="1"/>
      <c r="E27" s="29">
        <f>SUM(E24:E26)</f>
        <v>4706846.7589496188</v>
      </c>
      <c r="F27" s="667">
        <f>+'Appendix A'!H16</f>
        <v>0.12783050741274057</v>
      </c>
      <c r="G27" s="29">
        <f>+E27*F27</f>
        <v>601678.60951054317</v>
      </c>
      <c r="H27" s="29"/>
      <c r="I27" s="1"/>
      <c r="J27" s="1"/>
      <c r="K27" s="179"/>
      <c r="L27" s="179"/>
      <c r="M27" s="179"/>
    </row>
    <row r="28" spans="1:13">
      <c r="A28" s="4"/>
      <c r="B28" s="25"/>
      <c r="C28" s="1"/>
      <c r="D28" s="1"/>
      <c r="E28" s="29"/>
      <c r="F28" s="668"/>
      <c r="G28" s="29"/>
      <c r="H28" s="29"/>
      <c r="I28" s="1"/>
      <c r="J28" s="1"/>
      <c r="K28" s="179"/>
      <c r="L28" s="179"/>
      <c r="M28" s="179"/>
    </row>
    <row r="29" spans="1:13" s="1" customFormat="1" ht="15.75" thickBot="1">
      <c r="A29" s="4">
        <f>+A27+1</f>
        <v>11</v>
      </c>
      <c r="B29" s="25" t="s">
        <v>450</v>
      </c>
      <c r="E29" s="635">
        <f>+E15+E20+E27</f>
        <v>26536614.40794991</v>
      </c>
      <c r="F29" s="669"/>
      <c r="G29" s="635">
        <f>+G15+G20+G27</f>
        <v>22431446.258510835</v>
      </c>
      <c r="H29" s="313"/>
      <c r="K29" s="179"/>
      <c r="L29" s="179"/>
      <c r="M29" s="179"/>
    </row>
    <row r="30" spans="1:13" s="1" customFormat="1" ht="15.75" thickTop="1">
      <c r="A30" s="4"/>
      <c r="C30" s="2"/>
      <c r="E30" s="3"/>
      <c r="K30" s="179"/>
      <c r="L30" s="179"/>
      <c r="M30" s="179"/>
    </row>
    <row r="31" spans="1:13" s="1" customFormat="1">
      <c r="A31" s="4"/>
      <c r="C31" s="2"/>
      <c r="E31" s="3"/>
      <c r="F31" s="29"/>
      <c r="K31" s="179"/>
      <c r="L31" s="179"/>
      <c r="M31" s="179"/>
    </row>
    <row r="32" spans="1:13">
      <c r="A32" s="4"/>
      <c r="B32" s="1"/>
      <c r="C32" s="25" t="s">
        <v>271</v>
      </c>
      <c r="D32" s="1"/>
      <c r="E32" s="3"/>
      <c r="F32" s="1"/>
      <c r="G32" s="1"/>
      <c r="H32" s="1"/>
      <c r="I32" s="1"/>
      <c r="J32" s="1"/>
      <c r="K32" s="179"/>
      <c r="L32" s="179"/>
      <c r="M32" s="179"/>
    </row>
    <row r="33" spans="1:13" s="1" customFormat="1">
      <c r="A33" s="4"/>
      <c r="E33" s="3"/>
      <c r="G33" s="25"/>
      <c r="H33" s="25"/>
      <c r="K33" s="179"/>
      <c r="L33" s="179"/>
      <c r="M33" s="179"/>
    </row>
    <row r="34" spans="1:13">
      <c r="A34" s="4">
        <f>1+A29</f>
        <v>12</v>
      </c>
      <c r="B34" s="1"/>
      <c r="C34" s="359" t="s">
        <v>451</v>
      </c>
      <c r="D34" s="1"/>
      <c r="E34" s="832">
        <v>0</v>
      </c>
      <c r="F34" s="13"/>
      <c r="G34" s="1"/>
      <c r="H34" s="1"/>
      <c r="I34" s="1"/>
      <c r="J34" s="1"/>
      <c r="K34" s="179"/>
      <c r="L34" s="179"/>
      <c r="M34" s="179"/>
    </row>
    <row r="35" spans="1:13">
      <c r="A35" s="4">
        <f>1+A34</f>
        <v>13</v>
      </c>
      <c r="B35" s="1"/>
      <c r="C35" s="359" t="s">
        <v>452</v>
      </c>
      <c r="D35" s="1"/>
      <c r="E35" s="832">
        <v>0</v>
      </c>
      <c r="F35" s="13"/>
      <c r="G35" s="1"/>
      <c r="H35" s="1"/>
      <c r="I35" s="1"/>
      <c r="J35" s="1"/>
      <c r="K35" s="179"/>
      <c r="L35" s="179"/>
      <c r="M35" s="179"/>
    </row>
    <row r="36" spans="1:13">
      <c r="A36" s="4">
        <f t="shared" ref="A36:A41" si="1">1+A35</f>
        <v>14</v>
      </c>
      <c r="B36" s="1"/>
      <c r="C36" s="359" t="s">
        <v>453</v>
      </c>
      <c r="D36" s="1"/>
      <c r="E36" s="832">
        <v>0</v>
      </c>
      <c r="F36" s="13"/>
      <c r="G36" s="1"/>
      <c r="H36" s="1"/>
      <c r="I36" s="1"/>
      <c r="J36" s="1"/>
      <c r="K36" s="179"/>
      <c r="L36" s="179"/>
      <c r="M36" s="179"/>
    </row>
    <row r="37" spans="1:13">
      <c r="A37" s="4">
        <f t="shared" si="1"/>
        <v>15</v>
      </c>
      <c r="B37" s="1"/>
      <c r="C37" s="359" t="s">
        <v>454</v>
      </c>
      <c r="D37" s="1"/>
      <c r="E37" s="832">
        <v>0</v>
      </c>
      <c r="F37" s="13"/>
      <c r="G37" s="1"/>
      <c r="H37" s="1"/>
      <c r="I37" s="1"/>
      <c r="J37" s="1"/>
      <c r="K37" s="179"/>
      <c r="L37" s="179"/>
      <c r="M37" s="179"/>
    </row>
    <row r="38" spans="1:13">
      <c r="A38" s="4">
        <f t="shared" si="1"/>
        <v>16</v>
      </c>
      <c r="B38" s="1"/>
      <c r="C38" s="357" t="s">
        <v>441</v>
      </c>
      <c r="D38" s="15"/>
      <c r="E38" s="597">
        <v>0</v>
      </c>
      <c r="F38" s="13"/>
      <c r="G38" s="1"/>
      <c r="H38" s="1"/>
      <c r="I38" s="1"/>
      <c r="J38" s="1"/>
      <c r="K38" s="179"/>
      <c r="L38" s="179"/>
      <c r="M38" s="179"/>
    </row>
    <row r="39" spans="1:13">
      <c r="A39" s="4">
        <f t="shared" si="1"/>
        <v>17</v>
      </c>
      <c r="B39" s="1"/>
      <c r="C39" s="357" t="s">
        <v>441</v>
      </c>
      <c r="D39" s="15"/>
      <c r="E39" s="597">
        <v>0</v>
      </c>
      <c r="F39" s="13"/>
      <c r="G39" s="1"/>
      <c r="H39" s="1"/>
      <c r="I39" s="1"/>
      <c r="J39" s="1"/>
      <c r="K39" s="179"/>
      <c r="L39" s="179"/>
      <c r="M39" s="179"/>
    </row>
    <row r="40" spans="1:13">
      <c r="A40" s="4">
        <f t="shared" si="1"/>
        <v>18</v>
      </c>
      <c r="B40" s="1"/>
      <c r="C40" s="357" t="s">
        <v>441</v>
      </c>
      <c r="D40" s="1"/>
      <c r="E40" s="597">
        <v>0</v>
      </c>
      <c r="F40" s="13"/>
      <c r="G40" s="1"/>
      <c r="H40" s="1"/>
      <c r="I40" s="1"/>
      <c r="J40" s="1"/>
      <c r="K40" s="179"/>
      <c r="L40" s="179"/>
      <c r="M40" s="179"/>
    </row>
    <row r="41" spans="1:13" s="1" customFormat="1" ht="15.75">
      <c r="A41" s="4">
        <f t="shared" si="1"/>
        <v>19</v>
      </c>
      <c r="C41" s="435" t="s">
        <v>455</v>
      </c>
      <c r="E41" s="670">
        <f>SUM(E34:E40)</f>
        <v>0</v>
      </c>
      <c r="K41" s="179"/>
      <c r="L41" s="179"/>
      <c r="M41" s="179"/>
    </row>
    <row r="42" spans="1:13" s="1" customFormat="1">
      <c r="A42" s="4"/>
      <c r="E42" s="598"/>
      <c r="K42" s="179"/>
      <c r="L42" s="179"/>
      <c r="M42" s="179"/>
    </row>
    <row r="43" spans="1:13" ht="15.75">
      <c r="A43" s="4">
        <f>1+A41</f>
        <v>20</v>
      </c>
      <c r="B43" s="435" t="s">
        <v>456</v>
      </c>
      <c r="C43" s="435"/>
      <c r="D43" s="1"/>
      <c r="E43" s="671">
        <f>+E29+E41</f>
        <v>26536614.40794991</v>
      </c>
      <c r="F43" s="1"/>
      <c r="G43" s="1"/>
      <c r="H43" s="1"/>
      <c r="I43" s="1"/>
      <c r="J43" s="1"/>
      <c r="K43" s="179"/>
      <c r="L43" s="179"/>
      <c r="M43" s="179"/>
    </row>
    <row r="44" spans="1:13">
      <c r="A44" s="4"/>
      <c r="B44" s="1"/>
      <c r="C44" s="1"/>
      <c r="D44" s="1"/>
      <c r="E44" s="598"/>
      <c r="F44" s="1"/>
      <c r="G44" s="1"/>
      <c r="H44" s="1"/>
      <c r="I44" s="1"/>
      <c r="J44" s="1"/>
      <c r="K44" s="179"/>
      <c r="L44" s="179"/>
      <c r="M44" s="179"/>
    </row>
    <row r="45" spans="1:13" ht="15.75">
      <c r="A45" s="4">
        <f>1+A43</f>
        <v>21</v>
      </c>
      <c r="B45" s="435" t="s">
        <v>457</v>
      </c>
      <c r="C45" s="435"/>
      <c r="D45" s="672"/>
      <c r="E45" s="597">
        <v>0</v>
      </c>
      <c r="F45" s="30"/>
      <c r="G45" s="30"/>
      <c r="H45" s="30"/>
      <c r="I45" s="1"/>
      <c r="J45" s="1"/>
      <c r="K45" s="179"/>
      <c r="L45" s="179"/>
      <c r="M45" s="179"/>
    </row>
    <row r="46" spans="1:13">
      <c r="A46" s="1"/>
      <c r="B46" s="1"/>
      <c r="C46" s="673"/>
      <c r="D46" s="673"/>
      <c r="E46" s="587"/>
      <c r="F46" s="30"/>
      <c r="G46" s="30"/>
      <c r="H46" s="30"/>
      <c r="I46" s="1"/>
      <c r="J46" s="1"/>
      <c r="K46" s="179"/>
      <c r="L46" s="179"/>
      <c r="M46" s="179"/>
    </row>
    <row r="47" spans="1:13">
      <c r="A47" s="4">
        <f>1+A45</f>
        <v>22</v>
      </c>
      <c r="B47" s="1"/>
      <c r="C47" s="673" t="s">
        <v>458</v>
      </c>
      <c r="D47" s="673"/>
      <c r="E47" s="674">
        <f>+E43-E45</f>
        <v>26536614.40794991</v>
      </c>
      <c r="F47" s="1"/>
      <c r="G47" s="30"/>
      <c r="H47" s="30"/>
      <c r="I47" s="1"/>
      <c r="J47" s="1"/>
      <c r="K47" s="179"/>
      <c r="L47" s="179"/>
      <c r="M47" s="179"/>
    </row>
    <row r="48" spans="1:13">
      <c r="A48" s="1"/>
      <c r="B48" s="1"/>
      <c r="C48" s="673"/>
      <c r="D48" s="673"/>
      <c r="E48" s="675"/>
      <c r="F48" s="30"/>
      <c r="G48" s="30"/>
      <c r="H48" s="30"/>
      <c r="I48" s="1"/>
      <c r="J48" s="1"/>
      <c r="K48" s="1"/>
      <c r="L48" s="1"/>
      <c r="M48" s="1"/>
    </row>
    <row r="49" spans="2:8">
      <c r="B49" s="1"/>
      <c r="C49" s="673"/>
      <c r="D49" s="673"/>
      <c r="E49" s="675"/>
      <c r="F49" s="30"/>
      <c r="G49" s="30"/>
      <c r="H49" s="30"/>
    </row>
    <row r="50" spans="2:8">
      <c r="B50" s="1"/>
      <c r="C50" s="673"/>
      <c r="D50" s="673"/>
      <c r="E50" s="675"/>
      <c r="F50" s="30"/>
      <c r="G50" s="30"/>
      <c r="H50" s="30"/>
    </row>
    <row r="51" spans="2:8">
      <c r="B51" s="1"/>
      <c r="C51" s="673"/>
      <c r="D51" s="673"/>
      <c r="E51" s="675"/>
      <c r="F51" s="30"/>
      <c r="G51" s="30"/>
      <c r="H51" s="30"/>
    </row>
    <row r="52" spans="2:8" ht="25.15" customHeight="1">
      <c r="B52" s="1"/>
      <c r="C52" s="1"/>
      <c r="D52" s="1"/>
      <c r="E52" s="29"/>
      <c r="F52" s="13"/>
      <c r="G52" s="13"/>
      <c r="H52" s="13"/>
    </row>
    <row r="53" spans="2:8" ht="25.15" customHeight="1">
      <c r="B53" s="1"/>
      <c r="C53" s="1"/>
      <c r="D53" s="1"/>
      <c r="E53" s="29"/>
      <c r="F53" s="13"/>
      <c r="G53" s="13"/>
      <c r="H53" s="13"/>
    </row>
    <row r="54" spans="2:8" ht="25.15" customHeight="1">
      <c r="B54" s="1"/>
      <c r="C54" s="2"/>
      <c r="D54" s="1"/>
      <c r="E54" s="29"/>
      <c r="F54" s="1"/>
      <c r="G54" s="13"/>
      <c r="H54" s="13"/>
    </row>
    <row r="55" spans="2:8" ht="25.15" customHeight="1">
      <c r="B55" s="1"/>
      <c r="C55" s="1"/>
      <c r="D55" s="1"/>
      <c r="E55" s="29"/>
      <c r="F55" s="1"/>
      <c r="G55" s="13"/>
      <c r="H55" s="13"/>
    </row>
    <row r="56" spans="2:8" ht="25.15" customHeight="1">
      <c r="B56" s="1"/>
      <c r="C56" s="2"/>
      <c r="D56" s="1"/>
      <c r="E56" s="29"/>
      <c r="F56" s="1"/>
      <c r="G56" s="13"/>
      <c r="H56" s="13"/>
    </row>
    <row r="57" spans="2:8" ht="25.15" customHeight="1">
      <c r="B57" s="1"/>
      <c r="C57" s="1"/>
      <c r="D57" s="1"/>
      <c r="E57" s="29"/>
      <c r="F57" s="1"/>
      <c r="G57" s="13"/>
      <c r="H57" s="13"/>
    </row>
    <row r="58" spans="2:8" ht="25.15" customHeight="1">
      <c r="B58" s="1"/>
      <c r="C58" s="2"/>
      <c r="D58" s="1"/>
      <c r="E58" s="29"/>
      <c r="F58" s="1"/>
      <c r="G58" s="13"/>
      <c r="H58" s="13"/>
    </row>
    <row r="59" spans="2:8" ht="25.15" customHeight="1">
      <c r="B59" s="1"/>
      <c r="C59" s="1"/>
      <c r="D59" s="1"/>
      <c r="E59" s="29"/>
      <c r="F59" s="1"/>
      <c r="G59" s="1"/>
      <c r="H59" s="1"/>
    </row>
    <row r="60" spans="2:8" ht="25.15" customHeight="1">
      <c r="B60" s="1"/>
      <c r="C60" s="1"/>
      <c r="D60" s="1"/>
      <c r="E60" s="3"/>
      <c r="F60" s="1"/>
      <c r="G60" s="1"/>
      <c r="H60" s="1"/>
    </row>
    <row r="61" spans="2:8" ht="25.15" customHeight="1">
      <c r="B61" s="1"/>
      <c r="C61" s="1"/>
      <c r="D61" s="1"/>
      <c r="E61" s="3"/>
      <c r="F61" s="1"/>
      <c r="G61" s="1"/>
      <c r="H61" s="1"/>
    </row>
    <row r="62" spans="2:8">
      <c r="B62" s="1"/>
      <c r="C62" s="1"/>
      <c r="D62" s="1"/>
      <c r="E62" s="3"/>
      <c r="F62" s="1"/>
      <c r="G62" s="1"/>
      <c r="H62" s="1"/>
    </row>
    <row r="63" spans="2:8">
      <c r="B63" s="1"/>
      <c r="C63" s="1"/>
      <c r="D63" s="1"/>
      <c r="E63" s="3"/>
      <c r="F63" s="1"/>
      <c r="G63" s="1"/>
      <c r="H63" s="1"/>
    </row>
    <row r="64" spans="2:8">
      <c r="B64" s="1"/>
      <c r="C64" s="1"/>
      <c r="D64" s="1"/>
      <c r="E64" s="3"/>
      <c r="F64" s="1"/>
      <c r="G64" s="1"/>
      <c r="H64" s="1"/>
    </row>
    <row r="65" spans="3:3">
      <c r="C65" s="1"/>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zoomScale="75" zoomScaleNormal="75" workbookViewId="0">
      <selection activeCell="H28" sqref="H28"/>
    </sheetView>
  </sheetViews>
  <sheetFormatPr defaultColWidth="9.28515625" defaultRowHeight="15"/>
  <cols>
    <col min="1" max="1" width="7.28515625" style="4" customWidth="1"/>
    <col min="2" max="2" width="120.5703125" style="1" customWidth="1"/>
    <col min="3" max="3" width="23.7109375" style="1" customWidth="1"/>
    <col min="4" max="4" width="17" style="14" bestFit="1" customWidth="1"/>
    <col min="5" max="5" width="17.5703125" style="1" customWidth="1"/>
    <col min="6" max="6" width="9.28515625" style="1"/>
    <col min="7" max="7" width="12.5703125" style="1" bestFit="1" customWidth="1"/>
    <col min="8" max="9" width="9.28515625" style="1"/>
    <col min="10" max="10" width="13.28515625" style="1" bestFit="1" customWidth="1"/>
    <col min="11" max="14" width="9.28515625" style="1"/>
    <col min="15" max="15" width="14.5703125" style="1" bestFit="1" customWidth="1"/>
    <col min="16" max="16384" width="9.28515625" style="1"/>
  </cols>
  <sheetData>
    <row r="1" spans="1:5" ht="18">
      <c r="A1" s="31"/>
      <c r="B1" s="18"/>
      <c r="C1" s="18"/>
      <c r="D1" s="32"/>
    </row>
    <row r="2" spans="1:5" ht="18">
      <c r="A2" s="878" t="str">
        <f>+'Appendix A'!A3</f>
        <v>Dayton Power and Light</v>
      </c>
      <c r="B2" s="878"/>
      <c r="C2" s="878"/>
      <c r="D2" s="878"/>
    </row>
    <row r="3" spans="1:5" ht="18">
      <c r="A3" s="878" t="str">
        <f>+'Appendix A'!A4</f>
        <v xml:space="preserve">ATTACHMENT H-15A </v>
      </c>
      <c r="B3" s="878"/>
      <c r="C3" s="878"/>
      <c r="D3" s="878"/>
      <c r="E3" s="628"/>
    </row>
    <row r="4" spans="1:5" ht="18">
      <c r="A4" s="878" t="s">
        <v>1003</v>
      </c>
      <c r="B4" s="878"/>
      <c r="C4" s="878"/>
      <c r="D4" s="878"/>
    </row>
    <row r="5" spans="1:5">
      <c r="B5" s="13"/>
      <c r="C5" s="4"/>
    </row>
    <row r="6" spans="1:5">
      <c r="A6" s="2" t="s">
        <v>409</v>
      </c>
      <c r="B6" s="13"/>
      <c r="C6" s="4"/>
      <c r="D6" s="7"/>
    </row>
    <row r="7" spans="1:5">
      <c r="B7" s="13"/>
      <c r="C7" s="4"/>
      <c r="D7" s="10"/>
    </row>
    <row r="8" spans="1:5">
      <c r="B8" s="13"/>
      <c r="C8" s="4"/>
    </row>
    <row r="9" spans="1:5" ht="15" customHeight="1">
      <c r="C9" s="4"/>
      <c r="D9" s="436"/>
    </row>
    <row r="10" spans="1:5" ht="15.75">
      <c r="B10" s="437" t="s">
        <v>459</v>
      </c>
      <c r="C10" s="4"/>
      <c r="D10" s="599"/>
    </row>
    <row r="11" spans="1:5">
      <c r="A11" s="4">
        <v>1</v>
      </c>
      <c r="B11" s="2" t="s">
        <v>460</v>
      </c>
      <c r="C11" s="4"/>
      <c r="D11" s="834">
        <v>0</v>
      </c>
      <c r="E11" s="71" t="s">
        <v>461</v>
      </c>
    </row>
    <row r="12" spans="1:5" ht="15.75">
      <c r="B12" s="437"/>
      <c r="C12" s="4"/>
      <c r="D12" s="599"/>
    </row>
    <row r="13" spans="1:5" ht="15.75">
      <c r="B13" s="435" t="s">
        <v>462</v>
      </c>
      <c r="D13" s="599"/>
    </row>
    <row r="14" spans="1:5">
      <c r="A14" s="4">
        <f>+A11+1</f>
        <v>2</v>
      </c>
      <c r="B14" s="1" t="s">
        <v>463</v>
      </c>
      <c r="D14" s="608">
        <v>0</v>
      </c>
      <c r="E14" s="71" t="s">
        <v>461</v>
      </c>
    </row>
    <row r="15" spans="1:5">
      <c r="A15" s="4">
        <f>+A14+1</f>
        <v>3</v>
      </c>
      <c r="B15" s="1" t="s">
        <v>464</v>
      </c>
      <c r="D15" s="608">
        <v>0</v>
      </c>
      <c r="E15" s="71" t="s">
        <v>461</v>
      </c>
    </row>
    <row r="16" spans="1:5">
      <c r="A16" s="4">
        <f t="shared" ref="A16:A17" si="0">+A15+1</f>
        <v>4</v>
      </c>
      <c r="B16" s="1" t="s">
        <v>465</v>
      </c>
      <c r="D16" s="608">
        <v>0</v>
      </c>
      <c r="E16" s="71" t="s">
        <v>461</v>
      </c>
    </row>
    <row r="17" spans="1:39">
      <c r="A17" s="4">
        <f t="shared" si="0"/>
        <v>5</v>
      </c>
      <c r="B17" s="1" t="s">
        <v>466</v>
      </c>
      <c r="D17" s="835">
        <v>-43800</v>
      </c>
      <c r="E17" s="71" t="s">
        <v>461</v>
      </c>
    </row>
    <row r="18" spans="1:39">
      <c r="A18" s="4">
        <f>+A17+1</f>
        <v>6</v>
      </c>
      <c r="B18" s="1" t="s">
        <v>467</v>
      </c>
      <c r="D18" s="696">
        <f>+SUM(D14:D17)</f>
        <v>-43800</v>
      </c>
      <c r="E18" s="71"/>
    </row>
    <row r="19" spans="1:39">
      <c r="D19" s="599"/>
      <c r="E19" s="71"/>
    </row>
    <row r="20" spans="1:39" s="16" customFormat="1" ht="15.75">
      <c r="A20" s="4"/>
      <c r="B20" s="435" t="s">
        <v>468</v>
      </c>
      <c r="C20" s="1"/>
      <c r="D20" s="91"/>
      <c r="E20" s="7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6" customFormat="1">
      <c r="A21" s="4">
        <f>+A18+1</f>
        <v>7</v>
      </c>
      <c r="B21" s="2" t="s">
        <v>469</v>
      </c>
      <c r="C21" s="15"/>
      <c r="D21" s="608">
        <v>-1326368</v>
      </c>
      <c r="E21" s="71" t="s">
        <v>461</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6" customFormat="1">
      <c r="A22" s="4">
        <f>+A21+1</f>
        <v>8</v>
      </c>
      <c r="B22" s="1" t="s">
        <v>470</v>
      </c>
      <c r="C22" s="1"/>
      <c r="D22" s="608">
        <v>0</v>
      </c>
      <c r="E22" s="71" t="s">
        <v>461</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6" customFormat="1">
      <c r="A23" s="4">
        <f>+A22+1</f>
        <v>9</v>
      </c>
      <c r="B23" s="1" t="s">
        <v>471</v>
      </c>
      <c r="C23" s="1"/>
      <c r="D23" s="608">
        <v>0</v>
      </c>
      <c r="E23" s="71" t="s">
        <v>461</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c r="A24" s="4">
        <f>+A23+1</f>
        <v>10</v>
      </c>
      <c r="B24" s="1" t="s">
        <v>472</v>
      </c>
      <c r="D24" s="608">
        <v>0</v>
      </c>
      <c r="E24" s="71" t="s">
        <v>461</v>
      </c>
    </row>
    <row r="25" spans="1:39">
      <c r="A25" s="4">
        <f>+A24+1</f>
        <v>11</v>
      </c>
      <c r="B25" s="1" t="s">
        <v>473</v>
      </c>
      <c r="D25" s="835">
        <v>-620541.09999999986</v>
      </c>
      <c r="E25" s="71" t="s">
        <v>461</v>
      </c>
    </row>
    <row r="26" spans="1:39">
      <c r="A26" s="4">
        <f>+A25+1</f>
        <v>12</v>
      </c>
      <c r="B26" s="1" t="s">
        <v>474</v>
      </c>
      <c r="D26" s="91">
        <f>+SUM(D21:D25)</f>
        <v>-1946909.0999999999</v>
      </c>
      <c r="E26" s="71"/>
    </row>
    <row r="27" spans="1:39" ht="30" customHeight="1">
      <c r="B27" s="435" t="s">
        <v>475</v>
      </c>
      <c r="D27" s="91"/>
      <c r="E27" s="71"/>
    </row>
    <row r="28" spans="1:39" ht="45">
      <c r="A28" s="434">
        <f>+A26+1</f>
        <v>13</v>
      </c>
      <c r="B28" s="15" t="s">
        <v>476</v>
      </c>
      <c r="C28" s="15"/>
      <c r="D28" s="834">
        <v>0</v>
      </c>
      <c r="E28" s="71" t="s">
        <v>461</v>
      </c>
    </row>
    <row r="29" spans="1:39">
      <c r="A29" s="4">
        <f>+A28+1</f>
        <v>14</v>
      </c>
      <c r="B29" s="1" t="s">
        <v>477</v>
      </c>
      <c r="C29" s="15"/>
      <c r="D29" s="836">
        <v>-588043.92000000004</v>
      </c>
      <c r="E29" s="71" t="s">
        <v>461</v>
      </c>
    </row>
    <row r="30" spans="1:39">
      <c r="A30" s="4">
        <f>+A29+1</f>
        <v>15</v>
      </c>
      <c r="B30" s="1" t="s">
        <v>478</v>
      </c>
      <c r="C30" s="15"/>
      <c r="D30" s="695">
        <f>+D28+D29</f>
        <v>-588043.92000000004</v>
      </c>
      <c r="E30" s="71"/>
    </row>
    <row r="31" spans="1:39" ht="30">
      <c r="A31" s="4">
        <f>+A29+1</f>
        <v>15</v>
      </c>
      <c r="B31" s="1" t="s">
        <v>479</v>
      </c>
      <c r="C31" s="438" t="str">
        <f>"(Sum of Lines "&amp;A11&amp;", "&amp;A18&amp;", "&amp;A26&amp;" and "&amp;A30&amp;")"</f>
        <v>(Sum of Lines 1, 6, 12 and 15)</v>
      </c>
      <c r="D31" s="343">
        <f>+D11+D18+D26+D30</f>
        <v>-2578753.02</v>
      </c>
      <c r="G31" s="19"/>
    </row>
    <row r="32" spans="1:39">
      <c r="D32" s="600"/>
      <c r="E32" s="71"/>
      <c r="F32" s="71"/>
      <c r="G32" s="71"/>
      <c r="H32" s="71"/>
      <c r="I32" s="71"/>
      <c r="J32" s="71"/>
      <c r="K32" s="71"/>
      <c r="L32" s="71"/>
      <c r="M32" s="71"/>
      <c r="N32" s="71"/>
      <c r="O32" s="71"/>
    </row>
    <row r="33" spans="1:16" ht="15.75">
      <c r="A33" s="4">
        <f>+A31+1</f>
        <v>16</v>
      </c>
      <c r="B33" s="1" t="s">
        <v>480</v>
      </c>
      <c r="D33" s="601">
        <f>+D37</f>
        <v>0</v>
      </c>
      <c r="E33" s="73"/>
      <c r="F33" s="73"/>
      <c r="G33" s="73"/>
      <c r="H33" s="73"/>
      <c r="I33" s="73"/>
      <c r="J33" s="73"/>
      <c r="K33" s="73"/>
      <c r="L33" s="73"/>
      <c r="M33" s="73"/>
      <c r="N33" s="73"/>
      <c r="O33" s="73"/>
    </row>
    <row r="34" spans="1:16" ht="15.75">
      <c r="A34" s="4">
        <f>A33+1</f>
        <v>17</v>
      </c>
      <c r="B34" s="1" t="s">
        <v>481</v>
      </c>
      <c r="C34" s="438" t="str">
        <f>"(Line "&amp;A31&amp;" - "&amp;A33&amp;")"</f>
        <v>(Line 15 - 16)</v>
      </c>
      <c r="D34" s="48">
        <f>+D31-D33</f>
        <v>-2578753.02</v>
      </c>
      <c r="E34" s="79"/>
      <c r="F34" s="73"/>
      <c r="G34" s="73"/>
      <c r="H34" s="73"/>
      <c r="I34" s="73"/>
      <c r="J34" s="79"/>
      <c r="K34" s="73"/>
      <c r="L34" s="73"/>
      <c r="M34" s="73"/>
      <c r="N34" s="73"/>
      <c r="O34" s="73"/>
    </row>
    <row r="35" spans="1:16" ht="15.75">
      <c r="B35" s="11"/>
      <c r="D35" s="600"/>
      <c r="E35" s="5"/>
      <c r="F35" s="5"/>
      <c r="G35" s="5"/>
      <c r="H35" s="5"/>
      <c r="I35" s="5"/>
      <c r="J35" s="5"/>
      <c r="K35" s="71"/>
      <c r="L35" s="71"/>
      <c r="M35" s="71"/>
      <c r="N35" s="71"/>
      <c r="O35" s="71"/>
    </row>
    <row r="36" spans="1:16" ht="28.9" customHeight="1">
      <c r="A36" s="434">
        <f>A34+1</f>
        <v>18</v>
      </c>
      <c r="B36" s="786" t="s">
        <v>482</v>
      </c>
      <c r="C36" s="438" t="str">
        <f>"(Sum of Lines "&amp;A14&amp;" , "&amp;A15&amp;" , "&amp;A16&amp;", "&amp;A22&amp;" and "&amp;A24&amp;")"</f>
        <v>(Sum of Lines 2 , 3 , 4, 8 and 10)</v>
      </c>
      <c r="D36" s="602">
        <f>+D14+D15+D16+D22+D24</f>
        <v>0</v>
      </c>
      <c r="E36" s="71"/>
      <c r="F36" s="71"/>
      <c r="G36" s="71"/>
      <c r="H36" s="71"/>
      <c r="I36" s="71"/>
      <c r="J36" s="71"/>
      <c r="K36" s="71"/>
      <c r="L36" s="71"/>
      <c r="M36" s="71"/>
      <c r="N36" s="71"/>
      <c r="O36" s="71"/>
      <c r="P36" s="71"/>
    </row>
    <row r="37" spans="1:16" ht="15" customHeight="1">
      <c r="A37" s="434">
        <f>+A36+1</f>
        <v>19</v>
      </c>
      <c r="B37" s="786" t="s">
        <v>483</v>
      </c>
      <c r="C37" s="438" t="str">
        <f>"(50% of Line "&amp;A36&amp;")"</f>
        <v>(50% of Line 18)</v>
      </c>
      <c r="D37" s="602">
        <f>+D36*0.5</f>
        <v>0</v>
      </c>
      <c r="E37" s="71"/>
      <c r="F37" s="71"/>
      <c r="G37" s="71"/>
      <c r="H37" s="71"/>
      <c r="I37" s="71"/>
      <c r="J37" s="71"/>
      <c r="K37" s="71"/>
      <c r="L37" s="71"/>
      <c r="M37" s="71"/>
      <c r="N37" s="71"/>
      <c r="O37" s="190"/>
    </row>
    <row r="38" spans="1:16">
      <c r="A38" s="434"/>
      <c r="D38" s="601"/>
      <c r="O38" s="194"/>
    </row>
    <row r="40" spans="1:16" ht="31.9" customHeight="1">
      <c r="A40" s="434" t="s">
        <v>484</v>
      </c>
      <c r="B40" s="880" t="s">
        <v>485</v>
      </c>
      <c r="C40" s="880"/>
      <c r="D40" s="880"/>
    </row>
    <row r="41" spans="1:16" ht="88.9" customHeight="1">
      <c r="A41" s="434" t="s">
        <v>486</v>
      </c>
      <c r="B41" s="881" t="s">
        <v>487</v>
      </c>
      <c r="C41" s="882"/>
      <c r="D41" s="882"/>
    </row>
    <row r="42" spans="1:16">
      <c r="A42" s="4" t="s">
        <v>488</v>
      </c>
      <c r="B42" s="1" t="s">
        <v>489</v>
      </c>
      <c r="O42" s="179"/>
    </row>
    <row r="43" spans="1:16">
      <c r="O43" s="179"/>
    </row>
    <row r="44" spans="1:16">
      <c r="O44" s="179"/>
    </row>
    <row r="45" spans="1:16">
      <c r="O45" s="179"/>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legacyDrawing r:id="rId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4"/>
  <sheetViews>
    <sheetView showGridLines="0" showWhiteSpace="0" topLeftCell="A146" zoomScale="55" zoomScaleNormal="55" zoomScaleSheetLayoutView="40" zoomScalePageLayoutView="50" workbookViewId="0">
      <selection activeCell="S184" sqref="S184"/>
    </sheetView>
  </sheetViews>
  <sheetFormatPr defaultColWidth="9.28515625" defaultRowHeight="15"/>
  <cols>
    <col min="1" max="1" width="6.28515625" style="71" customWidth="1"/>
    <col min="2" max="2" width="6.42578125" style="71" customWidth="1"/>
    <col min="3" max="3" width="63.140625" style="71" customWidth="1"/>
    <col min="4" max="4" width="41.42578125" style="71" customWidth="1"/>
    <col min="5" max="5" width="26.28515625" style="71" customWidth="1"/>
    <col min="6" max="6" width="14.7109375" style="71" customWidth="1"/>
    <col min="7" max="7" width="18.7109375" style="71" customWidth="1"/>
    <col min="8" max="8" width="19.7109375" style="71" customWidth="1"/>
    <col min="9" max="9" width="21.28515625" style="71" customWidth="1"/>
    <col min="10" max="10" width="20.7109375" style="71" customWidth="1"/>
    <col min="11" max="11" width="19" style="71" customWidth="1"/>
    <col min="12" max="12" width="20.42578125" style="71" customWidth="1"/>
    <col min="13" max="13" width="18.28515625" style="71" customWidth="1"/>
    <col min="14" max="14" width="21.7109375" style="71" customWidth="1"/>
    <col min="15" max="15" width="21.42578125" style="71" customWidth="1"/>
    <col min="16" max="16" width="22" style="71" customWidth="1"/>
    <col min="17" max="17" width="20.7109375" style="71" customWidth="1"/>
    <col min="18" max="18" width="21.42578125" style="71" customWidth="1"/>
    <col min="19" max="19" width="21.5703125" style="71" customWidth="1"/>
    <col min="20" max="20" width="20.28515625" style="71" customWidth="1"/>
    <col min="21" max="21" width="18.42578125" style="71" customWidth="1"/>
    <col min="22" max="16384" width="9.28515625" style="71"/>
  </cols>
  <sheetData>
    <row r="1" spans="1:21" ht="21" customHeight="1">
      <c r="A1" s="867" t="s">
        <v>0</v>
      </c>
      <c r="B1" s="867"/>
      <c r="C1" s="867"/>
      <c r="D1" s="867"/>
      <c r="E1" s="867"/>
      <c r="F1" s="867"/>
      <c r="G1" s="867"/>
      <c r="H1" s="867"/>
      <c r="I1" s="867"/>
      <c r="J1" s="867"/>
      <c r="K1" s="867"/>
      <c r="L1" s="867"/>
      <c r="M1" s="867"/>
      <c r="N1" s="867"/>
      <c r="O1" s="867"/>
      <c r="P1" s="867"/>
      <c r="Q1" s="867"/>
      <c r="R1" s="867"/>
      <c r="S1" s="867"/>
      <c r="T1" s="867"/>
      <c r="U1" s="867"/>
    </row>
    <row r="2" spans="1:21" ht="21" customHeight="1">
      <c r="A2" s="867" t="str">
        <f>+'Appendix A'!A4</f>
        <v xml:space="preserve">ATTACHMENT H-15A </v>
      </c>
      <c r="B2" s="867"/>
      <c r="C2" s="867"/>
      <c r="D2" s="867"/>
      <c r="E2" s="867"/>
      <c r="F2" s="867"/>
      <c r="G2" s="867"/>
      <c r="H2" s="867"/>
      <c r="I2" s="867"/>
      <c r="J2" s="867"/>
      <c r="K2" s="867"/>
      <c r="L2" s="867"/>
      <c r="M2" s="867"/>
      <c r="N2" s="867"/>
      <c r="O2" s="867"/>
      <c r="P2" s="867"/>
      <c r="Q2" s="867"/>
      <c r="R2" s="867"/>
      <c r="S2" s="867"/>
      <c r="T2" s="867"/>
      <c r="U2" s="867"/>
    </row>
    <row r="3" spans="1:21" ht="21" customHeight="1">
      <c r="A3" s="867" t="s">
        <v>1004</v>
      </c>
      <c r="B3" s="867"/>
      <c r="C3" s="867"/>
      <c r="D3" s="867"/>
      <c r="E3" s="867"/>
      <c r="F3" s="867"/>
      <c r="G3" s="867"/>
      <c r="H3" s="867"/>
      <c r="I3" s="867"/>
      <c r="J3" s="867"/>
      <c r="K3" s="867"/>
      <c r="L3" s="867"/>
      <c r="M3" s="867"/>
      <c r="N3" s="867"/>
      <c r="O3" s="867"/>
      <c r="P3" s="867"/>
      <c r="Q3" s="867"/>
      <c r="R3" s="867"/>
      <c r="S3" s="867"/>
      <c r="T3" s="867"/>
      <c r="U3" s="867"/>
    </row>
    <row r="4" spans="1:21" ht="51.6" customHeight="1">
      <c r="A4" s="71" t="s">
        <v>409</v>
      </c>
      <c r="B4" s="79"/>
      <c r="C4" s="79"/>
      <c r="D4" s="79"/>
      <c r="E4" s="79"/>
      <c r="F4" s="79"/>
      <c r="G4" s="79"/>
      <c r="H4" s="79"/>
      <c r="I4" s="79"/>
      <c r="J4" s="79"/>
      <c r="K4" s="79"/>
      <c r="L4" s="79"/>
      <c r="M4" s="79"/>
      <c r="N4" s="79"/>
      <c r="O4" s="79"/>
      <c r="P4" s="79"/>
      <c r="Q4" s="79"/>
      <c r="U4" s="628"/>
    </row>
    <row r="5" spans="1:21" ht="21" customHeight="1">
      <c r="A5" s="75"/>
      <c r="G5" s="76"/>
      <c r="H5" s="76"/>
      <c r="I5" s="76"/>
      <c r="J5" s="76"/>
      <c r="K5" s="77"/>
      <c r="L5" s="76"/>
      <c r="M5" s="76"/>
      <c r="N5" s="76"/>
      <c r="O5" s="177"/>
      <c r="Q5" s="76"/>
      <c r="U5" s="73"/>
    </row>
    <row r="6" spans="1:21" ht="16.5" thickBot="1">
      <c r="A6" s="78" t="s">
        <v>490</v>
      </c>
      <c r="B6" s="72"/>
      <c r="E6" s="76"/>
      <c r="F6" s="76"/>
      <c r="G6" s="535" t="s">
        <v>491</v>
      </c>
      <c r="H6" s="893" t="s">
        <v>354</v>
      </c>
      <c r="I6" s="893"/>
      <c r="J6" s="893"/>
      <c r="K6" s="893"/>
      <c r="L6" s="893"/>
      <c r="M6" s="893"/>
      <c r="N6" s="893"/>
      <c r="O6" s="893"/>
      <c r="P6" s="893"/>
      <c r="Q6" s="893"/>
      <c r="R6" s="893"/>
      <c r="S6" s="894"/>
    </row>
    <row r="7" spans="1:21" ht="32.1" customHeight="1" thickBot="1">
      <c r="A7" s="118" t="s">
        <v>492</v>
      </c>
      <c r="B7" s="119" t="s">
        <v>493</v>
      </c>
      <c r="C7" s="119"/>
      <c r="D7" s="119"/>
      <c r="E7" s="121" t="s">
        <v>494</v>
      </c>
      <c r="F7" s="791" t="s">
        <v>495</v>
      </c>
      <c r="G7" s="82" t="s">
        <v>496</v>
      </c>
      <c r="H7" s="120" t="s">
        <v>497</v>
      </c>
      <c r="I7" s="120" t="s">
        <v>498</v>
      </c>
      <c r="J7" s="120" t="s">
        <v>499</v>
      </c>
      <c r="K7" s="120" t="s">
        <v>500</v>
      </c>
      <c r="L7" s="120" t="s">
        <v>373</v>
      </c>
      <c r="M7" s="120" t="s">
        <v>501</v>
      </c>
      <c r="N7" s="120" t="s">
        <v>502</v>
      </c>
      <c r="O7" s="120" t="s">
        <v>503</v>
      </c>
      <c r="P7" s="120" t="s">
        <v>504</v>
      </c>
      <c r="Q7" s="120" t="s">
        <v>505</v>
      </c>
      <c r="R7" s="120" t="s">
        <v>506</v>
      </c>
      <c r="S7" s="82" t="s">
        <v>507</v>
      </c>
      <c r="T7" s="791" t="s">
        <v>508</v>
      </c>
      <c r="U7" s="187" t="s">
        <v>509</v>
      </c>
    </row>
    <row r="8" spans="1:21" ht="15.75">
      <c r="A8" s="84"/>
      <c r="B8" s="85" t="s">
        <v>14</v>
      </c>
      <c r="C8" s="86"/>
      <c r="D8" s="86"/>
      <c r="E8" s="86"/>
      <c r="F8" s="86"/>
      <c r="H8" s="337"/>
      <c r="I8" s="337"/>
      <c r="J8" s="337"/>
      <c r="K8" s="337"/>
      <c r="L8" s="337"/>
      <c r="M8" s="337"/>
      <c r="N8" s="337"/>
      <c r="O8" s="337"/>
      <c r="P8" s="337"/>
      <c r="Q8" s="337"/>
      <c r="R8" s="337"/>
      <c r="S8" s="91"/>
      <c r="T8" s="88"/>
      <c r="U8" s="184"/>
    </row>
    <row r="9" spans="1:21" ht="15.75">
      <c r="A9" s="89">
        <v>1</v>
      </c>
      <c r="B9" s="73"/>
      <c r="C9" s="71" t="s">
        <v>510</v>
      </c>
      <c r="E9" s="90" t="s">
        <v>511</v>
      </c>
      <c r="F9" s="90"/>
      <c r="G9" s="182">
        <v>2842994817.0132728</v>
      </c>
      <c r="H9" s="182">
        <v>2853784795.7587976</v>
      </c>
      <c r="I9" s="182">
        <v>2863755116.5067334</v>
      </c>
      <c r="J9" s="182">
        <v>2883141331.4034042</v>
      </c>
      <c r="K9" s="182">
        <v>2893949344.5992026</v>
      </c>
      <c r="L9" s="182">
        <v>2907984773.2930403</v>
      </c>
      <c r="M9" s="182">
        <v>2926817370.3056417</v>
      </c>
      <c r="N9" s="182">
        <v>2936443147.6948571</v>
      </c>
      <c r="O9" s="182">
        <v>2946941161.9270277</v>
      </c>
      <c r="P9" s="182">
        <v>2999633209.8434153</v>
      </c>
      <c r="Q9" s="182">
        <v>3025977804.4186258</v>
      </c>
      <c r="R9" s="182">
        <v>3052872247.7918611</v>
      </c>
      <c r="S9" s="182">
        <v>3147024344.7891817</v>
      </c>
      <c r="T9" s="536">
        <f>AVERAGE(G9:S9)</f>
        <v>2944716881.9496202</v>
      </c>
      <c r="U9" s="188">
        <v>0</v>
      </c>
    </row>
    <row r="10" spans="1:21" ht="15.75">
      <c r="A10" s="89">
        <f>+A9+1</f>
        <v>2</v>
      </c>
      <c r="B10" s="73"/>
      <c r="C10" s="71" t="s">
        <v>512</v>
      </c>
      <c r="E10" s="71" t="s">
        <v>513</v>
      </c>
      <c r="G10" s="182">
        <v>0</v>
      </c>
      <c r="H10" s="182">
        <v>0</v>
      </c>
      <c r="I10" s="182">
        <v>0</v>
      </c>
      <c r="J10" s="182">
        <v>0</v>
      </c>
      <c r="K10" s="182">
        <v>0</v>
      </c>
      <c r="L10" s="182">
        <v>0</v>
      </c>
      <c r="M10" s="182">
        <v>0</v>
      </c>
      <c r="N10" s="182">
        <v>0</v>
      </c>
      <c r="O10" s="182">
        <v>0</v>
      </c>
      <c r="P10" s="182">
        <v>0</v>
      </c>
      <c r="Q10" s="182">
        <v>0</v>
      </c>
      <c r="R10" s="182">
        <v>0</v>
      </c>
      <c r="S10" s="182">
        <v>0</v>
      </c>
      <c r="T10" s="536">
        <f t="shared" ref="T10:T14" si="0">AVERAGE(G10:S10)</f>
        <v>0</v>
      </c>
      <c r="U10" s="188">
        <v>0</v>
      </c>
    </row>
    <row r="11" spans="1:21" ht="15.75">
      <c r="A11" s="89">
        <f t="shared" ref="A11:A14" si="1">+A10+1</f>
        <v>3</v>
      </c>
      <c r="B11" s="73"/>
      <c r="C11" s="71" t="s">
        <v>16</v>
      </c>
      <c r="E11" s="90" t="s">
        <v>514</v>
      </c>
      <c r="F11" s="90"/>
      <c r="G11" s="182">
        <v>-1243197252.8001778</v>
      </c>
      <c r="H11" s="182">
        <v>-1249292067.7106931</v>
      </c>
      <c r="I11" s="182">
        <v>-1255498762.2782307</v>
      </c>
      <c r="J11" s="182">
        <v>-1260991961.632961</v>
      </c>
      <c r="K11" s="182">
        <v>-1267173943.7677748</v>
      </c>
      <c r="L11" s="182">
        <v>-1273131334.6386971</v>
      </c>
      <c r="M11" s="182">
        <v>-1278681165.6615956</v>
      </c>
      <c r="N11" s="182">
        <v>-1285008556.6240079</v>
      </c>
      <c r="O11" s="182">
        <v>-1291258429.5679009</v>
      </c>
      <c r="P11" s="182">
        <v>-1297138096.2386467</v>
      </c>
      <c r="Q11" s="182">
        <v>-1302514143.347661</v>
      </c>
      <c r="R11" s="182">
        <v>-1307921792.2079065</v>
      </c>
      <c r="S11" s="182">
        <v>-1306756463.2517281</v>
      </c>
      <c r="T11" s="536">
        <f t="shared" si="0"/>
        <v>-1278351074.5944602</v>
      </c>
      <c r="U11" s="188">
        <v>0</v>
      </c>
    </row>
    <row r="12" spans="1:21" ht="15" customHeight="1">
      <c r="A12" s="89">
        <f t="shared" si="1"/>
        <v>4</v>
      </c>
      <c r="C12" s="90" t="s">
        <v>35</v>
      </c>
      <c r="E12" s="71" t="s">
        <v>515</v>
      </c>
      <c r="G12" s="182">
        <v>-33629666.275713414</v>
      </c>
      <c r="H12" s="182">
        <v>-33873809.218339138</v>
      </c>
      <c r="I12" s="182">
        <v>-34126672.16674795</v>
      </c>
      <c r="J12" s="182">
        <v>-34394132.137603387</v>
      </c>
      <c r="K12" s="182">
        <v>-34677664.932344861</v>
      </c>
      <c r="L12" s="182">
        <v>-34968866.756955437</v>
      </c>
      <c r="M12" s="182">
        <v>-35260078.61359594</v>
      </c>
      <c r="N12" s="182">
        <v>-35551300.50226637</v>
      </c>
      <c r="O12" s="182">
        <v>-35842532.422966734</v>
      </c>
      <c r="P12" s="182">
        <v>-36133774.375697024</v>
      </c>
      <c r="Q12" s="182">
        <v>-36870636.900847867</v>
      </c>
      <c r="R12" s="182">
        <v>-37617151.860152081</v>
      </c>
      <c r="S12" s="182">
        <v>-38373319.253609665</v>
      </c>
      <c r="T12" s="536">
        <f t="shared" si="0"/>
        <v>-35486123.493603066</v>
      </c>
      <c r="U12" s="188">
        <v>0</v>
      </c>
    </row>
    <row r="13" spans="1:21">
      <c r="A13" s="89">
        <f t="shared" si="1"/>
        <v>5</v>
      </c>
      <c r="C13" s="90" t="s">
        <v>516</v>
      </c>
      <c r="E13" s="71" t="s">
        <v>513</v>
      </c>
      <c r="G13" s="182">
        <v>0</v>
      </c>
      <c r="H13" s="182">
        <v>0</v>
      </c>
      <c r="I13" s="182">
        <v>0</v>
      </c>
      <c r="J13" s="182">
        <v>0</v>
      </c>
      <c r="K13" s="182">
        <v>0</v>
      </c>
      <c r="L13" s="182">
        <v>0</v>
      </c>
      <c r="M13" s="182">
        <v>0</v>
      </c>
      <c r="N13" s="182">
        <v>0</v>
      </c>
      <c r="O13" s="182">
        <v>0</v>
      </c>
      <c r="P13" s="182">
        <v>0</v>
      </c>
      <c r="Q13" s="182">
        <v>0</v>
      </c>
      <c r="R13" s="182">
        <v>0</v>
      </c>
      <c r="S13" s="182">
        <v>0</v>
      </c>
      <c r="T13" s="536">
        <f t="shared" si="0"/>
        <v>0</v>
      </c>
      <c r="U13" s="188">
        <v>0</v>
      </c>
    </row>
    <row r="14" spans="1:21">
      <c r="A14" s="89">
        <f t="shared" si="1"/>
        <v>6</v>
      </c>
      <c r="C14" s="90" t="s">
        <v>517</v>
      </c>
      <c r="E14" s="71" t="s">
        <v>513</v>
      </c>
      <c r="G14" s="182">
        <v>0</v>
      </c>
      <c r="H14" s="182">
        <v>0</v>
      </c>
      <c r="I14" s="182">
        <v>0</v>
      </c>
      <c r="J14" s="182">
        <v>0</v>
      </c>
      <c r="K14" s="182">
        <v>0</v>
      </c>
      <c r="L14" s="182">
        <v>0</v>
      </c>
      <c r="M14" s="182">
        <v>0</v>
      </c>
      <c r="N14" s="182">
        <v>0</v>
      </c>
      <c r="O14" s="182">
        <v>0</v>
      </c>
      <c r="P14" s="182">
        <v>0</v>
      </c>
      <c r="Q14" s="182">
        <v>0</v>
      </c>
      <c r="R14" s="182">
        <v>0</v>
      </c>
      <c r="S14" s="182">
        <v>0</v>
      </c>
      <c r="T14" s="536">
        <f t="shared" si="0"/>
        <v>0</v>
      </c>
      <c r="U14" s="188">
        <v>0</v>
      </c>
    </row>
    <row r="15" spans="1:21" ht="15.75">
      <c r="A15" s="89"/>
      <c r="B15" s="73"/>
      <c r="E15" s="183"/>
      <c r="F15" s="183"/>
      <c r="G15" s="349"/>
      <c r="H15" s="349"/>
      <c r="I15" s="349"/>
      <c r="J15" s="349"/>
      <c r="K15" s="349"/>
      <c r="L15" s="349"/>
      <c r="M15" s="349"/>
      <c r="N15" s="349"/>
      <c r="O15" s="349"/>
      <c r="P15" s="349"/>
      <c r="Q15" s="349"/>
      <c r="R15" s="349"/>
      <c r="S15" s="349"/>
      <c r="T15" s="536"/>
      <c r="U15" s="196"/>
    </row>
    <row r="16" spans="1:21" ht="15.75">
      <c r="A16" s="89"/>
      <c r="B16" s="73" t="s">
        <v>23</v>
      </c>
      <c r="E16" s="183"/>
      <c r="F16" s="183"/>
      <c r="G16" s="349"/>
      <c r="H16" s="349"/>
      <c r="I16" s="349"/>
      <c r="J16" s="349"/>
      <c r="K16" s="349"/>
      <c r="L16" s="349"/>
      <c r="M16" s="349"/>
      <c r="N16" s="349"/>
      <c r="O16" s="349"/>
      <c r="P16" s="349"/>
      <c r="Q16" s="349"/>
      <c r="R16" s="349"/>
      <c r="S16" s="349"/>
      <c r="T16" s="536"/>
      <c r="U16" s="196"/>
    </row>
    <row r="17" spans="1:21" ht="15.75">
      <c r="A17" s="89">
        <f>+A14+1</f>
        <v>7</v>
      </c>
      <c r="B17" s="73"/>
      <c r="C17" s="71" t="s">
        <v>518</v>
      </c>
      <c r="E17" s="93" t="s">
        <v>519</v>
      </c>
      <c r="F17" s="492" t="s">
        <v>520</v>
      </c>
      <c r="G17" s="837">
        <v>595710699.66999996</v>
      </c>
      <c r="H17" s="837">
        <v>595710699.66999996</v>
      </c>
      <c r="I17" s="837">
        <v>595710699.66999996</v>
      </c>
      <c r="J17" s="837">
        <v>599474956.00671995</v>
      </c>
      <c r="K17" s="837">
        <v>599474956.00671995</v>
      </c>
      <c r="L17" s="837">
        <v>599474956.00671995</v>
      </c>
      <c r="M17" s="837">
        <v>603239212.34343994</v>
      </c>
      <c r="N17" s="837">
        <v>603239212.34343994</v>
      </c>
      <c r="O17" s="837">
        <v>604549490.39343989</v>
      </c>
      <c r="P17" s="837">
        <v>608313746.73015988</v>
      </c>
      <c r="Q17" s="837">
        <v>608313746.73015988</v>
      </c>
      <c r="R17" s="837">
        <v>608313746.73015988</v>
      </c>
      <c r="S17" s="837">
        <v>672643827.02421987</v>
      </c>
      <c r="T17" s="536">
        <f>AVERAGE(G17:S17)</f>
        <v>607243842.25578296</v>
      </c>
      <c r="U17" s="188">
        <v>0</v>
      </c>
    </row>
    <row r="18" spans="1:21" ht="15.75">
      <c r="A18" s="89">
        <f>+A17+1</f>
        <v>8</v>
      </c>
      <c r="B18" s="73"/>
      <c r="C18" s="71" t="s">
        <v>521</v>
      </c>
      <c r="E18" s="71" t="s">
        <v>522</v>
      </c>
      <c r="F18" s="135" t="s">
        <v>523</v>
      </c>
      <c r="G18" s="182">
        <v>39312379.537022814</v>
      </c>
      <c r="H18" s="182">
        <v>39509334.665227942</v>
      </c>
      <c r="I18" s="182">
        <v>39706289.79343307</v>
      </c>
      <c r="J18" s="182">
        <v>39903244.921638198</v>
      </c>
      <c r="K18" s="182">
        <v>40100200.049843326</v>
      </c>
      <c r="L18" s="182">
        <v>40297155.178048454</v>
      </c>
      <c r="M18" s="182">
        <v>40494110.306253582</v>
      </c>
      <c r="N18" s="182">
        <v>40691065.43445871</v>
      </c>
      <c r="O18" s="182">
        <v>40888020.562663838</v>
      </c>
      <c r="P18" s="182">
        <v>41084975.690868966</v>
      </c>
      <c r="Q18" s="182">
        <v>41174318.639586918</v>
      </c>
      <c r="R18" s="182">
        <v>41263661.58830487</v>
      </c>
      <c r="S18" s="182">
        <v>41353004.537022822</v>
      </c>
      <c r="T18" s="536">
        <f t="shared" ref="T18:T20" si="2">AVERAGE(G18:S18)</f>
        <v>40444443.146490276</v>
      </c>
      <c r="U18" s="188">
        <v>0</v>
      </c>
    </row>
    <row r="19" spans="1:21" ht="15.75">
      <c r="A19" s="89">
        <f t="shared" ref="A19:A20" si="3">+A18+1</f>
        <v>9</v>
      </c>
      <c r="B19" s="73"/>
      <c r="C19" s="71" t="s">
        <v>26</v>
      </c>
      <c r="E19" s="71" t="s">
        <v>524</v>
      </c>
      <c r="F19" s="135" t="s">
        <v>525</v>
      </c>
      <c r="G19" s="182">
        <v>45313344.623573534</v>
      </c>
      <c r="H19" s="182">
        <v>46045605.431110777</v>
      </c>
      <c r="I19" s="182">
        <v>47271387.581982389</v>
      </c>
      <c r="J19" s="182">
        <v>48621099.874721542</v>
      </c>
      <c r="K19" s="182">
        <v>49265105.182133742</v>
      </c>
      <c r="L19" s="182">
        <v>49265947.619916394</v>
      </c>
      <c r="M19" s="182">
        <v>49266790.057699047</v>
      </c>
      <c r="N19" s="182">
        <v>49267632.4954817</v>
      </c>
      <c r="O19" s="182">
        <v>49268474.933264352</v>
      </c>
      <c r="P19" s="182">
        <v>86689376.74604699</v>
      </c>
      <c r="Q19" s="182">
        <v>87499938.046540082</v>
      </c>
      <c r="R19" s="182">
        <v>88310499.347033173</v>
      </c>
      <c r="S19" s="182">
        <v>89121060.647526264</v>
      </c>
      <c r="T19" s="536">
        <f t="shared" si="2"/>
        <v>60400481.737463847</v>
      </c>
      <c r="U19" s="188">
        <v>0</v>
      </c>
    </row>
    <row r="20" spans="1:21" ht="15.75">
      <c r="A20" s="89">
        <f t="shared" si="3"/>
        <v>10</v>
      </c>
      <c r="B20" s="73"/>
      <c r="C20" s="71" t="s">
        <v>512</v>
      </c>
      <c r="E20" s="71" t="s">
        <v>513</v>
      </c>
      <c r="F20" s="135"/>
      <c r="G20" s="182">
        <v>0</v>
      </c>
      <c r="H20" s="182">
        <v>0</v>
      </c>
      <c r="I20" s="182">
        <v>0</v>
      </c>
      <c r="J20" s="182">
        <v>0</v>
      </c>
      <c r="K20" s="182">
        <v>0</v>
      </c>
      <c r="L20" s="182">
        <v>0</v>
      </c>
      <c r="M20" s="182">
        <v>0</v>
      </c>
      <c r="N20" s="182">
        <v>0</v>
      </c>
      <c r="O20" s="182">
        <v>0</v>
      </c>
      <c r="P20" s="182">
        <v>0</v>
      </c>
      <c r="Q20" s="182">
        <v>0</v>
      </c>
      <c r="R20" s="182">
        <v>0</v>
      </c>
      <c r="S20" s="182">
        <v>0</v>
      </c>
      <c r="T20" s="536">
        <f t="shared" si="2"/>
        <v>0</v>
      </c>
      <c r="U20" s="188">
        <v>0</v>
      </c>
    </row>
    <row r="21" spans="1:21">
      <c r="A21" s="89"/>
      <c r="B21" s="72"/>
      <c r="C21" s="90"/>
      <c r="E21" s="91"/>
      <c r="F21" s="492"/>
      <c r="G21" s="349"/>
      <c r="H21" s="349"/>
      <c r="I21" s="349"/>
      <c r="J21" s="349"/>
      <c r="K21" s="349"/>
      <c r="L21" s="349"/>
      <c r="M21" s="349"/>
      <c r="N21" s="349"/>
      <c r="O21" s="349"/>
      <c r="P21" s="349"/>
      <c r="Q21" s="349"/>
      <c r="R21" s="349"/>
      <c r="S21" s="349"/>
      <c r="T21" s="536"/>
      <c r="U21" s="188"/>
    </row>
    <row r="22" spans="1:21" ht="15.75">
      <c r="A22" s="89"/>
      <c r="B22" s="73" t="s">
        <v>32</v>
      </c>
      <c r="E22" s="183"/>
      <c r="F22" s="493"/>
      <c r="G22" s="349"/>
      <c r="H22" s="349"/>
      <c r="I22" s="349"/>
      <c r="J22" s="349"/>
      <c r="K22" s="349"/>
      <c r="L22" s="349"/>
      <c r="M22" s="349"/>
      <c r="N22" s="349"/>
      <c r="O22" s="349"/>
      <c r="P22" s="349"/>
      <c r="Q22" s="349"/>
      <c r="R22" s="349"/>
      <c r="S22" s="349"/>
      <c r="T22" s="536"/>
      <c r="U22" s="196"/>
    </row>
    <row r="23" spans="1:21">
      <c r="A23" s="89">
        <f>+A20+1</f>
        <v>11</v>
      </c>
      <c r="B23" s="72"/>
      <c r="C23" s="71" t="s">
        <v>33</v>
      </c>
      <c r="E23" s="90" t="s">
        <v>526</v>
      </c>
      <c r="F23" s="135">
        <v>108</v>
      </c>
      <c r="G23" s="182">
        <v>-241294146.77897316</v>
      </c>
      <c r="H23" s="182">
        <v>-242310490.0425007</v>
      </c>
      <c r="I23" s="182">
        <v>-243326833.30602825</v>
      </c>
      <c r="J23" s="182">
        <v>-243965665.07128596</v>
      </c>
      <c r="K23" s="182">
        <v>-244988718.5027889</v>
      </c>
      <c r="L23" s="182">
        <v>-246011771.93429184</v>
      </c>
      <c r="M23" s="182">
        <v>-246657313.86752492</v>
      </c>
      <c r="N23" s="182">
        <v>-247687077.46700323</v>
      </c>
      <c r="O23" s="182">
        <v>-248585435.28920215</v>
      </c>
      <c r="P23" s="182">
        <v>-249240023.09367403</v>
      </c>
      <c r="Q23" s="182">
        <v>-250278832.56439114</v>
      </c>
      <c r="R23" s="182">
        <v>-251317642.03510824</v>
      </c>
      <c r="S23" s="182">
        <v>-245904886.35636196</v>
      </c>
      <c r="T23" s="536">
        <f t="shared" ref="T23:T25" si="4">AVERAGE(G23:S23)</f>
        <v>-246274525.86993343</v>
      </c>
      <c r="U23" s="188">
        <v>0</v>
      </c>
    </row>
    <row r="24" spans="1:21">
      <c r="A24" s="89">
        <f>+A23+1</f>
        <v>12</v>
      </c>
      <c r="B24" s="72"/>
      <c r="C24" s="71" t="s">
        <v>34</v>
      </c>
      <c r="D24" s="72"/>
      <c r="E24" s="90" t="s">
        <v>527</v>
      </c>
      <c r="F24" s="135">
        <v>108</v>
      </c>
      <c r="G24" s="182">
        <v>-10905369.108661518</v>
      </c>
      <c r="H24" s="182">
        <v>-11017229.014084321</v>
      </c>
      <c r="I24" s="182">
        <v>-11129674.201497653</v>
      </c>
      <c r="J24" s="182">
        <v>-11242704.670901515</v>
      </c>
      <c r="K24" s="182">
        <v>-11356320.422295904</v>
      </c>
      <c r="L24" s="182">
        <v>-11470521.455680823</v>
      </c>
      <c r="M24" s="182">
        <v>-11585307.77105627</v>
      </c>
      <c r="N24" s="182">
        <v>-11700679.368422246</v>
      </c>
      <c r="O24" s="182">
        <v>-11816636.247778751</v>
      </c>
      <c r="P24" s="182">
        <v>-11933178.409125784</v>
      </c>
      <c r="Q24" s="182">
        <v>-12050305.852463346</v>
      </c>
      <c r="R24" s="182">
        <v>-12167698.791903203</v>
      </c>
      <c r="S24" s="182">
        <v>-12285357.227445355</v>
      </c>
      <c r="T24" s="536">
        <f t="shared" si="4"/>
        <v>-11589306.349332053</v>
      </c>
      <c r="U24" s="188">
        <v>0</v>
      </c>
    </row>
    <row r="25" spans="1:21" ht="16.5" thickBot="1">
      <c r="A25" s="105">
        <f>+A24+1</f>
        <v>13</v>
      </c>
      <c r="B25" s="95"/>
      <c r="C25" s="97" t="s">
        <v>528</v>
      </c>
      <c r="D25" s="97"/>
      <c r="E25" s="97" t="s">
        <v>513</v>
      </c>
      <c r="F25" s="136">
        <v>111</v>
      </c>
      <c r="G25" s="838">
        <v>0</v>
      </c>
      <c r="H25" s="838">
        <v>0</v>
      </c>
      <c r="I25" s="838">
        <v>0</v>
      </c>
      <c r="J25" s="838">
        <v>0</v>
      </c>
      <c r="K25" s="838">
        <v>0</v>
      </c>
      <c r="L25" s="838">
        <v>0</v>
      </c>
      <c r="M25" s="838">
        <v>0</v>
      </c>
      <c r="N25" s="838">
        <v>0</v>
      </c>
      <c r="O25" s="838">
        <v>0</v>
      </c>
      <c r="P25" s="838">
        <v>0</v>
      </c>
      <c r="Q25" s="838">
        <v>0</v>
      </c>
      <c r="R25" s="838">
        <v>0</v>
      </c>
      <c r="S25" s="838">
        <v>0</v>
      </c>
      <c r="T25" s="543">
        <f t="shared" si="4"/>
        <v>0</v>
      </c>
      <c r="U25" s="348">
        <v>0</v>
      </c>
    </row>
    <row r="26" spans="1:21" ht="15.75">
      <c r="A26" s="72"/>
      <c r="B26" s="78"/>
      <c r="C26" s="90"/>
      <c r="G26" s="12"/>
      <c r="H26" s="12"/>
      <c r="I26" s="12"/>
      <c r="J26" s="12"/>
      <c r="K26" s="12"/>
      <c r="L26" s="12"/>
      <c r="M26" s="12"/>
      <c r="N26" s="12"/>
      <c r="O26" s="12"/>
      <c r="P26" s="12"/>
      <c r="Q26" s="12"/>
      <c r="R26" s="12"/>
      <c r="S26" s="12"/>
      <c r="T26" s="12"/>
      <c r="U26" s="92"/>
    </row>
    <row r="27" spans="1:21" ht="15.75">
      <c r="A27" s="72"/>
      <c r="B27" s="78"/>
      <c r="C27" s="90"/>
      <c r="G27" s="12"/>
      <c r="H27" s="12"/>
      <c r="I27" s="12"/>
      <c r="J27" s="12"/>
      <c r="K27" s="12"/>
      <c r="L27" s="12"/>
      <c r="M27" s="12"/>
      <c r="N27" s="12"/>
      <c r="O27" s="12"/>
      <c r="P27" s="12"/>
      <c r="Q27" s="12"/>
      <c r="R27" s="12"/>
      <c r="S27" s="186"/>
      <c r="U27" s="92"/>
    </row>
    <row r="28" spans="1:21" ht="16.5" thickBot="1">
      <c r="A28" s="78" t="s">
        <v>529</v>
      </c>
      <c r="C28" s="90"/>
      <c r="G28" s="100"/>
      <c r="H28" s="100"/>
      <c r="I28" s="100"/>
      <c r="J28" s="100"/>
      <c r="K28" s="100"/>
      <c r="L28" s="100"/>
      <c r="M28" s="100"/>
      <c r="N28" s="100"/>
      <c r="O28" s="12"/>
      <c r="P28" s="12"/>
      <c r="Q28" s="100"/>
      <c r="R28" s="100"/>
      <c r="S28" s="100"/>
      <c r="T28" s="100"/>
      <c r="U28" s="190"/>
    </row>
    <row r="29" spans="1:21" ht="32.25" thickBot="1">
      <c r="A29" s="80" t="s">
        <v>492</v>
      </c>
      <c r="B29" s="81" t="s">
        <v>493</v>
      </c>
      <c r="C29" s="81"/>
      <c r="D29" s="81"/>
      <c r="E29" s="83" t="s">
        <v>494</v>
      </c>
      <c r="F29" s="789" t="s">
        <v>495</v>
      </c>
      <c r="G29" s="101"/>
      <c r="H29" s="101"/>
      <c r="I29" s="101"/>
      <c r="J29" s="101"/>
      <c r="K29" s="101"/>
      <c r="L29" s="101"/>
      <c r="M29" s="101"/>
      <c r="N29" s="101"/>
      <c r="O29" s="101"/>
      <c r="P29" s="101"/>
      <c r="Q29" s="101"/>
      <c r="R29" s="101"/>
      <c r="S29" s="101"/>
      <c r="T29" s="82" t="s">
        <v>530</v>
      </c>
      <c r="U29" s="102"/>
    </row>
    <row r="30" spans="1:21" ht="15.75">
      <c r="A30" s="103"/>
      <c r="B30" s="73"/>
      <c r="C30" s="73"/>
      <c r="D30" s="73"/>
      <c r="E30" s="104"/>
      <c r="F30" s="104"/>
      <c r="T30" s="79"/>
      <c r="U30" s="94"/>
    </row>
    <row r="31" spans="1:21" ht="15.75">
      <c r="A31" s="89">
        <f>+A25+1</f>
        <v>14</v>
      </c>
      <c r="B31" s="78"/>
      <c r="C31" s="90" t="s">
        <v>531</v>
      </c>
      <c r="D31" s="78"/>
      <c r="E31" s="71" t="s">
        <v>532</v>
      </c>
      <c r="G31" s="72" t="s">
        <v>533</v>
      </c>
      <c r="T31" s="745">
        <v>47870031</v>
      </c>
      <c r="U31" s="94"/>
    </row>
    <row r="32" spans="1:21" ht="15.75">
      <c r="A32" s="89">
        <f>+A31+1</f>
        <v>15</v>
      </c>
      <c r="B32" s="78"/>
      <c r="C32" s="90" t="s">
        <v>534</v>
      </c>
      <c r="D32" s="78"/>
      <c r="E32" s="71" t="s">
        <v>535</v>
      </c>
      <c r="T32" s="745">
        <v>13359920</v>
      </c>
      <c r="U32" s="94"/>
    </row>
    <row r="33" spans="1:21">
      <c r="A33" s="89">
        <f>+A32+1</f>
        <v>16</v>
      </c>
      <c r="C33" s="90" t="s">
        <v>536</v>
      </c>
      <c r="E33" s="71" t="s">
        <v>537</v>
      </c>
      <c r="T33" s="745">
        <v>4411445</v>
      </c>
      <c r="U33" s="94"/>
    </row>
    <row r="34" spans="1:21" ht="15.75" thickBot="1">
      <c r="A34" s="105"/>
      <c r="B34" s="97"/>
      <c r="C34" s="96"/>
      <c r="D34" s="97"/>
      <c r="E34" s="97"/>
      <c r="F34" s="97"/>
      <c r="G34" s="21"/>
      <c r="H34" s="97"/>
      <c r="I34" s="97"/>
      <c r="J34" s="97"/>
      <c r="K34" s="97"/>
      <c r="L34" s="97"/>
      <c r="M34" s="97"/>
      <c r="N34" s="97"/>
      <c r="O34" s="97"/>
      <c r="P34" s="97"/>
      <c r="Q34" s="97"/>
      <c r="R34" s="97"/>
      <c r="S34" s="97"/>
      <c r="T34" s="97"/>
      <c r="U34" s="99"/>
    </row>
    <row r="35" spans="1:21">
      <c r="A35" s="72"/>
      <c r="C35" s="90"/>
      <c r="G35" s="17"/>
      <c r="H35" s="17"/>
      <c r="I35" s="17"/>
      <c r="J35" s="17"/>
      <c r="K35" s="17"/>
      <c r="L35" s="17"/>
      <c r="M35" s="17"/>
      <c r="N35" s="17"/>
      <c r="O35" s="17"/>
      <c r="P35" s="17"/>
      <c r="Q35" s="17"/>
      <c r="R35" s="17"/>
      <c r="S35" s="17"/>
      <c r="T35" s="17"/>
    </row>
    <row r="36" spans="1:21">
      <c r="A36" s="72"/>
      <c r="C36" s="90"/>
      <c r="G36" s="17"/>
      <c r="H36" s="17"/>
      <c r="I36" s="17"/>
      <c r="J36" s="17"/>
      <c r="K36" s="17"/>
      <c r="L36" s="17"/>
      <c r="M36" s="17"/>
      <c r="N36" s="17"/>
      <c r="O36" s="17"/>
      <c r="P36" s="17"/>
      <c r="Q36" s="17"/>
      <c r="R36" s="17"/>
      <c r="S36" s="17"/>
      <c r="T36" s="17"/>
    </row>
    <row r="37" spans="1:21" ht="16.5" thickBot="1">
      <c r="A37" s="78" t="s">
        <v>538</v>
      </c>
      <c r="G37" s="100"/>
    </row>
    <row r="38" spans="1:21" ht="32.25" thickBot="1">
      <c r="A38" s="80" t="s">
        <v>492</v>
      </c>
      <c r="B38" s="81" t="s">
        <v>493</v>
      </c>
      <c r="C38" s="81"/>
      <c r="D38" s="81"/>
      <c r="E38" s="83" t="s">
        <v>494</v>
      </c>
      <c r="F38" s="789" t="s">
        <v>495</v>
      </c>
      <c r="G38" s="101"/>
      <c r="H38" s="101"/>
      <c r="I38" s="101"/>
      <c r="J38" s="101"/>
      <c r="K38" s="101"/>
      <c r="L38" s="101"/>
      <c r="M38" s="101"/>
      <c r="N38" s="101"/>
      <c r="O38" s="101"/>
      <c r="P38" s="101"/>
      <c r="Q38" s="101"/>
      <c r="R38" s="789" t="s">
        <v>539</v>
      </c>
      <c r="S38" s="82" t="s">
        <v>530</v>
      </c>
      <c r="T38" s="789" t="s">
        <v>508</v>
      </c>
      <c r="U38" s="102"/>
    </row>
    <row r="39" spans="1:21" ht="15.75">
      <c r="A39" s="103"/>
      <c r="B39" s="73"/>
      <c r="C39" s="73"/>
      <c r="D39" s="73"/>
      <c r="E39" s="104"/>
      <c r="F39" s="104"/>
      <c r="Q39" s="17"/>
      <c r="R39" s="17"/>
      <c r="S39" s="17"/>
      <c r="T39" s="792"/>
      <c r="U39" s="94"/>
    </row>
    <row r="40" spans="1:21" ht="15.75">
      <c r="A40" s="89">
        <f>+A33+1</f>
        <v>17</v>
      </c>
      <c r="B40" s="72"/>
      <c r="C40" s="449" t="s">
        <v>57</v>
      </c>
      <c r="E40" s="90" t="s">
        <v>540</v>
      </c>
      <c r="F40" s="135">
        <v>105</v>
      </c>
      <c r="G40" s="72" t="s">
        <v>533</v>
      </c>
      <c r="Q40" s="17"/>
      <c r="R40" s="745">
        <v>42369</v>
      </c>
      <c r="S40" s="745">
        <v>42369</v>
      </c>
      <c r="T40" s="41">
        <f>+SUM(R40:S40)/2</f>
        <v>42369</v>
      </c>
      <c r="U40" s="94"/>
    </row>
    <row r="41" spans="1:21" ht="16.5" thickBot="1">
      <c r="A41" s="105"/>
      <c r="B41" s="98"/>
      <c r="C41" s="95"/>
      <c r="D41" s="97"/>
      <c r="E41" s="96"/>
      <c r="F41" s="96"/>
      <c r="G41" s="21"/>
      <c r="H41" s="21"/>
      <c r="I41" s="21"/>
      <c r="J41" s="97"/>
      <c r="K41" s="97"/>
      <c r="L41" s="97"/>
      <c r="M41" s="97"/>
      <c r="N41" s="97"/>
      <c r="O41" s="97"/>
      <c r="P41" s="97"/>
      <c r="Q41" s="21"/>
      <c r="R41" s="21"/>
      <c r="S41" s="21"/>
      <c r="T41" s="97"/>
      <c r="U41" s="99"/>
    </row>
    <row r="42" spans="1:21" ht="15.75">
      <c r="A42" s="72"/>
      <c r="B42" s="72"/>
      <c r="C42" s="78"/>
      <c r="E42" s="90"/>
      <c r="F42" s="90"/>
      <c r="G42" s="17"/>
      <c r="H42" s="17"/>
      <c r="I42" s="17"/>
    </row>
    <row r="43" spans="1:21" ht="15.75">
      <c r="A43" s="72"/>
      <c r="B43" s="72"/>
      <c r="C43" s="78"/>
      <c r="E43" s="90"/>
      <c r="F43" s="90"/>
      <c r="G43" s="17"/>
      <c r="H43" s="17"/>
      <c r="I43" s="17"/>
    </row>
    <row r="44" spans="1:21" ht="16.5" thickBot="1">
      <c r="A44" s="78" t="s">
        <v>50</v>
      </c>
    </row>
    <row r="45" spans="1:21" ht="32.25" thickBot="1">
      <c r="A45" s="80" t="s">
        <v>492</v>
      </c>
      <c r="B45" s="81" t="s">
        <v>493</v>
      </c>
      <c r="C45" s="81"/>
      <c r="D45" s="81"/>
      <c r="E45" s="121" t="s">
        <v>494</v>
      </c>
      <c r="F45" s="789" t="s">
        <v>495</v>
      </c>
      <c r="G45" s="82" t="s">
        <v>496</v>
      </c>
      <c r="H45" s="120" t="s">
        <v>497</v>
      </c>
      <c r="I45" s="120" t="s">
        <v>498</v>
      </c>
      <c r="J45" s="120" t="s">
        <v>499</v>
      </c>
      <c r="K45" s="120" t="s">
        <v>500</v>
      </c>
      <c r="L45" s="120" t="s">
        <v>373</v>
      </c>
      <c r="M45" s="120" t="s">
        <v>501</v>
      </c>
      <c r="N45" s="120" t="s">
        <v>502</v>
      </c>
      <c r="O45" s="120" t="s">
        <v>503</v>
      </c>
      <c r="P45" s="120" t="s">
        <v>504</v>
      </c>
      <c r="Q45" s="120" t="s">
        <v>505</v>
      </c>
      <c r="R45" s="120" t="s">
        <v>506</v>
      </c>
      <c r="S45" s="82" t="s">
        <v>507</v>
      </c>
      <c r="T45" s="791" t="s">
        <v>508</v>
      </c>
      <c r="U45" s="790"/>
    </row>
    <row r="46" spans="1:21" ht="15.75">
      <c r="A46" s="107"/>
      <c r="B46" s="108"/>
      <c r="C46" s="85"/>
      <c r="D46" s="86"/>
      <c r="E46" s="109"/>
      <c r="F46" s="109"/>
      <c r="G46" s="86"/>
      <c r="H46" s="86"/>
      <c r="I46" s="86"/>
      <c r="J46" s="86"/>
      <c r="K46" s="86"/>
      <c r="L46" s="86"/>
      <c r="M46" s="110"/>
      <c r="N46" s="110"/>
      <c r="O46" s="86"/>
      <c r="P46" s="108"/>
      <c r="Q46" s="111"/>
      <c r="R46" s="108"/>
      <c r="S46" s="111"/>
      <c r="T46" s="86"/>
      <c r="U46" s="88"/>
    </row>
    <row r="47" spans="1:21">
      <c r="A47" s="89">
        <f>+A40+1</f>
        <v>18</v>
      </c>
      <c r="B47" s="72"/>
      <c r="C47" s="71" t="s">
        <v>541</v>
      </c>
      <c r="D47" s="17"/>
      <c r="E47" s="90" t="s">
        <v>542</v>
      </c>
      <c r="F47" s="135">
        <v>165</v>
      </c>
      <c r="G47" s="745">
        <v>36713273</v>
      </c>
      <c r="H47" s="745">
        <v>44320535</v>
      </c>
      <c r="I47" s="745">
        <v>46135312</v>
      </c>
      <c r="J47" s="745">
        <v>38390990</v>
      </c>
      <c r="K47" s="745">
        <v>37909374</v>
      </c>
      <c r="L47" s="745">
        <v>41844338</v>
      </c>
      <c r="M47" s="745">
        <v>35341965</v>
      </c>
      <c r="N47" s="745">
        <v>39302133.189999998</v>
      </c>
      <c r="O47" s="745">
        <v>43234270.520000003</v>
      </c>
      <c r="P47" s="745">
        <v>39013290.609999999</v>
      </c>
      <c r="Q47" s="745">
        <v>41439231</v>
      </c>
      <c r="R47" s="745">
        <v>45360700.659999996</v>
      </c>
      <c r="S47" s="745">
        <v>37004569.539999999</v>
      </c>
      <c r="T47" s="349">
        <f>+AVERAGE(G47:S47)</f>
        <v>40462306.347692311</v>
      </c>
      <c r="U47" s="112"/>
    </row>
    <row r="48" spans="1:21">
      <c r="A48" s="89">
        <f>+A47+1</f>
        <v>19</v>
      </c>
      <c r="B48" s="72"/>
      <c r="C48" s="71" t="s">
        <v>543</v>
      </c>
      <c r="E48" s="90" t="s">
        <v>542</v>
      </c>
      <c r="F48" s="135">
        <v>165</v>
      </c>
      <c r="G48" s="753">
        <v>0</v>
      </c>
      <c r="H48" s="747">
        <v>0</v>
      </c>
      <c r="I48" s="747">
        <v>0</v>
      </c>
      <c r="J48" s="747">
        <v>0</v>
      </c>
      <c r="K48" s="747">
        <v>0</v>
      </c>
      <c r="L48" s="747">
        <v>0</v>
      </c>
      <c r="M48" s="779">
        <v>0</v>
      </c>
      <c r="N48" s="779">
        <v>803568.83</v>
      </c>
      <c r="O48" s="747">
        <v>1117741.18</v>
      </c>
      <c r="P48" s="747">
        <v>1241524.3899999999</v>
      </c>
      <c r="Q48" s="747">
        <v>995862.15</v>
      </c>
      <c r="R48" s="747">
        <v>710994.59</v>
      </c>
      <c r="S48" s="747">
        <v>426127.06</v>
      </c>
      <c r="T48" s="349">
        <f t="shared" ref="T48:T50" si="5">+AVERAGE(G48:S48)</f>
        <v>407370.63076923072</v>
      </c>
      <c r="U48" s="112"/>
    </row>
    <row r="49" spans="1:21">
      <c r="A49" s="89">
        <f>+A48+1</f>
        <v>20</v>
      </c>
      <c r="B49" s="72"/>
      <c r="C49" s="71" t="s">
        <v>544</v>
      </c>
      <c r="E49" s="90" t="s">
        <v>542</v>
      </c>
      <c r="F49" s="135">
        <v>165</v>
      </c>
      <c r="G49" s="748">
        <v>0</v>
      </c>
      <c r="H49" s="746">
        <v>0</v>
      </c>
      <c r="I49" s="746">
        <v>0</v>
      </c>
      <c r="J49" s="746">
        <v>0</v>
      </c>
      <c r="K49" s="746">
        <v>0</v>
      </c>
      <c r="L49" s="746">
        <v>0</v>
      </c>
      <c r="M49" s="749">
        <v>0</v>
      </c>
      <c r="N49" s="749">
        <v>0</v>
      </c>
      <c r="O49" s="746">
        <v>0</v>
      </c>
      <c r="P49" s="746">
        <v>0</v>
      </c>
      <c r="Q49" s="746">
        <v>0</v>
      </c>
      <c r="R49" s="746">
        <v>0</v>
      </c>
      <c r="S49" s="746">
        <v>0</v>
      </c>
      <c r="T49" s="349">
        <f t="shared" si="5"/>
        <v>0</v>
      </c>
      <c r="U49" s="112"/>
    </row>
    <row r="50" spans="1:21">
      <c r="A50" s="89">
        <f>+A49+1</f>
        <v>21</v>
      </c>
      <c r="B50" s="72"/>
      <c r="C50" s="71" t="s">
        <v>1016</v>
      </c>
      <c r="E50" s="90" t="s">
        <v>542</v>
      </c>
      <c r="F50" s="135">
        <v>165</v>
      </c>
      <c r="G50" s="822">
        <v>29325561</v>
      </c>
      <c r="H50" s="823">
        <v>28345870</v>
      </c>
      <c r="I50" s="823">
        <v>29226788</v>
      </c>
      <c r="J50" s="823">
        <v>29325561</v>
      </c>
      <c r="K50" s="823">
        <v>29971522</v>
      </c>
      <c r="L50" s="823">
        <v>29494569</v>
      </c>
      <c r="M50" s="717">
        <v>29326261</v>
      </c>
      <c r="N50" s="717">
        <v>28525687</v>
      </c>
      <c r="O50" s="182">
        <v>29326262</v>
      </c>
      <c r="P50" s="182">
        <v>29326261</v>
      </c>
      <c r="Q50" s="182">
        <v>28614366</v>
      </c>
      <c r="R50" s="182">
        <v>29326261</v>
      </c>
      <c r="S50" s="182">
        <v>27145769</v>
      </c>
      <c r="T50" s="349">
        <f t="shared" si="5"/>
        <v>29021595.230769232</v>
      </c>
      <c r="U50" s="112"/>
    </row>
    <row r="51" spans="1:21">
      <c r="A51" s="89">
        <f>+A50+1</f>
        <v>22</v>
      </c>
      <c r="B51" s="72"/>
      <c r="C51" s="71" t="s">
        <v>545</v>
      </c>
      <c r="E51" s="90"/>
      <c r="F51" s="135"/>
      <c r="G51" s="72"/>
      <c r="M51" s="38"/>
      <c r="N51" s="38"/>
      <c r="O51" s="349"/>
      <c r="P51" s="349"/>
      <c r="Q51" s="349"/>
      <c r="R51" s="349"/>
      <c r="S51" s="349"/>
      <c r="T51" s="41">
        <f>+T47+T48-T49-T50</f>
        <v>11848081.747692309</v>
      </c>
      <c r="U51" s="112"/>
    </row>
    <row r="52" spans="1:21" ht="15.75" thickBot="1">
      <c r="A52" s="105"/>
      <c r="B52" s="98"/>
      <c r="C52" s="98"/>
      <c r="D52" s="98"/>
      <c r="E52" s="98"/>
      <c r="F52" s="98"/>
      <c r="G52" s="98"/>
      <c r="H52" s="98"/>
      <c r="I52" s="98"/>
      <c r="J52" s="98"/>
      <c r="K52" s="98"/>
      <c r="L52" s="98"/>
      <c r="M52" s="98"/>
      <c r="N52" s="98"/>
      <c r="O52" s="98"/>
      <c r="P52" s="98"/>
      <c r="Q52" s="98"/>
      <c r="R52" s="98" t="s">
        <v>144</v>
      </c>
      <c r="S52" s="97"/>
      <c r="T52" s="97"/>
      <c r="U52" s="99"/>
    </row>
    <row r="53" spans="1:21">
      <c r="A53" s="72"/>
      <c r="B53" s="72"/>
      <c r="C53" s="72"/>
      <c r="D53" s="72"/>
      <c r="E53" s="72"/>
      <c r="F53" s="72"/>
      <c r="G53" s="72"/>
      <c r="H53" s="72"/>
      <c r="I53" s="72"/>
      <c r="J53" s="72"/>
      <c r="K53" s="72"/>
      <c r="L53" s="72"/>
      <c r="M53" s="72"/>
      <c r="N53" s="72"/>
      <c r="O53" s="72"/>
      <c r="P53" s="72"/>
      <c r="Q53" s="72"/>
      <c r="R53" s="72"/>
    </row>
    <row r="54" spans="1:21">
      <c r="A54" s="72"/>
      <c r="C54" s="90"/>
      <c r="G54" s="17"/>
      <c r="H54" s="17"/>
      <c r="I54" s="17"/>
      <c r="J54" s="17"/>
      <c r="K54" s="17"/>
      <c r="L54" s="17"/>
      <c r="M54" s="17"/>
      <c r="N54" s="17"/>
      <c r="O54" s="17"/>
      <c r="P54" s="17"/>
      <c r="Q54" s="17"/>
      <c r="R54" s="17"/>
      <c r="S54" s="17"/>
      <c r="T54" s="17"/>
    </row>
    <row r="55" spans="1:21" ht="16.5" thickBot="1">
      <c r="A55" s="78" t="s">
        <v>53</v>
      </c>
      <c r="G55" s="100"/>
      <c r="H55" s="895"/>
      <c r="I55" s="895"/>
      <c r="J55" s="895"/>
      <c r="K55" s="895"/>
      <c r="L55" s="895"/>
      <c r="M55" s="895"/>
      <c r="N55" s="895"/>
      <c r="O55" s="895"/>
      <c r="P55" s="895"/>
      <c r="Q55" s="895"/>
      <c r="R55" s="895"/>
      <c r="S55" s="895"/>
    </row>
    <row r="56" spans="1:21" ht="32.25" thickBot="1">
      <c r="A56" s="80" t="s">
        <v>492</v>
      </c>
      <c r="B56" s="81" t="s">
        <v>493</v>
      </c>
      <c r="C56" s="81"/>
      <c r="D56" s="81"/>
      <c r="E56" s="83" t="s">
        <v>494</v>
      </c>
      <c r="F56" s="789" t="s">
        <v>495</v>
      </c>
      <c r="G56" s="82" t="s">
        <v>496</v>
      </c>
      <c r="H56" s="82" t="s">
        <v>497</v>
      </c>
      <c r="I56" s="82" t="s">
        <v>498</v>
      </c>
      <c r="J56" s="82" t="s">
        <v>499</v>
      </c>
      <c r="K56" s="82" t="s">
        <v>500</v>
      </c>
      <c r="L56" s="82" t="s">
        <v>373</v>
      </c>
      <c r="M56" s="82" t="s">
        <v>501</v>
      </c>
      <c r="N56" s="82" t="s">
        <v>502</v>
      </c>
      <c r="O56" s="82" t="s">
        <v>503</v>
      </c>
      <c r="P56" s="82" t="s">
        <v>504</v>
      </c>
      <c r="Q56" s="82" t="s">
        <v>505</v>
      </c>
      <c r="R56" s="82" t="s">
        <v>506</v>
      </c>
      <c r="S56" s="82" t="s">
        <v>507</v>
      </c>
      <c r="T56" s="789" t="s">
        <v>508</v>
      </c>
      <c r="U56" s="790"/>
    </row>
    <row r="57" spans="1:21">
      <c r="A57" s="89"/>
      <c r="C57" s="90"/>
      <c r="E57" s="91"/>
      <c r="F57" s="91"/>
      <c r="R57" s="17"/>
      <c r="S57" s="12"/>
      <c r="T57" s="12"/>
      <c r="U57" s="94"/>
    </row>
    <row r="58" spans="1:21">
      <c r="A58" s="89"/>
      <c r="C58" s="90"/>
      <c r="E58" s="91"/>
      <c r="F58" s="91"/>
      <c r="R58" s="17"/>
      <c r="S58" s="12"/>
      <c r="T58" s="12"/>
      <c r="U58" s="94"/>
    </row>
    <row r="59" spans="1:21">
      <c r="A59" s="89">
        <f>+A51+1</f>
        <v>23</v>
      </c>
      <c r="C59" s="90" t="s">
        <v>546</v>
      </c>
      <c r="E59" s="71" t="s">
        <v>547</v>
      </c>
      <c r="F59" s="135">
        <v>163</v>
      </c>
      <c r="G59" s="753">
        <v>564393</v>
      </c>
      <c r="H59" s="753">
        <v>56950</v>
      </c>
      <c r="I59" s="753">
        <v>70053</v>
      </c>
      <c r="J59" s="753">
        <v>79917</v>
      </c>
      <c r="K59" s="753">
        <v>90967</v>
      </c>
      <c r="L59" s="753">
        <v>94155</v>
      </c>
      <c r="M59" s="753">
        <v>95009</v>
      </c>
      <c r="N59" s="753">
        <v>102076</v>
      </c>
      <c r="O59" s="753">
        <v>104909</v>
      </c>
      <c r="P59" s="753">
        <v>103828</v>
      </c>
      <c r="Q59" s="753">
        <v>92878</v>
      </c>
      <c r="R59" s="753">
        <v>85982</v>
      </c>
      <c r="S59" s="753">
        <v>83336</v>
      </c>
      <c r="T59" s="349">
        <f>AVERAGE(G59:S59)</f>
        <v>124957.92307692308</v>
      </c>
      <c r="U59" s="94"/>
    </row>
    <row r="60" spans="1:21">
      <c r="A60" s="89">
        <f>+A59+1</f>
        <v>24</v>
      </c>
      <c r="C60" s="90" t="s">
        <v>548</v>
      </c>
      <c r="E60" s="71" t="s">
        <v>549</v>
      </c>
      <c r="F60" s="135">
        <v>154</v>
      </c>
      <c r="G60" s="780">
        <v>134430</v>
      </c>
      <c r="H60" s="780">
        <v>54397</v>
      </c>
      <c r="I60" s="780">
        <v>55936</v>
      </c>
      <c r="J60" s="780">
        <v>55651</v>
      </c>
      <c r="K60" s="780">
        <v>55669</v>
      </c>
      <c r="L60" s="780">
        <v>57616</v>
      </c>
      <c r="M60" s="780">
        <v>57875</v>
      </c>
      <c r="N60" s="780">
        <v>64733</v>
      </c>
      <c r="O60" s="780">
        <v>72174</v>
      </c>
      <c r="P60" s="780">
        <v>75726</v>
      </c>
      <c r="Q60" s="780">
        <v>96148</v>
      </c>
      <c r="R60" s="780">
        <v>97428</v>
      </c>
      <c r="S60" s="780">
        <v>110837</v>
      </c>
      <c r="T60" s="349">
        <f t="shared" ref="T60:T61" si="6">AVERAGE(G60:S60)</f>
        <v>76047.692307692312</v>
      </c>
      <c r="U60" s="94"/>
    </row>
    <row r="61" spans="1:21">
      <c r="A61" s="89">
        <f>+A60+1</f>
        <v>25</v>
      </c>
      <c r="C61" s="90" t="s">
        <v>56</v>
      </c>
      <c r="E61" s="71" t="s">
        <v>550</v>
      </c>
      <c r="F61" s="135">
        <v>154</v>
      </c>
      <c r="G61" s="781">
        <v>620004</v>
      </c>
      <c r="H61" s="781">
        <v>625568</v>
      </c>
      <c r="I61" s="781">
        <v>643262</v>
      </c>
      <c r="J61" s="781">
        <v>639982</v>
      </c>
      <c r="K61" s="781">
        <v>640195</v>
      </c>
      <c r="L61" s="781">
        <v>662584</v>
      </c>
      <c r="M61" s="781">
        <v>665559</v>
      </c>
      <c r="N61" s="781">
        <v>744434</v>
      </c>
      <c r="O61" s="782">
        <v>829998</v>
      </c>
      <c r="P61" s="782">
        <v>870852</v>
      </c>
      <c r="Q61" s="782">
        <v>854998</v>
      </c>
      <c r="R61" s="782">
        <v>866377</v>
      </c>
      <c r="S61" s="782">
        <v>985615</v>
      </c>
      <c r="T61" s="349">
        <f t="shared" si="6"/>
        <v>742263.69230769225</v>
      </c>
      <c r="U61" s="94"/>
    </row>
    <row r="62" spans="1:21" ht="16.5" thickBot="1">
      <c r="A62" s="105"/>
      <c r="B62" s="98"/>
      <c r="C62" s="95"/>
      <c r="D62" s="98"/>
      <c r="E62" s="96"/>
      <c r="F62" s="96"/>
      <c r="G62" s="97"/>
      <c r="H62" s="97"/>
      <c r="I62" s="117"/>
      <c r="J62" s="96"/>
      <c r="K62" s="96"/>
      <c r="L62" s="96"/>
      <c r="M62" s="96"/>
      <c r="N62" s="96"/>
      <c r="O62" s="96"/>
      <c r="P62" s="96"/>
      <c r="Q62" s="96"/>
      <c r="R62" s="96"/>
      <c r="S62" s="97"/>
      <c r="T62" s="883"/>
      <c r="U62" s="884"/>
    </row>
    <row r="63" spans="1:21" ht="15.75">
      <c r="A63" s="72"/>
      <c r="B63" s="73"/>
      <c r="C63" s="90"/>
      <c r="G63" s="17"/>
      <c r="H63" s="17"/>
      <c r="I63" s="17"/>
      <c r="J63" s="17"/>
      <c r="K63" s="17"/>
      <c r="L63" s="17"/>
      <c r="M63" s="17"/>
      <c r="N63" s="17"/>
      <c r="O63" s="17"/>
      <c r="P63" s="17"/>
      <c r="Q63" s="17"/>
      <c r="R63" s="17"/>
      <c r="S63" s="17"/>
      <c r="T63" s="34"/>
      <c r="U63" s="92"/>
    </row>
    <row r="64" spans="1:21" ht="15.75">
      <c r="A64" s="72"/>
      <c r="B64" s="73"/>
      <c r="C64" s="90"/>
      <c r="G64" s="17"/>
      <c r="H64" s="17"/>
      <c r="I64" s="17"/>
      <c r="J64" s="17"/>
      <c r="K64" s="17"/>
      <c r="L64" s="17"/>
      <c r="M64" s="17"/>
      <c r="N64" s="17"/>
      <c r="O64" s="17"/>
      <c r="P64" s="17"/>
      <c r="Q64" s="17"/>
      <c r="R64" s="17"/>
      <c r="S64" s="17"/>
      <c r="T64" s="34"/>
      <c r="U64" s="92"/>
    </row>
    <row r="65" spans="1:21" ht="16.5" thickBot="1">
      <c r="A65" s="78" t="s">
        <v>551</v>
      </c>
      <c r="G65" s="100"/>
    </row>
    <row r="66" spans="1:21" ht="32.25" thickBot="1">
      <c r="A66" s="80" t="s">
        <v>492</v>
      </c>
      <c r="B66" s="81" t="s">
        <v>493</v>
      </c>
      <c r="C66" s="81"/>
      <c r="D66" s="81"/>
      <c r="E66" s="83" t="s">
        <v>494</v>
      </c>
      <c r="F66" s="789" t="s">
        <v>495</v>
      </c>
      <c r="G66" s="101"/>
      <c r="H66" s="101"/>
      <c r="I66" s="101"/>
      <c r="J66" s="101"/>
      <c r="K66" s="101"/>
      <c r="L66" s="101"/>
      <c r="M66" s="101"/>
      <c r="N66" s="101"/>
      <c r="O66" s="101"/>
      <c r="P66" s="101"/>
      <c r="Q66" s="101"/>
      <c r="R66" s="101"/>
      <c r="S66" s="82" t="s">
        <v>530</v>
      </c>
      <c r="T66" s="664"/>
      <c r="U66" s="102"/>
    </row>
    <row r="67" spans="1:21">
      <c r="A67" s="89">
        <f>+A61+1</f>
        <v>26</v>
      </c>
      <c r="C67" s="90" t="s">
        <v>78</v>
      </c>
      <c r="E67" s="91" t="s">
        <v>552</v>
      </c>
      <c r="F67" s="492" t="s">
        <v>553</v>
      </c>
      <c r="G67" s="72"/>
      <c r="S67" s="182">
        <v>91487312.482381985</v>
      </c>
      <c r="U67" s="94"/>
    </row>
    <row r="68" spans="1:21">
      <c r="A68" s="89">
        <f>+A67+1</f>
        <v>27</v>
      </c>
      <c r="C68" s="90" t="s">
        <v>554</v>
      </c>
      <c r="E68" s="71" t="s">
        <v>555</v>
      </c>
      <c r="F68" s="135">
        <v>565</v>
      </c>
      <c r="G68" s="72"/>
      <c r="S68" s="182">
        <v>69342584.367133528</v>
      </c>
      <c r="U68" s="94"/>
    </row>
    <row r="69" spans="1:21">
      <c r="A69" s="89">
        <f>+A68+1</f>
        <v>28</v>
      </c>
      <c r="C69" s="90" t="s">
        <v>556</v>
      </c>
      <c r="E69" s="71" t="s">
        <v>557</v>
      </c>
      <c r="F69" s="135">
        <v>561.4</v>
      </c>
      <c r="G69" s="72"/>
      <c r="S69" s="182">
        <v>8956671.6537875403</v>
      </c>
      <c r="U69" s="94"/>
    </row>
    <row r="70" spans="1:21">
      <c r="A70" s="89">
        <f>+A69+1</f>
        <v>29</v>
      </c>
      <c r="C70" s="90" t="s">
        <v>558</v>
      </c>
      <c r="F70" s="135"/>
      <c r="S70" s="349">
        <f>SUM(S68:S69)</f>
        <v>78299256.020921066</v>
      </c>
      <c r="U70" s="94"/>
    </row>
    <row r="71" spans="1:21" ht="15.75" thickBot="1">
      <c r="A71" s="105"/>
      <c r="B71" s="97"/>
      <c r="C71" s="96"/>
      <c r="D71" s="97"/>
      <c r="E71" s="97"/>
      <c r="F71" s="97"/>
      <c r="G71" s="21"/>
      <c r="H71" s="21"/>
      <c r="I71" s="21"/>
      <c r="J71" s="21"/>
      <c r="K71" s="21"/>
      <c r="L71" s="21"/>
      <c r="M71" s="21"/>
      <c r="N71" s="21"/>
      <c r="O71" s="21"/>
      <c r="P71" s="21"/>
      <c r="Q71" s="21"/>
      <c r="R71" s="21"/>
      <c r="S71" s="21"/>
      <c r="T71" s="21"/>
      <c r="U71" s="99"/>
    </row>
    <row r="72" spans="1:21">
      <c r="A72" s="72"/>
      <c r="C72" s="90"/>
      <c r="G72" s="17"/>
      <c r="H72" s="17"/>
      <c r="I72" s="17"/>
      <c r="J72" s="17"/>
      <c r="K72" s="17"/>
      <c r="L72" s="17"/>
      <c r="M72" s="17"/>
      <c r="N72" s="17"/>
      <c r="O72" s="17"/>
      <c r="P72" s="17"/>
      <c r="Q72" s="17"/>
      <c r="R72" s="17"/>
      <c r="S72" s="17"/>
      <c r="T72" s="17"/>
    </row>
    <row r="73" spans="1:21">
      <c r="A73" s="72"/>
      <c r="C73" s="90"/>
      <c r="G73" s="17"/>
      <c r="H73" s="17"/>
      <c r="I73" s="17"/>
      <c r="J73" s="17"/>
      <c r="K73" s="17"/>
      <c r="L73" s="17"/>
      <c r="M73" s="17"/>
      <c r="N73" s="17"/>
      <c r="O73" s="17"/>
      <c r="P73" s="17"/>
      <c r="Q73" s="17"/>
      <c r="R73" s="17"/>
      <c r="S73" s="17"/>
      <c r="T73" s="17"/>
    </row>
    <row r="74" spans="1:21" ht="16.5" thickBot="1">
      <c r="A74" s="78" t="s">
        <v>559</v>
      </c>
      <c r="G74" s="100"/>
      <c r="H74" s="17"/>
      <c r="I74" s="17"/>
      <c r="J74" s="17"/>
      <c r="K74" s="17"/>
      <c r="L74" s="17"/>
      <c r="M74" s="17"/>
      <c r="N74" s="17"/>
      <c r="O74" s="17"/>
      <c r="P74" s="17"/>
      <c r="Q74" s="17"/>
      <c r="R74" s="17"/>
      <c r="S74" s="17"/>
      <c r="T74" s="34"/>
      <c r="U74" s="92"/>
    </row>
    <row r="75" spans="1:21" ht="32.25" thickBot="1">
      <c r="A75" s="80" t="s">
        <v>492</v>
      </c>
      <c r="B75" s="81" t="s">
        <v>493</v>
      </c>
      <c r="C75" s="81"/>
      <c r="D75" s="81"/>
      <c r="E75" s="83" t="s">
        <v>494</v>
      </c>
      <c r="F75" s="789" t="s">
        <v>495</v>
      </c>
      <c r="G75" s="101"/>
      <c r="H75" s="39"/>
      <c r="I75" s="39"/>
      <c r="J75" s="39"/>
      <c r="K75" s="39"/>
      <c r="L75" s="39"/>
      <c r="M75" s="39"/>
      <c r="N75" s="39"/>
      <c r="O75" s="39"/>
      <c r="P75" s="39"/>
      <c r="Q75" s="39"/>
      <c r="R75" s="39"/>
      <c r="S75" s="82" t="s">
        <v>530</v>
      </c>
      <c r="T75" s="664"/>
      <c r="U75" s="790"/>
    </row>
    <row r="76" spans="1:21">
      <c r="A76" s="89"/>
      <c r="C76" s="90"/>
      <c r="H76" s="17"/>
      <c r="I76" s="17"/>
      <c r="J76" s="17"/>
      <c r="K76" s="17"/>
      <c r="L76" s="17"/>
      <c r="M76" s="17"/>
      <c r="N76" s="17"/>
      <c r="O76" s="17"/>
      <c r="P76" s="17"/>
      <c r="Q76" s="17"/>
      <c r="R76" s="17"/>
      <c r="U76" s="122"/>
    </row>
    <row r="77" spans="1:21" ht="15.75">
      <c r="A77" s="89">
        <f>+A70+1</f>
        <v>30</v>
      </c>
      <c r="B77" s="78"/>
      <c r="C77" s="90" t="s">
        <v>560</v>
      </c>
      <c r="E77" s="71" t="s">
        <v>561</v>
      </c>
      <c r="F77" s="135">
        <v>924</v>
      </c>
      <c r="G77" s="72"/>
      <c r="H77" s="17"/>
      <c r="I77" s="17"/>
      <c r="J77" s="17"/>
      <c r="K77" s="17"/>
      <c r="L77" s="17"/>
      <c r="M77" s="17"/>
      <c r="N77" s="17"/>
      <c r="O77" s="17"/>
      <c r="P77" s="17"/>
      <c r="Q77" s="17"/>
      <c r="R77" s="17"/>
      <c r="S77" s="745">
        <v>4829356.9974765982</v>
      </c>
      <c r="U77" s="122"/>
    </row>
    <row r="78" spans="1:21" ht="16.5" thickBot="1">
      <c r="A78" s="105"/>
      <c r="B78" s="114"/>
      <c r="C78" s="96"/>
      <c r="D78" s="97"/>
      <c r="E78" s="97"/>
      <c r="F78" s="97"/>
      <c r="G78" s="21"/>
      <c r="H78" s="21"/>
      <c r="I78" s="21"/>
      <c r="J78" s="21"/>
      <c r="K78" s="21"/>
      <c r="L78" s="21"/>
      <c r="M78" s="21"/>
      <c r="N78" s="21"/>
      <c r="O78" s="21"/>
      <c r="P78" s="21"/>
      <c r="Q78" s="21"/>
      <c r="R78" s="21"/>
      <c r="S78" s="21"/>
      <c r="T78" s="40"/>
      <c r="U78" s="123"/>
    </row>
    <row r="79" spans="1:21" ht="15.75">
      <c r="A79" s="72"/>
      <c r="B79" s="72"/>
      <c r="C79" s="78"/>
      <c r="D79" s="72"/>
      <c r="E79" s="90"/>
      <c r="F79" s="90"/>
      <c r="I79" s="37"/>
      <c r="J79" s="90"/>
      <c r="K79" s="90"/>
      <c r="L79" s="90"/>
      <c r="M79" s="90"/>
      <c r="N79" s="90"/>
      <c r="O79" s="90"/>
      <c r="P79" s="90"/>
      <c r="Q79" s="90"/>
      <c r="R79" s="90"/>
      <c r="T79" s="135"/>
    </row>
    <row r="80" spans="1:21" ht="16.5" thickBot="1">
      <c r="A80" s="78" t="s">
        <v>562</v>
      </c>
    </row>
    <row r="81" spans="1:21" ht="32.25" thickBot="1">
      <c r="A81" s="80" t="s">
        <v>492</v>
      </c>
      <c r="B81" s="81" t="s">
        <v>493</v>
      </c>
      <c r="C81" s="81"/>
      <c r="D81" s="81"/>
      <c r="E81" s="83" t="s">
        <v>494</v>
      </c>
      <c r="F81" s="789" t="s">
        <v>495</v>
      </c>
      <c r="G81" s="82"/>
      <c r="H81" s="82"/>
      <c r="I81" s="82"/>
      <c r="J81" s="82"/>
      <c r="K81" s="82"/>
      <c r="L81" s="82"/>
      <c r="M81" s="82"/>
      <c r="N81" s="82"/>
      <c r="O81" s="82"/>
      <c r="P81" s="82"/>
      <c r="Q81" s="82"/>
      <c r="R81" s="82"/>
      <c r="S81" s="789" t="s">
        <v>530</v>
      </c>
      <c r="T81" s="887"/>
      <c r="U81" s="888"/>
    </row>
    <row r="82" spans="1:21" ht="15.75">
      <c r="A82" s="89"/>
      <c r="B82" s="78"/>
      <c r="C82" s="72"/>
      <c r="D82" s="72"/>
      <c r="E82" s="72"/>
      <c r="F82" s="72"/>
      <c r="G82" s="72"/>
      <c r="H82" s="72"/>
      <c r="I82" s="72"/>
      <c r="J82" s="72"/>
      <c r="K82" s="72"/>
      <c r="L82" s="72"/>
      <c r="M82" s="72"/>
      <c r="N82" s="72"/>
      <c r="O82" s="72"/>
      <c r="P82" s="72"/>
      <c r="Q82" s="72"/>
      <c r="R82" s="72"/>
      <c r="U82" s="94"/>
    </row>
    <row r="83" spans="1:21" s="339" customFormat="1" ht="15.75">
      <c r="A83" s="89">
        <f>+A77+1</f>
        <v>31</v>
      </c>
      <c r="B83" s="72"/>
      <c r="C83" s="90" t="s">
        <v>563</v>
      </c>
      <c r="D83" s="72"/>
      <c r="E83" s="90" t="s">
        <v>564</v>
      </c>
      <c r="F83" s="135" t="s">
        <v>565</v>
      </c>
      <c r="G83" s="72" t="s">
        <v>533</v>
      </c>
      <c r="H83" s="338"/>
      <c r="I83" s="338"/>
      <c r="J83" s="338"/>
      <c r="K83" s="338"/>
      <c r="L83" s="338"/>
      <c r="M83" s="338"/>
      <c r="N83" s="338"/>
      <c r="O83" s="338"/>
      <c r="P83" s="338"/>
      <c r="Q83" s="338" t="s">
        <v>566</v>
      </c>
      <c r="R83" s="338"/>
      <c r="S83" s="750">
        <v>67333378</v>
      </c>
      <c r="T83" s="792"/>
      <c r="U83" s="122"/>
    </row>
    <row r="84" spans="1:21">
      <c r="A84" s="89">
        <f>+A83+1</f>
        <v>32</v>
      </c>
      <c r="B84" s="72"/>
      <c r="C84" s="71" t="s">
        <v>567</v>
      </c>
      <c r="D84" s="17"/>
      <c r="E84" s="90" t="s">
        <v>568</v>
      </c>
      <c r="F84" s="135" t="s">
        <v>565</v>
      </c>
      <c r="G84" s="90"/>
      <c r="H84" s="90"/>
      <c r="I84" s="90"/>
      <c r="J84" s="90"/>
      <c r="K84" s="90"/>
      <c r="L84" s="90"/>
      <c r="M84" s="90"/>
      <c r="N84" s="90"/>
      <c r="O84" s="90"/>
      <c r="P84" s="90"/>
      <c r="Q84" s="90"/>
      <c r="R84" s="90"/>
      <c r="S84" s="839">
        <f>'13 - A&amp;G Detail'!H37</f>
        <v>6306484</v>
      </c>
      <c r="T84" s="885"/>
      <c r="U84" s="886"/>
    </row>
    <row r="85" spans="1:21" ht="15.75">
      <c r="A85" s="89">
        <f>+A84+1</f>
        <v>33</v>
      </c>
      <c r="B85" s="72"/>
      <c r="C85" s="71" t="s">
        <v>569</v>
      </c>
      <c r="D85" s="17"/>
      <c r="E85" s="90" t="s">
        <v>568</v>
      </c>
      <c r="F85" s="135" t="s">
        <v>565</v>
      </c>
      <c r="G85" s="90"/>
      <c r="H85" s="90"/>
      <c r="I85" s="90"/>
      <c r="J85" s="90"/>
      <c r="K85" s="90"/>
      <c r="L85" s="90"/>
      <c r="M85" s="90"/>
      <c r="N85" s="90"/>
      <c r="O85" s="90"/>
      <c r="P85" s="90"/>
      <c r="Q85" s="90"/>
      <c r="R85" s="90"/>
      <c r="S85" s="839">
        <f>+'13 - A&amp;G Detail'!J37</f>
        <v>60897751</v>
      </c>
      <c r="T85" s="90"/>
      <c r="U85" s="756"/>
    </row>
    <row r="86" spans="1:21" ht="15.75" thickBot="1">
      <c r="A86" s="105"/>
      <c r="B86" s="98"/>
      <c r="C86" s="98"/>
      <c r="D86" s="98"/>
      <c r="E86" s="98"/>
      <c r="F86" s="98"/>
      <c r="G86" s="98"/>
      <c r="H86" s="98"/>
      <c r="I86" s="98"/>
      <c r="J86" s="98"/>
      <c r="K86" s="98"/>
      <c r="L86" s="98"/>
      <c r="M86" s="98"/>
      <c r="N86" s="98"/>
      <c r="O86" s="98"/>
      <c r="P86" s="98"/>
      <c r="Q86" s="98"/>
      <c r="R86" s="98"/>
      <c r="S86" s="97"/>
      <c r="T86" s="97"/>
      <c r="U86" s="99"/>
    </row>
    <row r="88" spans="1:21">
      <c r="T88" s="71" t="s">
        <v>144</v>
      </c>
    </row>
    <row r="89" spans="1:21" ht="16.5" thickBot="1">
      <c r="A89" s="78" t="s">
        <v>570</v>
      </c>
    </row>
    <row r="90" spans="1:21" ht="32.25" thickBot="1">
      <c r="A90" s="80" t="s">
        <v>492</v>
      </c>
      <c r="B90" s="81" t="s">
        <v>493</v>
      </c>
      <c r="C90" s="81"/>
      <c r="D90" s="81"/>
      <c r="E90" s="83" t="s">
        <v>494</v>
      </c>
      <c r="F90" s="789" t="s">
        <v>495</v>
      </c>
      <c r="G90" s="82"/>
      <c r="H90" s="82"/>
      <c r="I90" s="82"/>
      <c r="J90" s="82"/>
      <c r="K90" s="82"/>
      <c r="L90" s="82"/>
      <c r="M90" s="82"/>
      <c r="N90" s="82"/>
      <c r="O90" s="82"/>
      <c r="P90" s="82"/>
      <c r="Q90" s="82"/>
      <c r="R90" s="82"/>
      <c r="S90" s="789" t="s">
        <v>530</v>
      </c>
      <c r="T90" s="789"/>
      <c r="U90" s="790"/>
    </row>
    <row r="91" spans="1:21" ht="15.75">
      <c r="A91" s="124"/>
      <c r="B91" s="85"/>
      <c r="C91" s="85"/>
      <c r="D91" s="85"/>
      <c r="E91" s="126"/>
      <c r="F91" s="126"/>
      <c r="G91" s="125"/>
      <c r="H91" s="125"/>
      <c r="I91" s="125"/>
      <c r="J91" s="125"/>
      <c r="K91" s="125"/>
      <c r="L91" s="125"/>
      <c r="M91" s="125"/>
      <c r="N91" s="125"/>
      <c r="O91" s="125"/>
      <c r="P91" s="125"/>
      <c r="Q91" s="125"/>
      <c r="R91" s="125"/>
      <c r="S91" s="127"/>
      <c r="T91" s="127"/>
      <c r="U91" s="128"/>
    </row>
    <row r="92" spans="1:21">
      <c r="A92" s="89">
        <f>+A85+1</f>
        <v>34</v>
      </c>
      <c r="B92" s="72"/>
      <c r="C92" s="90" t="s">
        <v>571</v>
      </c>
      <c r="D92" s="91"/>
      <c r="E92" s="90" t="s">
        <v>572</v>
      </c>
      <c r="F92" s="135">
        <v>928</v>
      </c>
      <c r="G92" s="72" t="s">
        <v>533</v>
      </c>
      <c r="H92" s="90"/>
      <c r="I92" s="90"/>
      <c r="J92" s="90"/>
      <c r="K92" s="90"/>
      <c r="L92" s="90"/>
      <c r="M92" s="90"/>
      <c r="N92" s="90"/>
      <c r="O92" s="90"/>
      <c r="P92" s="90"/>
      <c r="Q92" s="90"/>
      <c r="R92" s="90"/>
      <c r="S92" s="750">
        <v>3738415</v>
      </c>
      <c r="T92" s="353"/>
      <c r="U92" s="129"/>
    </row>
    <row r="93" spans="1:21">
      <c r="A93" s="89">
        <f>+A92+1</f>
        <v>35</v>
      </c>
      <c r="B93" s="72"/>
      <c r="C93" s="90" t="s">
        <v>573</v>
      </c>
      <c r="D93" s="72"/>
      <c r="E93" s="90" t="s">
        <v>574</v>
      </c>
      <c r="F93" s="135">
        <v>928</v>
      </c>
      <c r="G93" s="72"/>
      <c r="H93" s="90"/>
      <c r="I93" s="90"/>
      <c r="J93" s="90"/>
      <c r="K93" s="90"/>
      <c r="L93" s="90"/>
      <c r="M93" s="90"/>
      <c r="N93" s="90"/>
      <c r="O93" s="90"/>
      <c r="P93" s="90"/>
      <c r="Q93" s="90"/>
      <c r="R93" s="90"/>
      <c r="S93" s="182">
        <v>100000</v>
      </c>
      <c r="T93" s="17"/>
      <c r="U93" s="129"/>
    </row>
    <row r="94" spans="1:21" ht="15.75" thickBot="1">
      <c r="A94" s="131"/>
      <c r="B94" s="97"/>
      <c r="C94" s="97"/>
      <c r="D94" s="97"/>
      <c r="E94" s="97"/>
      <c r="F94" s="97"/>
      <c r="G94" s="97"/>
      <c r="H94" s="97"/>
      <c r="I94" s="97"/>
      <c r="J94" s="97"/>
      <c r="K94" s="97"/>
      <c r="L94" s="97"/>
      <c r="M94" s="97"/>
      <c r="N94" s="97"/>
      <c r="O94" s="97"/>
      <c r="P94" s="97"/>
      <c r="Q94" s="97"/>
      <c r="R94" s="97"/>
      <c r="S94" s="97"/>
      <c r="T94" s="97"/>
      <c r="U94" s="99"/>
    </row>
    <row r="97" spans="1:21" ht="16.5" thickBot="1">
      <c r="A97" s="73" t="s">
        <v>575</v>
      </c>
      <c r="E97" s="90"/>
      <c r="F97" s="90"/>
    </row>
    <row r="98" spans="1:21" ht="32.25" thickBot="1">
      <c r="A98" s="80" t="s">
        <v>492</v>
      </c>
      <c r="B98" s="81" t="s">
        <v>493</v>
      </c>
      <c r="C98" s="81"/>
      <c r="D98" s="81"/>
      <c r="E98" s="83" t="s">
        <v>494</v>
      </c>
      <c r="F98" s="789" t="s">
        <v>495</v>
      </c>
      <c r="G98" s="82"/>
      <c r="H98" s="82"/>
      <c r="I98" s="82"/>
      <c r="J98" s="82"/>
      <c r="K98" s="82"/>
      <c r="L98" s="82"/>
      <c r="M98" s="82"/>
      <c r="N98" s="82"/>
      <c r="O98" s="82"/>
      <c r="P98" s="82"/>
      <c r="Q98" s="82"/>
      <c r="R98" s="82"/>
      <c r="S98" s="789" t="s">
        <v>530</v>
      </c>
      <c r="T98" s="789"/>
      <c r="U98" s="790"/>
    </row>
    <row r="99" spans="1:21" ht="15.75">
      <c r="A99" s="103"/>
      <c r="B99" s="73"/>
      <c r="C99" s="73"/>
      <c r="D99" s="73"/>
      <c r="E99" s="104"/>
      <c r="F99" s="104"/>
      <c r="G99" s="79"/>
      <c r="H99" s="79"/>
      <c r="I99" s="79"/>
      <c r="J99" s="79"/>
      <c r="K99" s="79"/>
      <c r="L99" s="79"/>
      <c r="M99" s="79"/>
      <c r="N99" s="79"/>
      <c r="O99" s="79"/>
      <c r="P99" s="79"/>
      <c r="Q99" s="79"/>
      <c r="R99" s="79"/>
      <c r="S99" s="792"/>
      <c r="T99" s="792"/>
      <c r="U99" s="756"/>
    </row>
    <row r="100" spans="1:21">
      <c r="A100" s="89">
        <f>+A93+1</f>
        <v>36</v>
      </c>
      <c r="B100" s="72"/>
      <c r="C100" s="90" t="s">
        <v>576</v>
      </c>
      <c r="E100" s="71" t="s">
        <v>577</v>
      </c>
      <c r="F100" s="71" t="s">
        <v>578</v>
      </c>
      <c r="G100" s="72" t="s">
        <v>533</v>
      </c>
      <c r="H100" s="90"/>
      <c r="I100" s="90"/>
      <c r="J100" s="90"/>
      <c r="K100" s="90"/>
      <c r="L100" s="90"/>
      <c r="M100" s="90"/>
      <c r="N100" s="90"/>
      <c r="O100" s="90"/>
      <c r="P100" s="90"/>
      <c r="Q100" s="90"/>
      <c r="R100" s="90"/>
      <c r="S100" s="751">
        <v>0</v>
      </c>
      <c r="T100" s="353"/>
      <c r="U100" s="132"/>
    </row>
    <row r="101" spans="1:21">
      <c r="A101" s="89">
        <f>+A100+1</f>
        <v>37</v>
      </c>
      <c r="B101" s="72"/>
      <c r="C101" s="90" t="s">
        <v>579</v>
      </c>
      <c r="E101" s="71" t="s">
        <v>580</v>
      </c>
      <c r="F101" s="71" t="s">
        <v>578</v>
      </c>
      <c r="G101" s="72" t="s">
        <v>533</v>
      </c>
      <c r="H101" s="90"/>
      <c r="I101" s="90"/>
      <c r="J101" s="90"/>
      <c r="K101" s="90"/>
      <c r="L101" s="90"/>
      <c r="M101" s="90"/>
      <c r="N101" s="90"/>
      <c r="O101" s="90"/>
      <c r="P101" s="90"/>
      <c r="Q101" s="90"/>
      <c r="R101" s="90"/>
      <c r="S101" s="336">
        <v>0</v>
      </c>
      <c r="T101" s="353"/>
      <c r="U101" s="132"/>
    </row>
    <row r="102" spans="1:21" ht="15.75" thickBot="1">
      <c r="A102" s="105"/>
      <c r="B102" s="98"/>
      <c r="C102" s="96"/>
      <c r="D102" s="97"/>
      <c r="E102" s="97"/>
      <c r="F102" s="97"/>
      <c r="G102" s="96"/>
      <c r="H102" s="96"/>
      <c r="I102" s="96"/>
      <c r="J102" s="96"/>
      <c r="K102" s="96"/>
      <c r="L102" s="96"/>
      <c r="M102" s="96"/>
      <c r="N102" s="96"/>
      <c r="O102" s="96"/>
      <c r="P102" s="96"/>
      <c r="Q102" s="96"/>
      <c r="R102" s="96"/>
      <c r="S102" s="21"/>
      <c r="T102" s="133"/>
      <c r="U102" s="134"/>
    </row>
    <row r="103" spans="1:21">
      <c r="U103" s="94"/>
    </row>
    <row r="104" spans="1:21" ht="18">
      <c r="U104" s="628"/>
    </row>
    <row r="105" spans="1:21" ht="16.5" thickBot="1">
      <c r="A105" s="78" t="s">
        <v>581</v>
      </c>
      <c r="G105" s="100"/>
    </row>
    <row r="106" spans="1:21" ht="32.25" thickBot="1">
      <c r="A106" s="80" t="s">
        <v>492</v>
      </c>
      <c r="B106" s="81" t="s">
        <v>493</v>
      </c>
      <c r="C106" s="81"/>
      <c r="D106" s="81"/>
      <c r="E106" s="83" t="s">
        <v>494</v>
      </c>
      <c r="F106" s="789" t="s">
        <v>495</v>
      </c>
      <c r="G106" s="101"/>
      <c r="H106" s="101"/>
      <c r="I106" s="101"/>
      <c r="J106" s="101"/>
      <c r="K106" s="101"/>
      <c r="L106" s="101"/>
      <c r="M106" s="101"/>
      <c r="N106" s="101"/>
      <c r="O106" s="101"/>
      <c r="P106" s="101"/>
      <c r="Q106" s="101"/>
      <c r="R106" s="101"/>
      <c r="S106" s="82" t="s">
        <v>530</v>
      </c>
      <c r="T106" s="82"/>
      <c r="U106" s="102"/>
    </row>
    <row r="107" spans="1:21">
      <c r="A107" s="84"/>
      <c r="B107" s="86"/>
      <c r="C107" s="109"/>
      <c r="D107" s="86"/>
      <c r="E107" s="86"/>
      <c r="F107" s="86"/>
      <c r="G107" s="86"/>
      <c r="H107" s="86"/>
      <c r="I107" s="86"/>
      <c r="J107" s="86"/>
      <c r="K107" s="86"/>
      <c r="L107" s="86"/>
      <c r="M107" s="86"/>
      <c r="N107" s="86"/>
      <c r="O107" s="86"/>
      <c r="P107" s="86"/>
      <c r="Q107" s="86"/>
      <c r="R107" s="86"/>
      <c r="S107" s="86"/>
      <c r="T107" s="86"/>
      <c r="U107" s="88"/>
    </row>
    <row r="108" spans="1:21" ht="15.75">
      <c r="A108" s="89">
        <f>+A101+1</f>
        <v>38</v>
      </c>
      <c r="B108" s="78"/>
      <c r="C108" s="90" t="s">
        <v>582</v>
      </c>
      <c r="E108" s="71" t="s">
        <v>583</v>
      </c>
      <c r="F108" s="135">
        <v>403</v>
      </c>
      <c r="G108" s="72"/>
      <c r="S108" s="840">
        <v>12312515.803168779</v>
      </c>
      <c r="U108" s="94"/>
    </row>
    <row r="109" spans="1:21" ht="15.75">
      <c r="A109" s="89">
        <f>+A108+1</f>
        <v>39</v>
      </c>
      <c r="B109" s="78"/>
      <c r="C109" s="90" t="s">
        <v>584</v>
      </c>
      <c r="E109" s="71" t="s">
        <v>585</v>
      </c>
      <c r="F109" s="135">
        <v>403</v>
      </c>
      <c r="S109" s="840">
        <v>1379988.1187838376</v>
      </c>
      <c r="U109" s="314"/>
    </row>
    <row r="110" spans="1:21">
      <c r="A110" s="89">
        <f>+A109+1</f>
        <v>40</v>
      </c>
      <c r="B110" s="135"/>
      <c r="C110" s="90" t="s">
        <v>586</v>
      </c>
      <c r="E110" s="71" t="s">
        <v>587</v>
      </c>
      <c r="F110" s="135">
        <v>404</v>
      </c>
      <c r="S110" s="840">
        <v>4743652.9778962573</v>
      </c>
      <c r="U110" s="94"/>
    </row>
    <row r="111" spans="1:21" ht="15.75" thickBot="1">
      <c r="A111" s="105"/>
      <c r="B111" s="136"/>
      <c r="C111" s="96"/>
      <c r="D111" s="97"/>
      <c r="E111" s="97"/>
      <c r="F111" s="97"/>
      <c r="G111" s="97"/>
      <c r="H111" s="97"/>
      <c r="I111" s="97"/>
      <c r="J111" s="97"/>
      <c r="K111" s="97"/>
      <c r="L111" s="97"/>
      <c r="M111" s="97"/>
      <c r="N111" s="97"/>
      <c r="O111" s="97"/>
      <c r="P111" s="97"/>
      <c r="Q111" s="97"/>
      <c r="R111" s="97"/>
      <c r="S111" s="97"/>
      <c r="T111" s="97"/>
      <c r="U111" s="99"/>
    </row>
    <row r="112" spans="1:21">
      <c r="A112" s="72"/>
      <c r="B112" s="135"/>
      <c r="C112" s="90"/>
      <c r="S112" s="92"/>
      <c r="T112" s="92"/>
      <c r="U112" s="92"/>
    </row>
    <row r="113" spans="1:21">
      <c r="A113" s="72"/>
      <c r="B113" s="135"/>
      <c r="C113" s="90"/>
      <c r="S113" s="92"/>
      <c r="T113" s="92"/>
      <c r="U113" s="92"/>
    </row>
    <row r="114" spans="1:21" ht="16.5" thickBot="1">
      <c r="A114" s="78" t="s">
        <v>588</v>
      </c>
    </row>
    <row r="115" spans="1:21" ht="32.25" thickBot="1">
      <c r="A115" s="80" t="s">
        <v>492</v>
      </c>
      <c r="B115" s="81" t="s">
        <v>493</v>
      </c>
      <c r="C115" s="81"/>
      <c r="D115" s="81"/>
      <c r="E115" s="83" t="s">
        <v>494</v>
      </c>
      <c r="F115" s="789" t="s">
        <v>495</v>
      </c>
      <c r="G115" s="82"/>
      <c r="H115" s="82"/>
      <c r="I115" s="82"/>
      <c r="J115" s="82"/>
      <c r="K115" s="82"/>
      <c r="L115" s="82"/>
      <c r="M115" s="82"/>
      <c r="N115" s="82"/>
      <c r="O115" s="82"/>
      <c r="P115" s="82"/>
      <c r="Q115" s="82"/>
      <c r="R115" s="82"/>
      <c r="S115" s="789" t="s">
        <v>530</v>
      </c>
      <c r="T115" s="789" t="s">
        <v>589</v>
      </c>
      <c r="U115" s="790" t="s">
        <v>590</v>
      </c>
    </row>
    <row r="116" spans="1:21" ht="15.75">
      <c r="A116" s="103"/>
      <c r="B116" s="73"/>
      <c r="C116" s="73"/>
      <c r="D116" s="73"/>
      <c r="E116" s="104"/>
      <c r="F116" s="104"/>
      <c r="G116" s="79"/>
      <c r="H116" s="79"/>
      <c r="I116" s="79"/>
      <c r="J116" s="79"/>
      <c r="K116" s="79"/>
      <c r="L116" s="79"/>
      <c r="M116" s="79"/>
      <c r="N116" s="79"/>
      <c r="O116" s="79"/>
      <c r="P116" s="79"/>
      <c r="Q116" s="79"/>
      <c r="R116" s="79"/>
      <c r="S116" s="792"/>
      <c r="T116" s="792"/>
      <c r="U116" s="756"/>
    </row>
    <row r="117" spans="1:21">
      <c r="A117" s="89">
        <f>+A110+1</f>
        <v>41</v>
      </c>
      <c r="B117" s="72"/>
      <c r="C117" s="90" t="s">
        <v>591</v>
      </c>
      <c r="D117" s="72"/>
      <c r="E117" s="90" t="s">
        <v>592</v>
      </c>
      <c r="F117" s="135">
        <v>408.1</v>
      </c>
      <c r="G117" s="72"/>
      <c r="H117" s="90"/>
      <c r="I117" s="90"/>
      <c r="J117" s="90"/>
      <c r="K117" s="90"/>
      <c r="L117" s="90"/>
      <c r="M117" s="90"/>
      <c r="N117" s="90"/>
      <c r="P117" s="90"/>
      <c r="Q117" s="137"/>
      <c r="R117" s="17"/>
      <c r="S117" s="182">
        <v>21829767.649000291</v>
      </c>
      <c r="T117" s="841">
        <f>S117</f>
        <v>21829767.649000291</v>
      </c>
      <c r="U117" s="676">
        <v>0</v>
      </c>
    </row>
    <row r="118" spans="1:21">
      <c r="A118" s="89">
        <f>+A117+1</f>
        <v>42</v>
      </c>
      <c r="B118" s="72"/>
      <c r="C118" s="90" t="s">
        <v>593</v>
      </c>
      <c r="D118" s="72"/>
      <c r="E118" s="90" t="s">
        <v>594</v>
      </c>
      <c r="F118" s="135">
        <v>408.1</v>
      </c>
      <c r="G118" s="90"/>
      <c r="H118" s="90"/>
      <c r="I118" s="90"/>
      <c r="J118" s="90"/>
      <c r="K118" s="90"/>
      <c r="L118" s="90"/>
      <c r="M118" s="90"/>
      <c r="N118" s="90"/>
      <c r="P118" s="90"/>
      <c r="Q118" s="137"/>
      <c r="R118" s="17"/>
      <c r="S118" s="182">
        <v>3613759</v>
      </c>
      <c r="T118" s="718"/>
      <c r="U118" s="676"/>
    </row>
    <row r="119" spans="1:21">
      <c r="A119" s="89">
        <f>+A118+1</f>
        <v>43</v>
      </c>
      <c r="B119" s="72"/>
      <c r="C119" s="90" t="s">
        <v>447</v>
      </c>
      <c r="D119" s="72"/>
      <c r="E119" s="90" t="s">
        <v>595</v>
      </c>
      <c r="F119" s="135">
        <v>408.1</v>
      </c>
      <c r="G119" s="90"/>
      <c r="H119" s="90"/>
      <c r="I119" s="90"/>
      <c r="J119" s="90"/>
      <c r="K119" s="90"/>
      <c r="L119" s="90"/>
      <c r="M119" s="90"/>
      <c r="N119" s="90"/>
      <c r="P119" s="90"/>
      <c r="Q119" s="137"/>
      <c r="R119" s="17"/>
      <c r="S119" s="750">
        <v>0</v>
      </c>
      <c r="T119" s="677"/>
      <c r="U119" s="676"/>
    </row>
    <row r="120" spans="1:21" ht="15.75" thickBot="1">
      <c r="A120" s="131"/>
      <c r="B120" s="97"/>
      <c r="C120" s="97"/>
      <c r="D120" s="97"/>
      <c r="E120" s="97"/>
      <c r="F120" s="97"/>
      <c r="G120" s="97"/>
      <c r="H120" s="97"/>
      <c r="I120" s="97"/>
      <c r="J120" s="97"/>
      <c r="K120" s="97"/>
      <c r="L120" s="97"/>
      <c r="M120" s="97"/>
      <c r="N120" s="97"/>
      <c r="O120" s="97"/>
      <c r="P120" s="97"/>
      <c r="Q120" s="97"/>
      <c r="R120" s="97"/>
      <c r="S120" s="97"/>
      <c r="T120" s="97"/>
      <c r="U120" s="99"/>
    </row>
    <row r="123" spans="1:21" ht="16.5" thickBot="1">
      <c r="A123" s="78" t="s">
        <v>596</v>
      </c>
    </row>
    <row r="124" spans="1:21" ht="32.25" thickBot="1">
      <c r="A124" s="80" t="s">
        <v>492</v>
      </c>
      <c r="B124" s="81" t="s">
        <v>493</v>
      </c>
      <c r="C124" s="81"/>
      <c r="D124" s="81"/>
      <c r="E124" s="83" t="s">
        <v>494</v>
      </c>
      <c r="F124" s="789" t="s">
        <v>495</v>
      </c>
      <c r="G124" s="101"/>
      <c r="H124" s="101"/>
      <c r="I124" s="101"/>
      <c r="J124" s="82"/>
      <c r="K124" s="82"/>
      <c r="L124" s="82"/>
      <c r="M124" s="82"/>
      <c r="N124" s="82"/>
      <c r="O124" s="82"/>
      <c r="P124" s="82"/>
      <c r="Q124" s="82"/>
      <c r="R124" s="789" t="s">
        <v>597</v>
      </c>
      <c r="S124" s="106" t="s">
        <v>530</v>
      </c>
      <c r="T124" s="789" t="s">
        <v>508</v>
      </c>
      <c r="U124" s="790"/>
    </row>
    <row r="125" spans="1:21" ht="15.75">
      <c r="A125" s="107"/>
      <c r="B125" s="108"/>
      <c r="C125" s="86"/>
      <c r="D125" s="86"/>
      <c r="E125" s="109"/>
      <c r="F125" s="109"/>
      <c r="G125" s="86"/>
      <c r="H125" s="86"/>
      <c r="I125" s="86"/>
      <c r="J125" s="115"/>
      <c r="K125" s="110"/>
      <c r="L125" s="86"/>
      <c r="M125" s="110"/>
      <c r="N125" s="110"/>
      <c r="O125" s="110"/>
      <c r="P125" s="148"/>
      <c r="Q125" s="148"/>
      <c r="R125" s="86"/>
      <c r="S125" s="86"/>
      <c r="T125" s="86"/>
      <c r="U125" s="88"/>
    </row>
    <row r="126" spans="1:21" ht="15.75">
      <c r="A126" s="89">
        <f>+A119+1</f>
        <v>44</v>
      </c>
      <c r="B126" s="78"/>
      <c r="C126" s="71" t="s">
        <v>598</v>
      </c>
      <c r="E126" s="90" t="s">
        <v>599</v>
      </c>
      <c r="F126" s="135">
        <v>427</v>
      </c>
      <c r="G126" s="72"/>
      <c r="J126" s="92"/>
      <c r="K126" s="354"/>
      <c r="M126" s="354"/>
      <c r="N126" s="354"/>
      <c r="O126" s="354"/>
      <c r="P126" s="349"/>
      <c r="Q126" s="349"/>
      <c r="R126" s="719"/>
      <c r="S126" s="842">
        <v>30628341.260006893</v>
      </c>
      <c r="T126" s="720"/>
      <c r="U126" s="94"/>
    </row>
    <row r="127" spans="1:21" ht="15.75">
      <c r="A127" s="89">
        <f t="shared" ref="A127:A134" si="7">+A126+1</f>
        <v>45</v>
      </c>
      <c r="B127" s="78"/>
      <c r="C127" s="71" t="s">
        <v>600</v>
      </c>
      <c r="E127" s="90" t="s">
        <v>601</v>
      </c>
      <c r="F127" s="135">
        <v>428</v>
      </c>
      <c r="J127" s="92"/>
      <c r="K127" s="354"/>
      <c r="M127" s="354"/>
      <c r="N127" s="354"/>
      <c r="O127" s="354"/>
      <c r="P127" s="349"/>
      <c r="Q127" s="349"/>
      <c r="R127" s="719"/>
      <c r="S127" s="842">
        <v>978041.62666666647</v>
      </c>
      <c r="T127" s="720"/>
      <c r="U127" s="94"/>
    </row>
    <row r="128" spans="1:21" ht="15.75">
      <c r="A128" s="89">
        <f t="shared" si="7"/>
        <v>46</v>
      </c>
      <c r="B128" s="78"/>
      <c r="C128" s="71" t="s">
        <v>602</v>
      </c>
      <c r="E128" s="90" t="s">
        <v>603</v>
      </c>
      <c r="F128" s="135">
        <v>428.1</v>
      </c>
      <c r="J128" s="92"/>
      <c r="K128" s="354"/>
      <c r="M128" s="354"/>
      <c r="N128" s="354"/>
      <c r="O128" s="354"/>
      <c r="P128" s="349"/>
      <c r="Q128" s="349"/>
      <c r="R128" s="719"/>
      <c r="S128" s="842">
        <v>987071.99999999977</v>
      </c>
      <c r="T128" s="720"/>
      <c r="U128" s="94"/>
    </row>
    <row r="129" spans="1:21" ht="15.75">
      <c r="A129" s="89">
        <f t="shared" si="7"/>
        <v>47</v>
      </c>
      <c r="B129" s="78"/>
      <c r="C129" s="71" t="s">
        <v>604</v>
      </c>
      <c r="E129" s="90" t="s">
        <v>605</v>
      </c>
      <c r="F129" s="135">
        <v>429</v>
      </c>
      <c r="J129" s="92"/>
      <c r="K129" s="354"/>
      <c r="M129" s="354"/>
      <c r="N129" s="354"/>
      <c r="O129" s="354"/>
      <c r="P129" s="349"/>
      <c r="Q129" s="349"/>
      <c r="R129" s="719"/>
      <c r="S129" s="842">
        <v>0</v>
      </c>
      <c r="T129" s="720"/>
      <c r="U129" s="94"/>
    </row>
    <row r="130" spans="1:21" ht="15.75">
      <c r="A130" s="89">
        <f t="shared" si="7"/>
        <v>48</v>
      </c>
      <c r="B130" s="78"/>
      <c r="C130" s="71" t="s">
        <v>606</v>
      </c>
      <c r="E130" s="90" t="s">
        <v>607</v>
      </c>
      <c r="F130" s="135">
        <v>429.1</v>
      </c>
      <c r="J130" s="92"/>
      <c r="K130" s="354"/>
      <c r="M130" s="354"/>
      <c r="N130" s="354"/>
      <c r="O130" s="354"/>
      <c r="P130" s="349"/>
      <c r="Q130" s="349"/>
      <c r="R130" s="719"/>
      <c r="S130" s="842">
        <v>0</v>
      </c>
      <c r="T130" s="720"/>
      <c r="U130" s="94"/>
    </row>
    <row r="131" spans="1:21" ht="15.75">
      <c r="A131" s="89">
        <f t="shared" si="7"/>
        <v>49</v>
      </c>
      <c r="B131" s="78"/>
      <c r="C131" s="71" t="s">
        <v>608</v>
      </c>
      <c r="E131" s="90" t="s">
        <v>609</v>
      </c>
      <c r="F131" s="135">
        <v>430</v>
      </c>
      <c r="J131" s="92"/>
      <c r="K131" s="354"/>
      <c r="M131" s="354"/>
      <c r="N131" s="354"/>
      <c r="O131" s="354"/>
      <c r="P131" s="349"/>
      <c r="Q131" s="349"/>
      <c r="R131" s="719"/>
      <c r="S131" s="842">
        <v>0</v>
      </c>
      <c r="T131" s="720"/>
      <c r="U131" s="94"/>
    </row>
    <row r="132" spans="1:21" ht="15.75">
      <c r="A132" s="89">
        <f>+A131+1</f>
        <v>50</v>
      </c>
      <c r="B132" s="78"/>
      <c r="C132" s="71" t="s">
        <v>610</v>
      </c>
      <c r="E132" s="90"/>
      <c r="F132" s="135"/>
      <c r="J132" s="92"/>
      <c r="K132" s="354"/>
      <c r="M132" s="354"/>
      <c r="N132" s="354"/>
      <c r="O132" s="354"/>
      <c r="P132" s="349"/>
      <c r="Q132" s="349"/>
      <c r="R132" s="719"/>
      <c r="S132" s="723">
        <f>+SUM(S126:S131)</f>
        <v>32593454.886673559</v>
      </c>
      <c r="T132" s="720"/>
      <c r="U132" s="94"/>
    </row>
    <row r="133" spans="1:21" ht="15.75">
      <c r="A133" s="89">
        <f>+A132+1</f>
        <v>51</v>
      </c>
      <c r="B133" s="78"/>
      <c r="C133" s="71" t="s">
        <v>108</v>
      </c>
      <c r="E133" s="91" t="s">
        <v>611</v>
      </c>
      <c r="F133" s="492" t="s">
        <v>612</v>
      </c>
      <c r="J133" s="92"/>
      <c r="K133" s="354"/>
      <c r="M133" s="354"/>
      <c r="N133" s="354"/>
      <c r="O133" s="354"/>
      <c r="P133" s="349"/>
      <c r="Q133" s="349"/>
      <c r="R133" s="843"/>
      <c r="S133" s="842">
        <v>0</v>
      </c>
      <c r="T133" s="720"/>
      <c r="U133" s="94"/>
    </row>
    <row r="134" spans="1:21">
      <c r="A134" s="89">
        <f t="shared" si="7"/>
        <v>52</v>
      </c>
      <c r="B134" s="72"/>
      <c r="C134" s="91" t="s">
        <v>111</v>
      </c>
      <c r="E134" s="93" t="s">
        <v>613</v>
      </c>
      <c r="F134" s="492" t="s">
        <v>614</v>
      </c>
      <c r="K134" s="116"/>
      <c r="L134" s="90"/>
      <c r="M134" s="38"/>
      <c r="N134" s="38"/>
      <c r="O134" s="38"/>
      <c r="Q134" s="38"/>
      <c r="R134" s="842">
        <v>-827275584.91509807</v>
      </c>
      <c r="S134" s="842">
        <v>-983070359.92751896</v>
      </c>
      <c r="T134" s="349">
        <f>+(S134+R134)/2</f>
        <v>-905172972.42130852</v>
      </c>
      <c r="U134" s="112"/>
    </row>
    <row r="135" spans="1:21" ht="15.75">
      <c r="A135" s="89">
        <f t="shared" ref="A135:A143" si="8">+A134+1</f>
        <v>53</v>
      </c>
      <c r="B135" s="72"/>
      <c r="C135" s="91" t="s">
        <v>615</v>
      </c>
      <c r="E135" s="93" t="s">
        <v>616</v>
      </c>
      <c r="F135" s="492">
        <v>219</v>
      </c>
      <c r="K135" s="42"/>
      <c r="L135" s="38"/>
      <c r="M135" s="138"/>
      <c r="N135" s="138"/>
      <c r="O135" s="138"/>
      <c r="P135" s="138"/>
      <c r="Q135" s="17"/>
      <c r="R135" s="842">
        <v>28010616.5999</v>
      </c>
      <c r="S135" s="842">
        <v>26474136.5999</v>
      </c>
      <c r="T135" s="349">
        <f>+(S135+R135)/2</f>
        <v>27242376.5999</v>
      </c>
      <c r="U135" s="112"/>
    </row>
    <row r="136" spans="1:21" ht="15.75">
      <c r="A136" s="89">
        <f t="shared" si="8"/>
        <v>54</v>
      </c>
      <c r="B136" s="72"/>
      <c r="C136" s="91" t="s">
        <v>617</v>
      </c>
      <c r="E136" s="93" t="s">
        <v>618</v>
      </c>
      <c r="F136" s="135">
        <v>216.1</v>
      </c>
      <c r="K136" s="113"/>
      <c r="L136" s="38"/>
      <c r="R136" s="842">
        <v>0</v>
      </c>
      <c r="S136" s="842">
        <v>0</v>
      </c>
      <c r="T136" s="349">
        <f>+(R136+S136)/2</f>
        <v>0</v>
      </c>
      <c r="U136" s="94"/>
    </row>
    <row r="137" spans="1:21">
      <c r="A137" s="89">
        <f t="shared" si="8"/>
        <v>55</v>
      </c>
      <c r="B137" s="72"/>
      <c r="C137" s="91" t="s">
        <v>115</v>
      </c>
      <c r="E137" s="93" t="s">
        <v>619</v>
      </c>
      <c r="F137" s="492" t="s">
        <v>620</v>
      </c>
      <c r="R137" s="842">
        <v>-722008571.01928961</v>
      </c>
      <c r="S137" s="842">
        <v>-821824385.96740341</v>
      </c>
      <c r="T137" s="349">
        <f>+(R137+S137)/2</f>
        <v>-771916478.49334645</v>
      </c>
      <c r="U137" s="94"/>
    </row>
    <row r="138" spans="1:21">
      <c r="A138" s="89">
        <f>+A137+1</f>
        <v>56</v>
      </c>
      <c r="B138" s="72"/>
      <c r="C138" s="91" t="s">
        <v>621</v>
      </c>
      <c r="E138" s="93" t="s">
        <v>622</v>
      </c>
      <c r="F138" s="492">
        <v>181</v>
      </c>
      <c r="R138" s="842">
        <v>2044553.9999999893</v>
      </c>
      <c r="S138" s="842">
        <v>1057481.9999999895</v>
      </c>
      <c r="T138" s="349">
        <f>+(R138+S138)/2</f>
        <v>1551017.9999999893</v>
      </c>
      <c r="U138" s="94"/>
    </row>
    <row r="139" spans="1:21">
      <c r="A139" s="89">
        <f>+A138+1</f>
        <v>57</v>
      </c>
      <c r="B139" s="72"/>
      <c r="C139" s="91" t="s">
        <v>623</v>
      </c>
      <c r="E139" s="93" t="s">
        <v>624</v>
      </c>
      <c r="F139" s="492">
        <v>189</v>
      </c>
      <c r="R139" s="842">
        <v>0</v>
      </c>
      <c r="S139" s="842">
        <v>0</v>
      </c>
      <c r="T139" s="349">
        <f>+(S139+R139)/2</f>
        <v>0</v>
      </c>
      <c r="U139" s="94"/>
    </row>
    <row r="140" spans="1:21">
      <c r="A140" s="89">
        <f t="shared" si="8"/>
        <v>58</v>
      </c>
      <c r="B140" s="72"/>
      <c r="C140" s="91" t="s">
        <v>625</v>
      </c>
      <c r="E140" s="93" t="s">
        <v>626</v>
      </c>
      <c r="F140" s="492">
        <v>225</v>
      </c>
      <c r="R140" s="842">
        <v>2413823.04</v>
      </c>
      <c r="S140" s="842">
        <v>2322448.08</v>
      </c>
      <c r="T140" s="349">
        <f t="shared" ref="T140:T141" si="9">+(S140+R140)/2</f>
        <v>2368135.56</v>
      </c>
      <c r="U140" s="94"/>
    </row>
    <row r="141" spans="1:21">
      <c r="A141" s="89">
        <f t="shared" si="8"/>
        <v>59</v>
      </c>
      <c r="B141" s="72"/>
      <c r="C141" s="91" t="s">
        <v>627</v>
      </c>
      <c r="E141" s="93" t="s">
        <v>628</v>
      </c>
      <c r="F141" s="492">
        <v>226</v>
      </c>
      <c r="R141" s="842">
        <v>0</v>
      </c>
      <c r="S141" s="842">
        <v>0</v>
      </c>
      <c r="T141" s="349">
        <f t="shared" si="9"/>
        <v>0</v>
      </c>
      <c r="U141" s="94"/>
    </row>
    <row r="142" spans="1:21">
      <c r="A142" s="89">
        <f t="shared" si="8"/>
        <v>60</v>
      </c>
      <c r="B142" s="72"/>
      <c r="C142" s="91" t="s">
        <v>629</v>
      </c>
      <c r="E142" s="93" t="s">
        <v>630</v>
      </c>
      <c r="F142" s="492">
        <v>257</v>
      </c>
      <c r="R142" s="842">
        <v>0</v>
      </c>
      <c r="S142" s="842">
        <v>0</v>
      </c>
      <c r="T142" s="349">
        <f>+(R142+S142)/2</f>
        <v>0</v>
      </c>
      <c r="U142" s="94"/>
    </row>
    <row r="143" spans="1:21">
      <c r="A143" s="89">
        <f t="shared" si="8"/>
        <v>61</v>
      </c>
      <c r="B143" s="72"/>
      <c r="C143" s="91" t="s">
        <v>631</v>
      </c>
      <c r="E143" s="451" t="s">
        <v>632</v>
      </c>
      <c r="F143" s="492" t="s">
        <v>633</v>
      </c>
      <c r="R143" s="744">
        <f>+'1C - ADIT Prior Year'!D78</f>
        <v>-1477655</v>
      </c>
      <c r="S143" s="744">
        <f>+'1A - ADIT'!C83</f>
        <v>-857412</v>
      </c>
      <c r="T143" s="349">
        <f>+(R143+S143)/2</f>
        <v>-1167533.5</v>
      </c>
      <c r="U143" s="94"/>
    </row>
    <row r="144" spans="1:21">
      <c r="A144" s="89">
        <f>+A143+1</f>
        <v>62</v>
      </c>
      <c r="B144" s="72"/>
      <c r="C144" s="91" t="s">
        <v>634</v>
      </c>
      <c r="E144" s="451" t="s">
        <v>635</v>
      </c>
      <c r="F144" s="492">
        <v>176</v>
      </c>
      <c r="R144" s="842">
        <v>0</v>
      </c>
      <c r="S144" s="842">
        <v>0</v>
      </c>
      <c r="T144" s="349">
        <f t="shared" ref="T144:T145" si="10">+(R144+S144)/2</f>
        <v>0</v>
      </c>
      <c r="U144" s="94"/>
    </row>
    <row r="145" spans="1:21">
      <c r="A145" s="89">
        <f>+A144+1</f>
        <v>63</v>
      </c>
      <c r="B145" s="72"/>
      <c r="C145" s="91" t="s">
        <v>636</v>
      </c>
      <c r="E145" s="451" t="s">
        <v>637</v>
      </c>
      <c r="F145" s="492">
        <v>245</v>
      </c>
      <c r="R145" s="842">
        <v>0</v>
      </c>
      <c r="S145" s="842">
        <v>0</v>
      </c>
      <c r="T145" s="349">
        <f t="shared" si="10"/>
        <v>0</v>
      </c>
      <c r="U145" s="94"/>
    </row>
    <row r="146" spans="1:21" ht="15.75" thickBot="1">
      <c r="A146" s="105">
        <f>+A145+1</f>
        <v>64</v>
      </c>
      <c r="B146" s="98"/>
      <c r="C146" s="139" t="s">
        <v>127</v>
      </c>
      <c r="D146" s="97"/>
      <c r="E146" s="140" t="s">
        <v>638</v>
      </c>
      <c r="F146" s="494">
        <v>204</v>
      </c>
      <c r="G146" s="97"/>
      <c r="H146" s="97"/>
      <c r="I146" s="97"/>
      <c r="J146" s="97"/>
      <c r="K146" s="97"/>
      <c r="L146" s="97"/>
      <c r="M146" s="97"/>
      <c r="N146" s="97"/>
      <c r="O146" s="97"/>
      <c r="P146" s="97"/>
      <c r="Q146" s="97"/>
      <c r="R146" s="844">
        <v>0</v>
      </c>
      <c r="S146" s="844">
        <v>0</v>
      </c>
      <c r="T146" s="724">
        <v>0</v>
      </c>
      <c r="U146" s="99"/>
    </row>
    <row r="148" spans="1:21" ht="15.75">
      <c r="A148" s="73"/>
    </row>
    <row r="149" spans="1:21" ht="16.5" thickBot="1">
      <c r="A149" s="78" t="s">
        <v>639</v>
      </c>
    </row>
    <row r="150" spans="1:21" ht="32.25" thickBot="1">
      <c r="A150" s="80" t="s">
        <v>492</v>
      </c>
      <c r="B150" s="81" t="s">
        <v>493</v>
      </c>
      <c r="C150" s="81"/>
      <c r="D150" s="81"/>
      <c r="E150" s="83" t="s">
        <v>494</v>
      </c>
      <c r="F150" s="789" t="s">
        <v>495</v>
      </c>
      <c r="G150" s="82"/>
      <c r="H150" s="82"/>
      <c r="I150" s="82"/>
      <c r="J150" s="82"/>
      <c r="K150" s="82"/>
      <c r="L150" s="82"/>
      <c r="M150" s="82"/>
      <c r="N150" s="82"/>
      <c r="O150" s="82"/>
      <c r="P150" s="82"/>
      <c r="Q150" s="82"/>
      <c r="R150" s="82"/>
      <c r="S150" s="789" t="s">
        <v>640</v>
      </c>
      <c r="T150" s="789" t="s">
        <v>641</v>
      </c>
      <c r="U150" s="790" t="s">
        <v>642</v>
      </c>
    </row>
    <row r="151" spans="1:21" ht="15.75">
      <c r="A151" s="89" t="s">
        <v>144</v>
      </c>
      <c r="B151" s="141" t="s">
        <v>145</v>
      </c>
      <c r="E151" s="91"/>
      <c r="F151" s="91"/>
      <c r="U151" s="94"/>
    </row>
    <row r="152" spans="1:21" ht="15.75">
      <c r="A152" s="89"/>
      <c r="B152" s="141"/>
      <c r="E152" s="91"/>
      <c r="F152" s="91"/>
      <c r="G152" s="92"/>
      <c r="H152" s="91"/>
      <c r="I152" s="91"/>
      <c r="J152" s="91"/>
      <c r="K152" s="91"/>
      <c r="L152" s="91"/>
      <c r="M152" s="91"/>
      <c r="N152" s="91"/>
      <c r="O152" s="91"/>
      <c r="P152" s="91"/>
      <c r="Q152" s="91"/>
      <c r="R152" s="91"/>
      <c r="S152" s="79" t="s">
        <v>643</v>
      </c>
      <c r="T152" s="79"/>
      <c r="U152" s="130"/>
    </row>
    <row r="153" spans="1:21">
      <c r="A153" s="89">
        <f>+A146+1</f>
        <v>65</v>
      </c>
      <c r="B153" s="72"/>
      <c r="C153" s="90" t="str">
        <f>+'Appendix A'!C211</f>
        <v>SIT=State Income Tax Rate or Composite</v>
      </c>
      <c r="D153" s="142"/>
      <c r="E153" s="90"/>
      <c r="F153" s="90"/>
      <c r="G153" s="90"/>
      <c r="H153" s="90"/>
      <c r="I153" s="90"/>
      <c r="J153" s="90"/>
      <c r="K153" s="90"/>
      <c r="L153" s="90"/>
      <c r="M153" s="90"/>
      <c r="N153" s="90"/>
      <c r="O153" s="90"/>
      <c r="P153" s="90"/>
      <c r="Q153" s="90"/>
      <c r="R153" s="90"/>
      <c r="S153" s="845">
        <v>0</v>
      </c>
      <c r="T153" s="143"/>
      <c r="U153" s="144"/>
    </row>
    <row r="154" spans="1:21" ht="15.75" thickBot="1">
      <c r="A154" s="105">
        <f>+A153+1</f>
        <v>66</v>
      </c>
      <c r="B154" s="97"/>
      <c r="C154" s="97" t="s">
        <v>644</v>
      </c>
      <c r="D154" s="97"/>
      <c r="E154" s="97"/>
      <c r="F154" s="97"/>
      <c r="G154" s="97"/>
      <c r="H154" s="97"/>
      <c r="I154" s="97"/>
      <c r="J154" s="97"/>
      <c r="K154" s="97"/>
      <c r="L154" s="97"/>
      <c r="M154" s="97"/>
      <c r="N154" s="97"/>
      <c r="O154" s="97"/>
      <c r="P154" s="97"/>
      <c r="Q154" s="97"/>
      <c r="R154" s="97"/>
      <c r="S154" s="846">
        <v>1.8499999999999999E-2</v>
      </c>
      <c r="T154" s="97"/>
      <c r="U154" s="99"/>
    </row>
    <row r="157" spans="1:21" ht="16.5" thickBot="1">
      <c r="A157" s="78" t="s">
        <v>645</v>
      </c>
    </row>
    <row r="158" spans="1:21" ht="32.25" thickBot="1">
      <c r="A158" s="80" t="s">
        <v>492</v>
      </c>
      <c r="B158" s="81" t="s">
        <v>493</v>
      </c>
      <c r="C158" s="81"/>
      <c r="D158" s="81"/>
      <c r="E158" s="83" t="s">
        <v>494</v>
      </c>
      <c r="F158" s="789" t="s">
        <v>495</v>
      </c>
      <c r="G158" s="101"/>
      <c r="H158" s="82"/>
      <c r="I158" s="82"/>
      <c r="J158" s="82"/>
      <c r="K158" s="82"/>
      <c r="L158" s="82"/>
      <c r="M158" s="82"/>
      <c r="N158" s="82"/>
      <c r="O158" s="82"/>
      <c r="P158" s="82"/>
      <c r="Q158" s="82"/>
      <c r="R158" s="82"/>
      <c r="S158" s="106" t="s">
        <v>530</v>
      </c>
      <c r="T158" s="887"/>
      <c r="U158" s="888"/>
    </row>
    <row r="159" spans="1:21" ht="15.75">
      <c r="A159" s="89"/>
      <c r="B159" s="78"/>
      <c r="C159" s="72"/>
      <c r="D159" s="72"/>
      <c r="E159" s="72"/>
      <c r="F159" s="72"/>
      <c r="H159" s="72"/>
      <c r="I159" s="72"/>
      <c r="J159" s="72"/>
      <c r="K159" s="72"/>
      <c r="L159" s="72"/>
      <c r="M159" s="72"/>
      <c r="N159" s="72"/>
      <c r="O159" s="72"/>
      <c r="P159" s="72"/>
      <c r="Q159" s="72"/>
      <c r="R159" s="72"/>
      <c r="S159" s="72"/>
      <c r="U159" s="94"/>
    </row>
    <row r="160" spans="1:21" ht="15.75">
      <c r="A160" s="89">
        <f>+A154+1</f>
        <v>67</v>
      </c>
      <c r="B160" s="72"/>
      <c r="C160" s="90" t="s">
        <v>646</v>
      </c>
      <c r="D160" s="72"/>
      <c r="E160" s="90" t="s">
        <v>647</v>
      </c>
      <c r="F160" s="135">
        <v>411.4</v>
      </c>
      <c r="G160" s="72"/>
      <c r="H160" s="90"/>
      <c r="I160" s="90"/>
      <c r="J160" s="90"/>
      <c r="K160" s="90"/>
      <c r="L160" s="90"/>
      <c r="M160" s="90"/>
      <c r="N160" s="90"/>
      <c r="O160" s="90"/>
      <c r="P160" s="90"/>
      <c r="Q160" s="90"/>
      <c r="R160" s="90"/>
      <c r="S160" s="745">
        <v>-41415</v>
      </c>
      <c r="T160" s="891"/>
      <c r="U160" s="892"/>
    </row>
    <row r="161" spans="1:21" ht="15.75">
      <c r="A161" s="89">
        <f>+A160+1</f>
        <v>68</v>
      </c>
      <c r="B161" s="72"/>
      <c r="C161" s="90" t="s">
        <v>648</v>
      </c>
      <c r="D161" s="72"/>
      <c r="E161" s="90" t="s">
        <v>647</v>
      </c>
      <c r="F161" s="135">
        <v>411.4</v>
      </c>
      <c r="G161" s="72"/>
      <c r="H161" s="90"/>
      <c r="I161" s="90"/>
      <c r="J161" s="90"/>
      <c r="K161" s="90"/>
      <c r="L161" s="90"/>
      <c r="M161" s="90"/>
      <c r="N161" s="90"/>
      <c r="O161" s="90"/>
      <c r="P161" s="90"/>
      <c r="Q161" s="90"/>
      <c r="R161" s="90"/>
      <c r="S161" s="745">
        <v>-2877</v>
      </c>
      <c r="T161" s="792"/>
      <c r="U161" s="756"/>
    </row>
    <row r="162" spans="1:21" ht="16.5" thickBot="1">
      <c r="A162" s="105">
        <f>+A161+1</f>
        <v>69</v>
      </c>
      <c r="B162" s="98"/>
      <c r="C162" s="96" t="s">
        <v>649</v>
      </c>
      <c r="D162" s="98"/>
      <c r="E162" s="96" t="s">
        <v>650</v>
      </c>
      <c r="F162" s="847" t="s">
        <v>1023</v>
      </c>
      <c r="G162" s="98" t="s">
        <v>533</v>
      </c>
      <c r="H162" s="98"/>
      <c r="I162" s="98"/>
      <c r="J162" s="98"/>
      <c r="K162" s="98"/>
      <c r="L162" s="98"/>
      <c r="M162" s="98"/>
      <c r="N162" s="98"/>
      <c r="O162" s="98"/>
      <c r="P162" s="98"/>
      <c r="Q162" s="98"/>
      <c r="R162" s="98"/>
      <c r="S162" s="795">
        <v>305383</v>
      </c>
      <c r="T162" s="787"/>
      <c r="U162" s="788"/>
    </row>
    <row r="163" spans="1:21" ht="15.75">
      <c r="A163" s="72"/>
      <c r="B163" s="72"/>
      <c r="C163" s="90"/>
      <c r="D163" s="72"/>
      <c r="E163" s="90"/>
      <c r="F163" s="135"/>
      <c r="G163" s="90"/>
      <c r="H163" s="72"/>
      <c r="I163" s="72"/>
      <c r="J163" s="72"/>
      <c r="K163" s="72"/>
      <c r="L163" s="72"/>
      <c r="M163" s="72"/>
      <c r="N163" s="72"/>
      <c r="O163" s="72"/>
      <c r="P163" s="72"/>
      <c r="Q163" s="72"/>
      <c r="R163" s="72"/>
      <c r="S163" s="665"/>
      <c r="T163" s="792"/>
      <c r="U163" s="792"/>
    </row>
    <row r="164" spans="1:21" ht="15.75">
      <c r="A164" s="72"/>
      <c r="B164" s="72"/>
      <c r="C164" s="79"/>
      <c r="D164" s="72"/>
      <c r="E164" s="72"/>
      <c r="F164" s="72"/>
      <c r="G164" s="72"/>
      <c r="H164" s="72"/>
      <c r="I164" s="72"/>
      <c r="J164" s="72"/>
      <c r="K164" s="72"/>
      <c r="L164" s="72"/>
      <c r="M164" s="72"/>
      <c r="N164" s="72"/>
      <c r="O164" s="72"/>
      <c r="P164" s="72"/>
      <c r="Q164" s="72"/>
      <c r="R164" s="72"/>
    </row>
    <row r="165" spans="1:21" ht="16.5" thickBot="1">
      <c r="A165" s="78" t="s">
        <v>651</v>
      </c>
    </row>
    <row r="166" spans="1:21" ht="32.25" thickBot="1">
      <c r="A166" s="118" t="s">
        <v>492</v>
      </c>
      <c r="B166" s="119" t="s">
        <v>493</v>
      </c>
      <c r="C166" s="119"/>
      <c r="D166" s="119"/>
      <c r="E166" s="83" t="s">
        <v>494</v>
      </c>
      <c r="F166" s="789" t="s">
        <v>495</v>
      </c>
      <c r="G166" s="82" t="s">
        <v>496</v>
      </c>
      <c r="H166" s="82" t="s">
        <v>497</v>
      </c>
      <c r="I166" s="82" t="s">
        <v>498</v>
      </c>
      <c r="J166" s="82" t="s">
        <v>499</v>
      </c>
      <c r="K166" s="82" t="s">
        <v>500</v>
      </c>
      <c r="L166" s="82" t="s">
        <v>373</v>
      </c>
      <c r="M166" s="82" t="s">
        <v>501</v>
      </c>
      <c r="N166" s="82" t="s">
        <v>502</v>
      </c>
      <c r="O166" s="82" t="s">
        <v>503</v>
      </c>
      <c r="P166" s="82" t="s">
        <v>504</v>
      </c>
      <c r="Q166" s="82" t="s">
        <v>505</v>
      </c>
      <c r="R166" s="82" t="s">
        <v>506</v>
      </c>
      <c r="S166" s="82" t="s">
        <v>507</v>
      </c>
      <c r="T166" s="789" t="s">
        <v>508</v>
      </c>
      <c r="U166" s="790"/>
    </row>
    <row r="167" spans="1:21" ht="15.75">
      <c r="A167" s="124"/>
      <c r="B167" s="85"/>
      <c r="C167" s="85"/>
      <c r="D167" s="85"/>
      <c r="E167" s="631"/>
      <c r="F167" s="126"/>
      <c r="G167" s="125"/>
      <c r="H167" s="125"/>
      <c r="I167" s="125"/>
      <c r="J167" s="125"/>
      <c r="K167" s="125"/>
      <c r="L167" s="125"/>
      <c r="M167" s="125"/>
      <c r="N167" s="125"/>
      <c r="O167" s="125"/>
      <c r="P167" s="125"/>
      <c r="Q167" s="125"/>
      <c r="R167" s="125"/>
      <c r="S167" s="127"/>
      <c r="T167" s="127"/>
      <c r="U167" s="145"/>
    </row>
    <row r="168" spans="1:21">
      <c r="A168" s="89">
        <f>+A162+1</f>
        <v>70</v>
      </c>
      <c r="C168" s="71" t="str">
        <f>+'Appendix A'!C257</f>
        <v>Excluded Transmission Facilities</v>
      </c>
      <c r="E168" s="90">
        <v>206</v>
      </c>
      <c r="F168" s="135" t="s">
        <v>520</v>
      </c>
      <c r="G168" s="745">
        <v>2437669</v>
      </c>
      <c r="H168" s="745">
        <v>2461408.44</v>
      </c>
      <c r="I168" s="745">
        <v>2460936.4400000004</v>
      </c>
      <c r="J168" s="745">
        <v>2441447.77</v>
      </c>
      <c r="K168" s="745">
        <v>2441447.7700000005</v>
      </c>
      <c r="L168" s="745">
        <v>2440367.94</v>
      </c>
      <c r="M168" s="745">
        <v>2437669.9400000004</v>
      </c>
      <c r="N168" s="745">
        <v>2437669.9400000004</v>
      </c>
      <c r="O168" s="745">
        <v>2437669.9400000004</v>
      </c>
      <c r="P168" s="745">
        <v>2437669.9400000004</v>
      </c>
      <c r="Q168" s="745">
        <v>2437669.9400000004</v>
      </c>
      <c r="R168" s="745">
        <v>2437669.94</v>
      </c>
      <c r="S168" s="745">
        <v>2437669.9400000004</v>
      </c>
      <c r="T168" s="41">
        <f>+(R168+S168)/2</f>
        <v>2437669.9400000004</v>
      </c>
      <c r="U168" s="94"/>
    </row>
    <row r="169" spans="1:21" ht="15.75" thickBot="1">
      <c r="A169" s="131"/>
      <c r="B169" s="97"/>
      <c r="C169" s="97"/>
      <c r="D169" s="97"/>
      <c r="E169" s="97"/>
      <c r="F169" s="97"/>
      <c r="G169" s="97"/>
      <c r="H169" s="139"/>
      <c r="I169" s="97"/>
      <c r="J169" s="97"/>
      <c r="K169" s="97"/>
      <c r="L169" s="97"/>
      <c r="M169" s="97"/>
      <c r="N169" s="97"/>
      <c r="O169" s="97"/>
      <c r="P169" s="97"/>
      <c r="Q169" s="97"/>
      <c r="R169" s="97"/>
      <c r="S169" s="97"/>
      <c r="T169" s="97"/>
      <c r="U169" s="99"/>
    </row>
    <row r="171" spans="1:21">
      <c r="A171" s="72"/>
      <c r="B171" s="72"/>
      <c r="C171" s="72"/>
      <c r="D171" s="72"/>
      <c r="E171" s="72"/>
      <c r="F171" s="72"/>
      <c r="G171" s="72"/>
      <c r="H171" s="72"/>
      <c r="I171" s="72"/>
      <c r="J171" s="72"/>
      <c r="K171" s="72"/>
      <c r="L171" s="72"/>
      <c r="M171" s="72"/>
      <c r="N171" s="72"/>
      <c r="O171" s="72"/>
      <c r="P171" s="72"/>
      <c r="Q171" s="72"/>
      <c r="R171" s="72"/>
    </row>
    <row r="172" spans="1:21" ht="16.5" thickBot="1">
      <c r="A172" s="78" t="s">
        <v>197</v>
      </c>
    </row>
    <row r="173" spans="1:21" ht="32.25" thickBot="1">
      <c r="A173" s="118" t="s">
        <v>492</v>
      </c>
      <c r="B173" s="119" t="s">
        <v>493</v>
      </c>
      <c r="C173" s="119"/>
      <c r="D173" s="119"/>
      <c r="E173" s="83" t="s">
        <v>494</v>
      </c>
      <c r="F173" s="789" t="s">
        <v>495</v>
      </c>
      <c r="G173" s="120"/>
      <c r="H173" s="120"/>
      <c r="I173" s="120"/>
      <c r="J173" s="120"/>
      <c r="K173" s="120"/>
      <c r="L173" s="120"/>
      <c r="M173" s="120"/>
      <c r="N173" s="120"/>
      <c r="O173" s="120"/>
      <c r="P173" s="120"/>
      <c r="Q173" s="120"/>
      <c r="R173" s="120"/>
      <c r="S173" s="791" t="s">
        <v>530</v>
      </c>
      <c r="T173" s="889"/>
      <c r="U173" s="890"/>
    </row>
    <row r="174" spans="1:21" ht="15.75">
      <c r="A174" s="124"/>
      <c r="B174" s="85"/>
      <c r="C174" s="85"/>
      <c r="D174" s="85"/>
      <c r="E174" s="126"/>
      <c r="F174" s="126"/>
      <c r="G174" s="125"/>
      <c r="H174" s="125"/>
      <c r="I174" s="125"/>
      <c r="J174" s="125"/>
      <c r="K174" s="125"/>
      <c r="L174" s="125"/>
      <c r="M174" s="125"/>
      <c r="N174" s="125"/>
      <c r="O174" s="125"/>
      <c r="P174" s="125"/>
      <c r="Q174" s="125"/>
      <c r="R174" s="125"/>
      <c r="S174" s="127"/>
      <c r="T174" s="127"/>
      <c r="U174" s="128"/>
    </row>
    <row r="175" spans="1:21" ht="15.75">
      <c r="A175" s="89">
        <f>+A168+1</f>
        <v>71</v>
      </c>
      <c r="B175" s="72"/>
      <c r="C175" s="90" t="str">
        <f>+'Appendix A'!C282</f>
        <v>Facility Credits under Section 30.9 of the PJM OATT</v>
      </c>
      <c r="E175" s="72"/>
      <c r="F175" s="492" t="str">
        <f>"(Appendix A, Note "&amp;'Appendix A'!B314&amp;")"</f>
        <v>(Appendix A, Note S)</v>
      </c>
      <c r="G175" s="135"/>
      <c r="H175" s="72"/>
      <c r="I175" s="72"/>
      <c r="J175" s="72"/>
      <c r="K175" s="72"/>
      <c r="L175" s="72"/>
      <c r="M175" s="72"/>
      <c r="N175" s="72"/>
      <c r="O175" s="72"/>
      <c r="P175" s="72"/>
      <c r="Q175" s="72"/>
      <c r="R175" s="72"/>
      <c r="S175" s="336">
        <v>0</v>
      </c>
      <c r="T175" s="891"/>
      <c r="U175" s="892"/>
    </row>
    <row r="176" spans="1:21" ht="15.75" thickBot="1">
      <c r="A176" s="105"/>
      <c r="B176" s="98"/>
      <c r="C176" s="98"/>
      <c r="D176" s="98"/>
      <c r="E176" s="98"/>
      <c r="F176" s="98"/>
      <c r="G176" s="98"/>
      <c r="H176" s="98"/>
      <c r="I176" s="98"/>
      <c r="J176" s="98"/>
      <c r="K176" s="98"/>
      <c r="L176" s="98"/>
      <c r="M176" s="98"/>
      <c r="N176" s="98"/>
      <c r="O176" s="98"/>
      <c r="P176" s="98"/>
      <c r="Q176" s="98"/>
      <c r="R176" s="98"/>
      <c r="S176" s="97"/>
      <c r="T176" s="97"/>
      <c r="U176" s="99"/>
    </row>
    <row r="179" spans="1:21" ht="16.5" thickBot="1">
      <c r="A179" s="78" t="s">
        <v>652</v>
      </c>
    </row>
    <row r="180" spans="1:21" ht="32.25" thickBot="1">
      <c r="A180" s="118" t="s">
        <v>492</v>
      </c>
      <c r="B180" s="119" t="s">
        <v>493</v>
      </c>
      <c r="C180" s="119"/>
      <c r="D180" s="119"/>
      <c r="E180" s="83" t="s">
        <v>494</v>
      </c>
      <c r="F180" s="789" t="s">
        <v>495</v>
      </c>
      <c r="G180" s="120"/>
      <c r="H180" s="120"/>
      <c r="I180" s="120"/>
      <c r="J180" s="120"/>
      <c r="K180" s="120"/>
      <c r="L180" s="120"/>
      <c r="M180" s="120"/>
      <c r="N180" s="120"/>
      <c r="O180" s="120"/>
      <c r="P180" s="120"/>
      <c r="Q180" s="120"/>
      <c r="R180" s="120"/>
      <c r="S180" s="791" t="s">
        <v>653</v>
      </c>
      <c r="T180" s="887"/>
      <c r="U180" s="888"/>
    </row>
    <row r="181" spans="1:21" ht="15.75">
      <c r="A181" s="124"/>
      <c r="B181" s="85"/>
      <c r="C181" s="85"/>
      <c r="D181" s="85"/>
      <c r="E181" s="126"/>
      <c r="F181" s="126"/>
      <c r="G181" s="125"/>
      <c r="H181" s="125"/>
      <c r="I181" s="125"/>
      <c r="J181" s="125"/>
      <c r="K181" s="125"/>
      <c r="L181" s="125"/>
      <c r="M181" s="125"/>
      <c r="N181" s="125"/>
      <c r="O181" s="125"/>
      <c r="P181" s="125"/>
      <c r="Q181" s="125"/>
      <c r="R181" s="125"/>
      <c r="S181" s="127"/>
      <c r="T181" s="127"/>
      <c r="U181" s="128"/>
    </row>
    <row r="182" spans="1:21" ht="15.75">
      <c r="A182" s="89"/>
      <c r="B182" s="78" t="s">
        <v>654</v>
      </c>
      <c r="G182" s="72"/>
      <c r="U182" s="94"/>
    </row>
    <row r="183" spans="1:21" ht="15.75">
      <c r="A183" s="89">
        <f>+A175+1</f>
        <v>72</v>
      </c>
      <c r="B183" s="72"/>
      <c r="C183" s="90" t="s">
        <v>655</v>
      </c>
      <c r="D183" s="90"/>
      <c r="E183" s="90" t="s">
        <v>656</v>
      </c>
      <c r="F183" s="135" t="s">
        <v>612</v>
      </c>
      <c r="H183" s="90"/>
      <c r="I183" s="90"/>
      <c r="J183" s="90"/>
      <c r="K183" s="90"/>
      <c r="L183" s="90"/>
      <c r="M183" s="90"/>
      <c r="N183" s="90"/>
      <c r="O183" s="90"/>
      <c r="P183" s="90"/>
      <c r="Q183" s="90"/>
      <c r="R183" s="90"/>
      <c r="S183" s="848">
        <v>3361.6</v>
      </c>
      <c r="T183" s="891"/>
      <c r="U183" s="892"/>
    </row>
    <row r="184" spans="1:21" ht="15.75" thickBot="1">
      <c r="A184" s="131"/>
      <c r="B184" s="97"/>
      <c r="C184" s="97"/>
      <c r="D184" s="97"/>
      <c r="E184" s="97"/>
      <c r="F184" s="97"/>
      <c r="G184" s="97"/>
      <c r="H184" s="97"/>
      <c r="I184" s="97"/>
      <c r="J184" s="97"/>
      <c r="K184" s="97"/>
      <c r="L184" s="97"/>
      <c r="M184" s="97"/>
      <c r="N184" s="97"/>
      <c r="O184" s="97"/>
      <c r="P184" s="97"/>
      <c r="Q184" s="97"/>
      <c r="R184" s="97"/>
      <c r="S184" s="97"/>
      <c r="T184" s="97"/>
      <c r="U184" s="99"/>
    </row>
    <row r="185" spans="1:21">
      <c r="D185" s="146"/>
    </row>
    <row r="186" spans="1:21" ht="15.75">
      <c r="A186" s="78"/>
      <c r="U186" s="534"/>
    </row>
    <row r="187" spans="1:21" ht="16.5" thickBot="1">
      <c r="A187" s="58" t="s">
        <v>47</v>
      </c>
      <c r="B187" s="45"/>
      <c r="C187" s="45"/>
      <c r="D187" s="45"/>
      <c r="E187" s="45"/>
      <c r="F187" s="45"/>
      <c r="G187" s="45"/>
      <c r="H187" s="45"/>
      <c r="I187" s="45"/>
      <c r="J187" s="45"/>
      <c r="K187" s="62"/>
      <c r="L187" s="62"/>
      <c r="M187" s="62"/>
      <c r="N187" s="62"/>
      <c r="O187" s="62"/>
      <c r="P187" s="62"/>
      <c r="Q187" s="62"/>
      <c r="R187" s="62"/>
      <c r="S187" s="45"/>
      <c r="T187" s="45"/>
      <c r="U187" s="45"/>
    </row>
    <row r="188" spans="1:21" ht="32.25" thickBot="1">
      <c r="A188" s="80" t="s">
        <v>492</v>
      </c>
      <c r="B188" s="81" t="s">
        <v>493</v>
      </c>
      <c r="C188" s="81"/>
      <c r="D188" s="81"/>
      <c r="E188" s="83" t="s">
        <v>494</v>
      </c>
      <c r="F188" s="789" t="s">
        <v>495</v>
      </c>
      <c r="G188" s="82"/>
      <c r="H188" s="82" t="s">
        <v>657</v>
      </c>
      <c r="I188" s="82" t="s">
        <v>658</v>
      </c>
      <c r="J188" s="82" t="s">
        <v>659</v>
      </c>
      <c r="K188" s="82" t="s">
        <v>68</v>
      </c>
      <c r="L188" s="82"/>
      <c r="M188" s="82"/>
      <c r="N188" s="82"/>
      <c r="O188" s="82"/>
      <c r="P188" s="82"/>
      <c r="Q188" s="82"/>
      <c r="R188" s="82"/>
      <c r="S188" s="789"/>
      <c r="T188" s="887"/>
      <c r="U188" s="888"/>
    </row>
    <row r="189" spans="1:21">
      <c r="A189" s="54"/>
      <c r="B189" s="52"/>
      <c r="C189" s="52"/>
      <c r="D189" s="52"/>
      <c r="E189" s="57"/>
      <c r="F189" s="57"/>
      <c r="G189" s="52"/>
      <c r="H189" s="53"/>
      <c r="I189" s="53"/>
      <c r="J189" s="53"/>
      <c r="K189" s="49"/>
      <c r="L189" s="49"/>
      <c r="M189" s="49"/>
      <c r="N189" s="49"/>
      <c r="O189" s="49"/>
      <c r="P189" s="49"/>
      <c r="Q189" s="49"/>
      <c r="R189" s="49"/>
      <c r="S189" s="44"/>
      <c r="T189" s="50"/>
      <c r="U189" s="51"/>
    </row>
    <row r="190" spans="1:21" ht="15.75">
      <c r="A190" s="352">
        <f>+A183+1</f>
        <v>73</v>
      </c>
      <c r="B190" s="45"/>
      <c r="C190" s="45" t="s">
        <v>660</v>
      </c>
      <c r="D190" s="52"/>
      <c r="E190" s="45" t="s">
        <v>661</v>
      </c>
      <c r="F190" s="45">
        <v>182.1</v>
      </c>
      <c r="G190" s="52"/>
      <c r="H190" s="849">
        <v>0</v>
      </c>
      <c r="I190" s="849">
        <v>0</v>
      </c>
      <c r="J190" s="849">
        <v>0</v>
      </c>
      <c r="K190" s="603">
        <f>+H190+I190+J190</f>
        <v>0</v>
      </c>
      <c r="L190" s="60"/>
      <c r="M190" s="60"/>
      <c r="N190" s="60"/>
      <c r="O190" s="60"/>
      <c r="P190" s="60"/>
      <c r="Q190" s="60"/>
      <c r="R190" s="60"/>
      <c r="S190" s="159"/>
      <c r="T190" s="61"/>
      <c r="U190" s="63"/>
    </row>
    <row r="191" spans="1:21" ht="15.75">
      <c r="A191" s="352">
        <f>+A190+1</f>
        <v>74</v>
      </c>
      <c r="B191" s="45"/>
      <c r="C191" s="45" t="s">
        <v>662</v>
      </c>
      <c r="D191" s="53"/>
      <c r="E191" s="45" t="str">
        <f>+E190</f>
        <v>Per FERC Order</v>
      </c>
      <c r="F191" s="45"/>
      <c r="G191" s="52"/>
      <c r="H191" s="849">
        <v>0</v>
      </c>
      <c r="I191" s="849">
        <v>0</v>
      </c>
      <c r="J191" s="849">
        <v>0</v>
      </c>
      <c r="K191" s="603"/>
      <c r="L191" s="60"/>
      <c r="M191" s="60"/>
      <c r="N191" s="60"/>
      <c r="O191" s="60"/>
      <c r="P191" s="60"/>
      <c r="Q191" s="60"/>
      <c r="R191" s="60"/>
      <c r="S191" s="159"/>
      <c r="T191" s="61"/>
      <c r="U191" s="63"/>
    </row>
    <row r="192" spans="1:21" ht="15.75">
      <c r="A192" s="352">
        <f>+A191+1</f>
        <v>75</v>
      </c>
      <c r="B192" s="45"/>
      <c r="C192" s="45" t="s">
        <v>663</v>
      </c>
      <c r="D192" s="53"/>
      <c r="E192" s="45" t="str">
        <f>"(Line "&amp;A190&amp;") / (Line "&amp;A191&amp;")"</f>
        <v>(Line 73) / (Line 74)</v>
      </c>
      <c r="F192" s="45">
        <v>407</v>
      </c>
      <c r="G192" s="52"/>
      <c r="H192" s="849">
        <v>0</v>
      </c>
      <c r="I192" s="850">
        <v>0</v>
      </c>
      <c r="J192" s="849">
        <v>0</v>
      </c>
      <c r="K192" s="603">
        <f>+H192+I192+J192</f>
        <v>0</v>
      </c>
      <c r="L192" s="60"/>
      <c r="M192" s="60"/>
      <c r="N192" s="60"/>
      <c r="O192" s="60"/>
      <c r="P192" s="60"/>
      <c r="Q192" s="60"/>
      <c r="R192" s="60"/>
      <c r="S192" s="159"/>
      <c r="T192" s="61"/>
      <c r="U192" s="63"/>
    </row>
    <row r="193" spans="1:21" ht="15.75">
      <c r="A193" s="352"/>
      <c r="B193" s="45"/>
      <c r="C193" s="45"/>
      <c r="D193" s="53"/>
      <c r="E193" s="45"/>
      <c r="F193" s="45"/>
      <c r="G193" s="52"/>
      <c r="H193" s="605"/>
      <c r="I193" s="605"/>
      <c r="J193" s="605"/>
      <c r="K193" s="603"/>
      <c r="L193" s="60"/>
      <c r="M193" s="60"/>
      <c r="N193" s="60"/>
      <c r="O193" s="60"/>
      <c r="P193" s="60"/>
      <c r="Q193" s="60"/>
      <c r="R193" s="60"/>
      <c r="S193" s="159"/>
      <c r="T193" s="61"/>
      <c r="U193" s="63"/>
    </row>
    <row r="194" spans="1:21" ht="15.75">
      <c r="A194" s="352">
        <f>+A192+1</f>
        <v>76</v>
      </c>
      <c r="B194" s="45"/>
      <c r="C194" s="45" t="s">
        <v>664</v>
      </c>
      <c r="D194" s="53"/>
      <c r="E194" s="45" t="str">
        <f>"(Line "&amp;A190&amp;") - (Line "&amp;A192&amp;")"</f>
        <v>(Line 73) - (Line 75)</v>
      </c>
      <c r="F194" s="45">
        <v>182.1</v>
      </c>
      <c r="G194" s="55"/>
      <c r="H194" s="605">
        <f>+H190-H192</f>
        <v>0</v>
      </c>
      <c r="I194" s="605">
        <f>+I190-I192</f>
        <v>0</v>
      </c>
      <c r="J194" s="605">
        <f>+J190-J192</f>
        <v>0</v>
      </c>
      <c r="K194" s="603">
        <f>+H194+I194+J194</f>
        <v>0</v>
      </c>
      <c r="L194" s="60"/>
      <c r="M194" s="60"/>
      <c r="N194" s="60"/>
      <c r="O194" s="60"/>
      <c r="P194" s="60"/>
      <c r="Q194" s="60"/>
      <c r="R194" s="60"/>
      <c r="S194" s="159"/>
      <c r="T194" s="61"/>
      <c r="U194" s="63"/>
    </row>
    <row r="195" spans="1:21" ht="15.75">
      <c r="A195" s="352">
        <f>+A194+1</f>
        <v>77</v>
      </c>
      <c r="B195" s="45"/>
      <c r="C195" s="45" t="s">
        <v>665</v>
      </c>
      <c r="D195" s="53"/>
      <c r="E195" s="45" t="str">
        <f>"(Line "&amp;A190&amp;") + (Line "&amp;A194&amp;") / 2"</f>
        <v>(Line 73) + (Line 76) / 2</v>
      </c>
      <c r="F195" s="45"/>
      <c r="G195" s="52"/>
      <c r="H195" s="604">
        <f>+H190/2+H194/2</f>
        <v>0</v>
      </c>
      <c r="I195" s="605">
        <f>+I190/2+I194/2</f>
        <v>0</v>
      </c>
      <c r="J195" s="604">
        <f>+J190/2+J194/2</f>
        <v>0</v>
      </c>
      <c r="K195" s="603">
        <f>+H195+I195+J195</f>
        <v>0</v>
      </c>
      <c r="L195" s="60"/>
      <c r="M195" s="60"/>
      <c r="N195" s="60"/>
      <c r="O195" s="60"/>
      <c r="P195" s="60"/>
      <c r="Q195" s="60"/>
      <c r="R195" s="60"/>
      <c r="S195" s="159"/>
      <c r="T195" s="61"/>
      <c r="U195" s="63"/>
    </row>
    <row r="196" spans="1:21">
      <c r="A196" s="350"/>
      <c r="B196" s="45"/>
      <c r="C196" s="52"/>
      <c r="D196" s="53"/>
      <c r="E196" s="45"/>
      <c r="F196" s="45"/>
      <c r="G196" s="52"/>
      <c r="H196" s="52"/>
      <c r="I196" s="52"/>
      <c r="J196" s="52"/>
      <c r="K196" s="52"/>
      <c r="L196" s="62"/>
      <c r="M196" s="62"/>
      <c r="N196" s="62"/>
      <c r="O196" s="62"/>
      <c r="P196" s="62"/>
      <c r="Q196" s="62"/>
      <c r="R196" s="62"/>
      <c r="S196" s="45"/>
      <c r="T196" s="45"/>
      <c r="U196" s="64"/>
    </row>
    <row r="197" spans="1:21" ht="15.75" thickBot="1">
      <c r="A197" s="351"/>
      <c r="B197" s="56"/>
      <c r="C197" s="56" t="s">
        <v>666</v>
      </c>
      <c r="D197" s="65"/>
      <c r="E197" s="56"/>
      <c r="F197" s="56"/>
      <c r="G197" s="56"/>
      <c r="H197" s="65" t="s">
        <v>667</v>
      </c>
      <c r="I197" s="65" t="s">
        <v>668</v>
      </c>
      <c r="J197" s="65" t="s">
        <v>667</v>
      </c>
      <c r="K197" s="65"/>
      <c r="L197" s="66"/>
      <c r="M197" s="67"/>
      <c r="N197" s="67"/>
      <c r="O197" s="67"/>
      <c r="P197" s="67"/>
      <c r="Q197" s="67"/>
      <c r="R197" s="67"/>
      <c r="S197" s="56"/>
      <c r="T197" s="56"/>
      <c r="U197" s="68"/>
    </row>
    <row r="200" spans="1:21" ht="16.5" thickBot="1">
      <c r="A200" s="78" t="s">
        <v>669</v>
      </c>
      <c r="G200" s="100"/>
      <c r="H200" s="895"/>
      <c r="I200" s="895"/>
      <c r="J200" s="895"/>
      <c r="K200" s="895"/>
      <c r="L200" s="895"/>
      <c r="M200" s="895"/>
      <c r="N200" s="895"/>
      <c r="O200" s="895"/>
      <c r="P200" s="895"/>
      <c r="Q200" s="895"/>
      <c r="R200" s="895"/>
      <c r="S200" s="895"/>
    </row>
    <row r="201" spans="1:21" ht="32.25" thickBot="1">
      <c r="A201" s="80" t="s">
        <v>492</v>
      </c>
      <c r="B201" s="81" t="s">
        <v>493</v>
      </c>
      <c r="C201" s="81"/>
      <c r="D201" s="81"/>
      <c r="E201" s="83" t="s">
        <v>494</v>
      </c>
      <c r="F201" s="789" t="s">
        <v>495</v>
      </c>
      <c r="G201" s="101"/>
      <c r="H201" s="101"/>
      <c r="I201" s="101"/>
      <c r="J201" s="101"/>
      <c r="K201" s="101"/>
      <c r="L201" s="101"/>
      <c r="M201" s="101"/>
      <c r="N201" s="101"/>
      <c r="O201" s="101"/>
      <c r="P201" s="101"/>
      <c r="Q201" s="789" t="s">
        <v>539</v>
      </c>
      <c r="R201" s="789" t="s">
        <v>670</v>
      </c>
      <c r="S201" s="789" t="s">
        <v>671</v>
      </c>
      <c r="T201" s="789" t="s">
        <v>508</v>
      </c>
      <c r="U201" s="790"/>
    </row>
    <row r="202" spans="1:21">
      <c r="A202" s="89"/>
      <c r="C202" s="90"/>
      <c r="E202" s="91"/>
      <c r="F202" s="91"/>
      <c r="Q202" s="17"/>
      <c r="R202" s="17"/>
      <c r="S202" s="12"/>
      <c r="T202" s="12"/>
      <c r="U202" s="94"/>
    </row>
    <row r="203" spans="1:21">
      <c r="A203" s="89">
        <f>+A195+1</f>
        <v>78</v>
      </c>
      <c r="C203" s="90" t="s">
        <v>44</v>
      </c>
      <c r="E203" s="71" t="s">
        <v>672</v>
      </c>
      <c r="F203" s="492">
        <v>254</v>
      </c>
      <c r="J203" s="17"/>
      <c r="Q203" s="700">
        <f>+'9 - Excess ADIT'!R38+'9 - Excess ADIT'!R64</f>
        <v>-26949879.270620577</v>
      </c>
      <c r="R203" s="700">
        <f>+'9 - Excess ADIT'!S70</f>
        <v>-3038114.8514752002</v>
      </c>
      <c r="S203" s="700">
        <f>+'9 - Excess ADIT'!T38+'9 - Excess ADIT'!T64</f>
        <v>-23911764.419145383</v>
      </c>
      <c r="T203" s="41">
        <f>+(S203+Q203)/2</f>
        <v>-25430821.84488298</v>
      </c>
      <c r="U203" s="94"/>
    </row>
    <row r="204" spans="1:21" ht="16.5" thickBot="1">
      <c r="A204" s="105"/>
      <c r="B204" s="98"/>
      <c r="C204" s="95"/>
      <c r="D204" s="98"/>
      <c r="E204" s="96"/>
      <c r="F204" s="96"/>
      <c r="G204" s="97"/>
      <c r="H204" s="97"/>
      <c r="I204" s="117"/>
      <c r="J204" s="96"/>
      <c r="K204" s="96"/>
      <c r="L204" s="96"/>
      <c r="M204" s="96"/>
      <c r="N204" s="96"/>
      <c r="O204" s="96"/>
      <c r="P204" s="96"/>
      <c r="Q204" s="96"/>
      <c r="R204" s="96"/>
      <c r="S204" s="97"/>
      <c r="T204" s="883"/>
      <c r="U204" s="884"/>
    </row>
    <row r="206" spans="1:21" ht="18">
      <c r="U206" s="628"/>
    </row>
    <row r="207" spans="1:21" ht="16.5" thickBot="1">
      <c r="A207" s="78" t="s">
        <v>63</v>
      </c>
      <c r="G207" s="100"/>
      <c r="H207" s="895"/>
      <c r="I207" s="895"/>
      <c r="J207" s="895"/>
      <c r="K207" s="895"/>
      <c r="L207" s="895"/>
      <c r="M207" s="895"/>
      <c r="N207" s="895"/>
      <c r="O207" s="895"/>
      <c r="P207" s="895"/>
      <c r="Q207" s="895"/>
      <c r="R207" s="895"/>
      <c r="S207" s="895"/>
      <c r="U207" s="534"/>
    </row>
    <row r="208" spans="1:21" ht="32.25" thickBot="1">
      <c r="A208" s="80" t="s">
        <v>492</v>
      </c>
      <c r="B208" s="81" t="s">
        <v>493</v>
      </c>
      <c r="C208" s="81"/>
      <c r="D208" s="81"/>
      <c r="E208" s="83" t="s">
        <v>494</v>
      </c>
      <c r="F208" s="789" t="s">
        <v>495</v>
      </c>
      <c r="G208" s="82" t="s">
        <v>496</v>
      </c>
      <c r="H208" s="82" t="s">
        <v>497</v>
      </c>
      <c r="I208" s="82" t="s">
        <v>498</v>
      </c>
      <c r="J208" s="82" t="s">
        <v>499</v>
      </c>
      <c r="K208" s="82" t="s">
        <v>500</v>
      </c>
      <c r="L208" s="82" t="s">
        <v>373</v>
      </c>
      <c r="M208" s="82" t="s">
        <v>501</v>
      </c>
      <c r="N208" s="82" t="s">
        <v>502</v>
      </c>
      <c r="O208" s="82" t="s">
        <v>503</v>
      </c>
      <c r="P208" s="82" t="s">
        <v>504</v>
      </c>
      <c r="Q208" s="82" t="s">
        <v>505</v>
      </c>
      <c r="R208" s="82" t="s">
        <v>506</v>
      </c>
      <c r="S208" s="82" t="s">
        <v>507</v>
      </c>
      <c r="T208" s="789" t="s">
        <v>508</v>
      </c>
      <c r="U208" s="790"/>
    </row>
    <row r="209" spans="1:21">
      <c r="A209" s="89"/>
      <c r="C209" s="90"/>
      <c r="E209" s="91"/>
      <c r="F209" s="91"/>
      <c r="Q209" s="17"/>
      <c r="R209" s="17"/>
      <c r="S209" s="12"/>
      <c r="T209" s="12"/>
      <c r="U209" s="94"/>
    </row>
    <row r="210" spans="1:21" ht="15.75">
      <c r="A210" s="89"/>
      <c r="B210" s="78" t="s">
        <v>63</v>
      </c>
      <c r="C210" s="90"/>
      <c r="E210" s="91"/>
      <c r="F210" s="91"/>
      <c r="G210" s="72"/>
      <c r="Q210" s="17"/>
      <c r="R210" s="17"/>
      <c r="S210" s="12"/>
      <c r="T210" s="12"/>
      <c r="U210" s="94"/>
    </row>
    <row r="211" spans="1:21">
      <c r="A211" s="89"/>
      <c r="C211" s="90"/>
      <c r="E211" s="91"/>
      <c r="F211" s="91"/>
      <c r="Q211" s="17"/>
      <c r="R211" s="17"/>
      <c r="S211" s="12"/>
      <c r="T211" s="12"/>
      <c r="U211" s="94"/>
    </row>
    <row r="212" spans="1:21">
      <c r="A212" s="89">
        <f>+A203+1</f>
        <v>79</v>
      </c>
      <c r="C212" s="90" t="s">
        <v>64</v>
      </c>
      <c r="E212" s="71" t="s">
        <v>673</v>
      </c>
      <c r="F212" s="135">
        <v>228.1</v>
      </c>
      <c r="G212" s="752">
        <v>0</v>
      </c>
      <c r="H212" s="752">
        <v>0</v>
      </c>
      <c r="I212" s="752">
        <v>0</v>
      </c>
      <c r="J212" s="752">
        <v>0</v>
      </c>
      <c r="K212" s="752">
        <v>0</v>
      </c>
      <c r="L212" s="752">
        <v>0</v>
      </c>
      <c r="M212" s="752">
        <v>0</v>
      </c>
      <c r="N212" s="752">
        <v>0</v>
      </c>
      <c r="O212" s="752">
        <v>0</v>
      </c>
      <c r="P212" s="752">
        <v>0</v>
      </c>
      <c r="Q212" s="752">
        <v>0</v>
      </c>
      <c r="R212" s="752">
        <v>0</v>
      </c>
      <c r="S212" s="752">
        <v>0</v>
      </c>
      <c r="T212" s="41">
        <f>AVERAGE(G212:S212)</f>
        <v>0</v>
      </c>
      <c r="U212" s="94"/>
    </row>
    <row r="213" spans="1:21">
      <c r="A213" s="89">
        <f>+A212+1</f>
        <v>80</v>
      </c>
      <c r="C213" s="90" t="s">
        <v>66</v>
      </c>
      <c r="E213" s="71" t="s">
        <v>674</v>
      </c>
      <c r="F213" s="135">
        <v>228.2</v>
      </c>
      <c r="G213" s="752">
        <v>-1735346</v>
      </c>
      <c r="H213" s="752">
        <v>-1566420</v>
      </c>
      <c r="I213" s="752">
        <v>-1566420</v>
      </c>
      <c r="J213" s="752">
        <v>-1566420</v>
      </c>
      <c r="K213" s="752">
        <v>-1352420</v>
      </c>
      <c r="L213" s="752">
        <v>-1352420</v>
      </c>
      <c r="M213" s="752">
        <v>-1281420</v>
      </c>
      <c r="N213" s="752">
        <v>-1281419.95</v>
      </c>
      <c r="O213" s="752">
        <v>-1281419.95</v>
      </c>
      <c r="P213" s="752">
        <v>-1272419.95</v>
      </c>
      <c r="Q213" s="752">
        <v>-1272419.95</v>
      </c>
      <c r="R213" s="752">
        <v>-1272419.95</v>
      </c>
      <c r="S213" s="752">
        <v>-1279790.2</v>
      </c>
      <c r="T213" s="41">
        <f>AVERAGE(G213:S213)</f>
        <v>-1390827.3807692304</v>
      </c>
      <c r="U213" s="94"/>
    </row>
    <row r="214" spans="1:21">
      <c r="A214" s="89">
        <f>+A213+1</f>
        <v>81</v>
      </c>
      <c r="C214" s="90" t="s">
        <v>675</v>
      </c>
      <c r="E214" s="71" t="s">
        <v>676</v>
      </c>
      <c r="F214" s="135">
        <v>228.3</v>
      </c>
      <c r="G214" s="752">
        <v>-1793198</v>
      </c>
      <c r="H214" s="752">
        <v>-1800029</v>
      </c>
      <c r="I214" s="752">
        <v>-1873822</v>
      </c>
      <c r="J214" s="752">
        <v>-1885219</v>
      </c>
      <c r="K214" s="752">
        <v>-1825772</v>
      </c>
      <c r="L214" s="752">
        <v>-1796872</v>
      </c>
      <c r="M214" s="752">
        <v>-1799593</v>
      </c>
      <c r="N214" s="752">
        <v>-1802404.23</v>
      </c>
      <c r="O214" s="752">
        <v>-1805215.58</v>
      </c>
      <c r="P214" s="752">
        <v>-1807936.24</v>
      </c>
      <c r="Q214" s="752">
        <v>-1804636.87</v>
      </c>
      <c r="R214" s="752">
        <v>-1807162.77</v>
      </c>
      <c r="S214" s="752">
        <v>-1809772.89</v>
      </c>
      <c r="T214" s="41">
        <f>AVERAGE(G214:S214)</f>
        <v>-1816279.5061538464</v>
      </c>
      <c r="U214" s="94"/>
    </row>
    <row r="215" spans="1:21">
      <c r="A215" s="89">
        <f>+A214+1</f>
        <v>82</v>
      </c>
      <c r="C215" s="90" t="s">
        <v>677</v>
      </c>
      <c r="E215" s="71" t="s">
        <v>678</v>
      </c>
      <c r="F215" s="135">
        <v>228.4</v>
      </c>
      <c r="G215" s="752">
        <v>0</v>
      </c>
      <c r="H215" s="752">
        <v>0</v>
      </c>
      <c r="I215" s="752">
        <v>0</v>
      </c>
      <c r="J215" s="752">
        <v>0</v>
      </c>
      <c r="K215" s="752">
        <v>0</v>
      </c>
      <c r="L215" s="752">
        <v>0</v>
      </c>
      <c r="M215" s="752">
        <v>0</v>
      </c>
      <c r="N215" s="752">
        <v>0</v>
      </c>
      <c r="O215" s="752">
        <v>0</v>
      </c>
      <c r="P215" s="752">
        <v>0</v>
      </c>
      <c r="Q215" s="752">
        <v>0</v>
      </c>
      <c r="R215" s="752">
        <v>0</v>
      </c>
      <c r="S215" s="752">
        <v>0</v>
      </c>
      <c r="T215" s="41">
        <f>AVERAGE(G215:S215)</f>
        <v>0</v>
      </c>
      <c r="U215" s="94"/>
    </row>
    <row r="216" spans="1:21">
      <c r="A216" s="89"/>
      <c r="C216" s="90"/>
      <c r="J216" s="17"/>
      <c r="Q216" s="37"/>
      <c r="R216" s="37"/>
      <c r="S216" s="37"/>
      <c r="T216" s="37"/>
      <c r="U216" s="94"/>
    </row>
    <row r="217" spans="1:21" ht="16.5" thickBot="1">
      <c r="A217" s="387" t="s">
        <v>679</v>
      </c>
      <c r="B217" s="98"/>
      <c r="C217" s="95"/>
      <c r="D217" s="98"/>
      <c r="E217" s="96"/>
      <c r="F217" s="96"/>
      <c r="G217" s="97"/>
      <c r="H217" s="97"/>
      <c r="I217" s="117"/>
      <c r="J217" s="96"/>
      <c r="K217" s="96"/>
      <c r="L217" s="96"/>
      <c r="M217" s="96"/>
      <c r="N217" s="96"/>
      <c r="O217" s="96"/>
      <c r="P217" s="96"/>
      <c r="Q217" s="96"/>
      <c r="R217" s="96"/>
      <c r="S217" s="97"/>
      <c r="T217" s="883"/>
      <c r="U217" s="884"/>
    </row>
    <row r="219" spans="1:21" ht="16.5" thickBot="1">
      <c r="A219" s="78" t="s">
        <v>73</v>
      </c>
      <c r="G219" s="100"/>
      <c r="H219" s="895"/>
      <c r="I219" s="895"/>
      <c r="J219" s="895"/>
      <c r="K219" s="895"/>
      <c r="L219" s="895"/>
      <c r="M219" s="895"/>
      <c r="N219" s="895"/>
      <c r="O219" s="895"/>
      <c r="P219" s="895"/>
      <c r="Q219" s="895"/>
      <c r="R219" s="895"/>
      <c r="S219" s="895"/>
    </row>
    <row r="220" spans="1:21" ht="32.25" thickBot="1">
      <c r="A220" s="80" t="s">
        <v>492</v>
      </c>
      <c r="B220" s="81" t="s">
        <v>493</v>
      </c>
      <c r="C220" s="81"/>
      <c r="D220" s="81"/>
      <c r="E220" s="83" t="s">
        <v>494</v>
      </c>
      <c r="F220" s="789" t="s">
        <v>495</v>
      </c>
      <c r="G220" s="82" t="s">
        <v>496</v>
      </c>
      <c r="H220" s="82" t="s">
        <v>497</v>
      </c>
      <c r="I220" s="82" t="s">
        <v>498</v>
      </c>
      <c r="J220" s="82" t="s">
        <v>499</v>
      </c>
      <c r="K220" s="82" t="s">
        <v>500</v>
      </c>
      <c r="L220" s="82" t="s">
        <v>373</v>
      </c>
      <c r="M220" s="82" t="s">
        <v>501</v>
      </c>
      <c r="N220" s="82" t="s">
        <v>502</v>
      </c>
      <c r="O220" s="82" t="s">
        <v>503</v>
      </c>
      <c r="P220" s="82" t="s">
        <v>504</v>
      </c>
      <c r="Q220" s="82" t="s">
        <v>505</v>
      </c>
      <c r="R220" s="82" t="s">
        <v>506</v>
      </c>
      <c r="S220" s="82" t="s">
        <v>507</v>
      </c>
      <c r="T220" s="789" t="s">
        <v>508</v>
      </c>
      <c r="U220" s="790"/>
    </row>
    <row r="221" spans="1:21">
      <c r="A221" s="89"/>
      <c r="C221" s="90"/>
      <c r="E221" s="91"/>
      <c r="F221" s="91"/>
      <c r="Q221" s="17"/>
      <c r="R221" s="17"/>
      <c r="S221" s="12"/>
      <c r="T221" s="12"/>
      <c r="U221" s="94"/>
    </row>
    <row r="222" spans="1:21">
      <c r="A222" s="89">
        <f>+A215+1</f>
        <v>83</v>
      </c>
      <c r="C222" s="90" t="s">
        <v>680</v>
      </c>
      <c r="E222" s="71" t="s">
        <v>681</v>
      </c>
      <c r="F222" s="71">
        <v>253</v>
      </c>
      <c r="G222" s="752">
        <v>-8149</v>
      </c>
      <c r="H222" s="752">
        <v>-8149</v>
      </c>
      <c r="I222" s="752">
        <v>-8149</v>
      </c>
      <c r="J222" s="752">
        <v>-8149</v>
      </c>
      <c r="K222" s="752">
        <v>-8149</v>
      </c>
      <c r="L222" s="752">
        <v>-8149</v>
      </c>
      <c r="M222" s="752">
        <v>-8149</v>
      </c>
      <c r="N222" s="752">
        <v>-8149</v>
      </c>
      <c r="O222" s="752">
        <v>-8149</v>
      </c>
      <c r="P222" s="752">
        <v>-8149</v>
      </c>
      <c r="Q222" s="752">
        <v>-8149</v>
      </c>
      <c r="R222" s="752">
        <v>-8149</v>
      </c>
      <c r="S222" s="752">
        <v>-8149</v>
      </c>
      <c r="T222" s="41">
        <f>AVERAGE(G222:S222)</f>
        <v>-8149</v>
      </c>
      <c r="U222" s="94"/>
    </row>
    <row r="223" spans="1:21" ht="16.5" thickBot="1">
      <c r="A223" s="387"/>
      <c r="B223" s="98"/>
      <c r="C223" s="95"/>
      <c r="D223" s="98"/>
      <c r="E223" s="96"/>
      <c r="F223" s="96"/>
      <c r="G223" s="97"/>
      <c r="H223" s="97"/>
      <c r="I223" s="117"/>
      <c r="J223" s="96"/>
      <c r="K223" s="96"/>
      <c r="L223" s="96"/>
      <c r="M223" s="96"/>
      <c r="N223" s="96"/>
      <c r="O223" s="96"/>
      <c r="P223" s="96"/>
      <c r="Q223" s="96"/>
      <c r="R223" s="96"/>
      <c r="S223" s="97"/>
      <c r="T223" s="883"/>
      <c r="U223" s="884"/>
    </row>
    <row r="227" spans="1:21" ht="16.5" thickBot="1">
      <c r="A227" s="73" t="s">
        <v>72</v>
      </c>
    </row>
    <row r="228" spans="1:21" ht="32.25" thickBot="1">
      <c r="A228" s="80" t="s">
        <v>492</v>
      </c>
      <c r="B228" s="81" t="s">
        <v>493</v>
      </c>
      <c r="C228" s="81"/>
      <c r="D228" s="81"/>
      <c r="E228" s="83" t="s">
        <v>494</v>
      </c>
      <c r="F228" s="789" t="s">
        <v>495</v>
      </c>
      <c r="G228" s="82" t="s">
        <v>496</v>
      </c>
      <c r="H228" s="82" t="s">
        <v>497</v>
      </c>
      <c r="I228" s="82" t="s">
        <v>498</v>
      </c>
      <c r="J228" s="82" t="s">
        <v>499</v>
      </c>
      <c r="K228" s="82" t="s">
        <v>500</v>
      </c>
      <c r="L228" s="82" t="s">
        <v>373</v>
      </c>
      <c r="M228" s="82" t="s">
        <v>501</v>
      </c>
      <c r="N228" s="82" t="s">
        <v>502</v>
      </c>
      <c r="O228" s="82" t="s">
        <v>503</v>
      </c>
      <c r="P228" s="82" t="s">
        <v>504</v>
      </c>
      <c r="Q228" s="82" t="s">
        <v>505</v>
      </c>
      <c r="R228" s="82" t="s">
        <v>506</v>
      </c>
      <c r="S228" s="82" t="s">
        <v>507</v>
      </c>
      <c r="T228" s="789" t="s">
        <v>508</v>
      </c>
      <c r="U228" s="790"/>
    </row>
    <row r="229" spans="1:21">
      <c r="A229" s="89">
        <f>+A222+1</f>
        <v>84</v>
      </c>
      <c r="C229" s="90" t="s">
        <v>682</v>
      </c>
      <c r="E229" s="91" t="s">
        <v>683</v>
      </c>
      <c r="F229" s="492">
        <v>252</v>
      </c>
      <c r="G229" s="752">
        <v>0</v>
      </c>
      <c r="H229" s="752">
        <v>0</v>
      </c>
      <c r="I229" s="752">
        <v>0</v>
      </c>
      <c r="J229" s="752">
        <v>0</v>
      </c>
      <c r="K229" s="752">
        <v>0</v>
      </c>
      <c r="L229" s="752">
        <v>0</v>
      </c>
      <c r="M229" s="752">
        <v>0</v>
      </c>
      <c r="N229" s="752">
        <v>0</v>
      </c>
      <c r="O229" s="752">
        <v>0</v>
      </c>
      <c r="P229" s="752">
        <v>0</v>
      </c>
      <c r="Q229" s="752">
        <v>0</v>
      </c>
      <c r="R229" s="752">
        <v>0</v>
      </c>
      <c r="S229" s="752">
        <v>0</v>
      </c>
      <c r="T229" s="41">
        <f>AVERAGE(G229:S229)</f>
        <v>0</v>
      </c>
      <c r="U229" s="94"/>
    </row>
    <row r="230" spans="1:21">
      <c r="A230" s="89">
        <f>+A229+1</f>
        <v>85</v>
      </c>
      <c r="C230" s="90" t="s">
        <v>684</v>
      </c>
      <c r="E230" s="91" t="s">
        <v>685</v>
      </c>
      <c r="F230" s="492">
        <v>235</v>
      </c>
      <c r="G230" s="752">
        <v>-154200</v>
      </c>
      <c r="H230" s="752">
        <v>0</v>
      </c>
      <c r="I230" s="752">
        <v>0</v>
      </c>
      <c r="J230" s="752">
        <v>0</v>
      </c>
      <c r="K230" s="752">
        <v>0</v>
      </c>
      <c r="L230" s="752">
        <v>0</v>
      </c>
      <c r="M230" s="752">
        <v>0</v>
      </c>
      <c r="N230" s="752">
        <v>-2850125</v>
      </c>
      <c r="O230" s="752">
        <v>-2850125</v>
      </c>
      <c r="P230" s="752">
        <v>0</v>
      </c>
      <c r="Q230" s="752">
        <v>0</v>
      </c>
      <c r="R230" s="752">
        <v>0</v>
      </c>
      <c r="S230" s="752">
        <v>0</v>
      </c>
      <c r="T230" s="41">
        <f>AVERAGE(G230:S230)</f>
        <v>-450342.30769230769</v>
      </c>
      <c r="U230" s="94"/>
    </row>
    <row r="231" spans="1:21">
      <c r="A231" s="89">
        <f>+A230+1</f>
        <v>86</v>
      </c>
      <c r="C231" s="90" t="s">
        <v>68</v>
      </c>
      <c r="E231" s="91"/>
      <c r="F231" s="492"/>
      <c r="G231" s="727"/>
      <c r="H231" s="727"/>
      <c r="I231" s="727"/>
      <c r="J231" s="727"/>
      <c r="K231" s="727"/>
      <c r="L231" s="727"/>
      <c r="M231" s="727"/>
      <c r="N231" s="727"/>
      <c r="O231" s="727"/>
      <c r="P231" s="727"/>
      <c r="Q231" s="727"/>
      <c r="R231" s="727"/>
      <c r="S231" s="727"/>
      <c r="T231" s="41">
        <f>+T229+T230</f>
        <v>-450342.30769230769</v>
      </c>
      <c r="U231" s="94"/>
    </row>
    <row r="232" spans="1:21" ht="15.75" thickBot="1">
      <c r="A232" s="387"/>
      <c r="B232" s="97"/>
      <c r="C232" s="96"/>
      <c r="D232" s="97"/>
      <c r="E232" s="97" t="s">
        <v>686</v>
      </c>
      <c r="F232" s="97"/>
      <c r="G232" s="21"/>
      <c r="H232" s="21"/>
      <c r="I232" s="21"/>
      <c r="J232" s="21"/>
      <c r="K232" s="21"/>
      <c r="L232" s="21"/>
      <c r="M232" s="21"/>
      <c r="N232" s="21"/>
      <c r="O232" s="21"/>
      <c r="P232" s="21"/>
      <c r="Q232" s="21"/>
      <c r="R232" s="21"/>
      <c r="S232" s="21"/>
      <c r="T232" s="21"/>
      <c r="U232" s="99"/>
    </row>
    <row r="235" spans="1:21" ht="16.5" thickBot="1">
      <c r="A235" s="73" t="s">
        <v>74</v>
      </c>
    </row>
    <row r="236" spans="1:21" ht="32.25" thickBot="1">
      <c r="A236" s="80" t="s">
        <v>492</v>
      </c>
      <c r="B236" s="81" t="s">
        <v>493</v>
      </c>
      <c r="C236" s="81"/>
      <c r="D236" s="81"/>
      <c r="E236" s="83" t="s">
        <v>494</v>
      </c>
      <c r="F236" s="789" t="s">
        <v>495</v>
      </c>
      <c r="G236" s="450"/>
      <c r="H236" s="101"/>
      <c r="I236" s="101"/>
      <c r="J236" s="101"/>
      <c r="K236" s="101"/>
      <c r="L236" s="101"/>
      <c r="M236" s="101"/>
      <c r="N236" s="101"/>
      <c r="O236" s="101"/>
      <c r="P236" s="101"/>
      <c r="Q236" s="101"/>
      <c r="R236" s="789"/>
      <c r="S236" s="789"/>
      <c r="T236" s="789" t="s">
        <v>508</v>
      </c>
      <c r="U236" s="102"/>
    </row>
    <row r="237" spans="1:21">
      <c r="A237" s="89">
        <f>+A231+1</f>
        <v>87</v>
      </c>
      <c r="C237" s="90" t="s">
        <v>687</v>
      </c>
      <c r="E237" s="71" t="s">
        <v>688</v>
      </c>
      <c r="F237" s="492">
        <v>242</v>
      </c>
      <c r="G237" s="72"/>
      <c r="R237" s="41"/>
      <c r="S237" s="41"/>
      <c r="T237" s="41">
        <f>+'10 - Misc. Liabilities'!W22</f>
        <v>-1402224.479335346</v>
      </c>
      <c r="U237" s="94"/>
    </row>
    <row r="238" spans="1:21" ht="15.75" thickBot="1">
      <c r="A238" s="131"/>
      <c r="B238" s="97"/>
      <c r="C238" s="97"/>
      <c r="D238" s="97"/>
      <c r="E238" s="97"/>
      <c r="F238" s="97"/>
      <c r="G238" s="97"/>
      <c r="H238" s="97"/>
      <c r="I238" s="97"/>
      <c r="J238" s="97"/>
      <c r="K238" s="97"/>
      <c r="L238" s="97"/>
      <c r="M238" s="97"/>
      <c r="N238" s="97"/>
      <c r="O238" s="97"/>
      <c r="P238" s="97"/>
      <c r="Q238" s="97"/>
      <c r="R238" s="97"/>
      <c r="S238" s="97"/>
      <c r="T238" s="97"/>
      <c r="U238" s="99"/>
    </row>
    <row r="239" spans="1:21" ht="15.75" thickBot="1"/>
    <row r="240" spans="1:21" ht="16.5" thickBot="1">
      <c r="A240" s="73" t="s">
        <v>689</v>
      </c>
      <c r="G240" s="189" t="s">
        <v>491</v>
      </c>
      <c r="H240" s="896" t="s">
        <v>690</v>
      </c>
      <c r="I240" s="897"/>
      <c r="J240" s="897"/>
      <c r="K240" s="897"/>
      <c r="L240" s="897"/>
      <c r="M240" s="897"/>
      <c r="N240" s="897"/>
      <c r="O240" s="897"/>
      <c r="P240" s="897"/>
      <c r="Q240" s="897"/>
      <c r="R240" s="897"/>
      <c r="S240" s="898"/>
    </row>
    <row r="241" spans="1:21" ht="32.25" thickBot="1">
      <c r="A241" s="80" t="s">
        <v>492</v>
      </c>
      <c r="B241" s="81" t="s">
        <v>493</v>
      </c>
      <c r="C241" s="81"/>
      <c r="D241" s="81"/>
      <c r="E241" s="83" t="s">
        <v>494</v>
      </c>
      <c r="F241" s="789" t="s">
        <v>495</v>
      </c>
      <c r="G241" s="500" t="s">
        <v>496</v>
      </c>
      <c r="H241" s="82" t="s">
        <v>497</v>
      </c>
      <c r="I241" s="82" t="s">
        <v>498</v>
      </c>
      <c r="J241" s="82" t="s">
        <v>499</v>
      </c>
      <c r="K241" s="82" t="s">
        <v>500</v>
      </c>
      <c r="L241" s="82" t="s">
        <v>373</v>
      </c>
      <c r="M241" s="82" t="s">
        <v>501</v>
      </c>
      <c r="N241" s="82" t="s">
        <v>502</v>
      </c>
      <c r="O241" s="82" t="s">
        <v>503</v>
      </c>
      <c r="P241" s="82" t="s">
        <v>504</v>
      </c>
      <c r="Q241" s="82" t="s">
        <v>505</v>
      </c>
      <c r="R241" s="82" t="s">
        <v>506</v>
      </c>
      <c r="S241" s="82" t="s">
        <v>507</v>
      </c>
      <c r="T241" s="790" t="s">
        <v>508</v>
      </c>
      <c r="U241" s="792"/>
    </row>
    <row r="242" spans="1:21">
      <c r="A242" s="89"/>
      <c r="B242" s="71" t="str">
        <f>+'7A - Project ROE Adder'!G8</f>
        <v>Name</v>
      </c>
      <c r="C242" s="90"/>
      <c r="F242" s="492"/>
      <c r="T242" s="537"/>
    </row>
    <row r="243" spans="1:21">
      <c r="A243" s="89">
        <f>+A237+1</f>
        <v>88</v>
      </c>
      <c r="B243" s="71" t="s">
        <v>691</v>
      </c>
      <c r="C243" s="90"/>
      <c r="E243" s="90">
        <v>206</v>
      </c>
      <c r="F243" s="492"/>
      <c r="G243" s="607">
        <v>0</v>
      </c>
      <c r="H243" s="608">
        <v>0</v>
      </c>
      <c r="I243" s="608">
        <v>0</v>
      </c>
      <c r="J243" s="608">
        <v>0</v>
      </c>
      <c r="K243" s="608">
        <v>0</v>
      </c>
      <c r="L243" s="608">
        <v>0</v>
      </c>
      <c r="M243" s="608">
        <v>0</v>
      </c>
      <c r="N243" s="608">
        <v>0</v>
      </c>
      <c r="O243" s="608">
        <v>0</v>
      </c>
      <c r="P243" s="608">
        <v>0</v>
      </c>
      <c r="Q243" s="608">
        <v>0</v>
      </c>
      <c r="R243" s="606">
        <v>0</v>
      </c>
      <c r="S243" s="606">
        <v>0</v>
      </c>
      <c r="T243" s="609">
        <f>+SUM(G243:S243)/13</f>
        <v>0</v>
      </c>
    </row>
    <row r="244" spans="1:21">
      <c r="A244" s="89">
        <f>+A243+1</f>
        <v>89</v>
      </c>
      <c r="B244" s="71" t="s">
        <v>32</v>
      </c>
      <c r="C244" s="90"/>
      <c r="E244" s="90">
        <v>219</v>
      </c>
      <c r="F244" s="492"/>
      <c r="G244" s="607">
        <v>0</v>
      </c>
      <c r="H244" s="608">
        <v>0</v>
      </c>
      <c r="I244" s="608">
        <v>0</v>
      </c>
      <c r="J244" s="608">
        <v>0</v>
      </c>
      <c r="K244" s="608">
        <v>0</v>
      </c>
      <c r="L244" s="608">
        <v>0</v>
      </c>
      <c r="M244" s="608">
        <v>0</v>
      </c>
      <c r="N244" s="608">
        <v>0</v>
      </c>
      <c r="O244" s="608">
        <v>0</v>
      </c>
      <c r="P244" s="608">
        <v>0</v>
      </c>
      <c r="Q244" s="608">
        <v>0</v>
      </c>
      <c r="R244" s="606">
        <v>0</v>
      </c>
      <c r="S244" s="606">
        <v>0</v>
      </c>
      <c r="T244" s="609">
        <f t="shared" ref="T244" si="11">+SUM(G244:S244)/13</f>
        <v>0</v>
      </c>
    </row>
    <row r="245" spans="1:21">
      <c r="A245" s="89">
        <f>+A244+1</f>
        <v>90</v>
      </c>
      <c r="B245" s="71" t="s">
        <v>42</v>
      </c>
      <c r="C245" s="90"/>
      <c r="E245" s="90">
        <v>274</v>
      </c>
      <c r="F245" s="492"/>
      <c r="G245" s="607">
        <v>0</v>
      </c>
      <c r="H245" s="91"/>
      <c r="I245" s="91"/>
      <c r="J245" s="91"/>
      <c r="K245" s="91"/>
      <c r="L245" s="91"/>
      <c r="M245" s="91"/>
      <c r="N245" s="91"/>
      <c r="O245" s="91"/>
      <c r="P245" s="91"/>
      <c r="Q245" s="91"/>
      <c r="R245" s="41"/>
      <c r="S245" s="606">
        <v>0</v>
      </c>
      <c r="T245" s="609">
        <f>+(G245+S245)/2</f>
        <v>0</v>
      </c>
    </row>
    <row r="246" spans="1:21">
      <c r="A246" s="89"/>
      <c r="C246" s="90"/>
      <c r="E246" s="90"/>
      <c r="F246" s="492"/>
      <c r="G246" s="92"/>
      <c r="H246" s="91"/>
      <c r="I246" s="91"/>
      <c r="J246" s="91"/>
      <c r="K246" s="91"/>
      <c r="L246" s="91"/>
      <c r="M246" s="91"/>
      <c r="N246" s="91"/>
      <c r="O246" s="91"/>
      <c r="P246" s="91"/>
      <c r="Q246" s="91"/>
      <c r="R246" s="41"/>
      <c r="S246" s="41"/>
      <c r="T246" s="609"/>
    </row>
    <row r="247" spans="1:21">
      <c r="A247" s="89"/>
      <c r="B247" s="71" t="str">
        <f>+'7A - Project ROE Adder'!I8</f>
        <v>Name</v>
      </c>
      <c r="C247" s="90"/>
      <c r="E247" s="90"/>
      <c r="F247" s="492"/>
      <c r="G247" s="91"/>
      <c r="H247" s="91"/>
      <c r="I247" s="91"/>
      <c r="J247" s="91"/>
      <c r="K247" s="91"/>
      <c r="L247" s="91"/>
      <c r="M247" s="91"/>
      <c r="N247" s="91"/>
      <c r="O247" s="91"/>
      <c r="P247" s="91"/>
      <c r="Q247" s="91"/>
      <c r="R247" s="91"/>
      <c r="S247" s="91"/>
      <c r="T247" s="610"/>
    </row>
    <row r="248" spans="1:21">
      <c r="A248" s="89">
        <f>+A245+1</f>
        <v>91</v>
      </c>
      <c r="B248" s="71" t="s">
        <v>691</v>
      </c>
      <c r="C248" s="90"/>
      <c r="E248" s="90">
        <v>206</v>
      </c>
      <c r="F248" s="492"/>
      <c r="G248" s="607">
        <v>0</v>
      </c>
      <c r="H248" s="608">
        <v>0</v>
      </c>
      <c r="I248" s="608">
        <v>0</v>
      </c>
      <c r="J248" s="608">
        <v>0</v>
      </c>
      <c r="K248" s="608">
        <v>0</v>
      </c>
      <c r="L248" s="608">
        <v>0</v>
      </c>
      <c r="M248" s="608">
        <v>0</v>
      </c>
      <c r="N248" s="608">
        <v>0</v>
      </c>
      <c r="O248" s="608">
        <v>0</v>
      </c>
      <c r="P248" s="608">
        <v>0</v>
      </c>
      <c r="Q248" s="608">
        <v>0</v>
      </c>
      <c r="R248" s="606">
        <v>0</v>
      </c>
      <c r="S248" s="606">
        <v>0</v>
      </c>
      <c r="T248" s="609">
        <f>+SUM(G248:S248)/13</f>
        <v>0</v>
      </c>
    </row>
    <row r="249" spans="1:21">
      <c r="A249" s="89">
        <f>+A248+1</f>
        <v>92</v>
      </c>
      <c r="B249" s="71" t="s">
        <v>32</v>
      </c>
      <c r="C249" s="90"/>
      <c r="E249" s="90">
        <v>219</v>
      </c>
      <c r="F249" s="492"/>
      <c r="G249" s="607">
        <v>0</v>
      </c>
      <c r="H249" s="608">
        <v>0</v>
      </c>
      <c r="I249" s="608">
        <v>0</v>
      </c>
      <c r="J249" s="608">
        <v>0</v>
      </c>
      <c r="K249" s="608">
        <v>0</v>
      </c>
      <c r="L249" s="608">
        <v>0</v>
      </c>
      <c r="M249" s="608">
        <v>0</v>
      </c>
      <c r="N249" s="608">
        <v>0</v>
      </c>
      <c r="O249" s="608">
        <v>0</v>
      </c>
      <c r="P249" s="608">
        <v>0</v>
      </c>
      <c r="Q249" s="608">
        <v>0</v>
      </c>
      <c r="R249" s="606">
        <v>0</v>
      </c>
      <c r="S249" s="606">
        <v>0</v>
      </c>
      <c r="T249" s="609">
        <f t="shared" ref="T249" si="12">+SUM(G249:S249)/13</f>
        <v>0</v>
      </c>
    </row>
    <row r="250" spans="1:21">
      <c r="A250" s="89">
        <f>+A249+1</f>
        <v>93</v>
      </c>
      <c r="B250" s="71" t="s">
        <v>42</v>
      </c>
      <c r="C250" s="90"/>
      <c r="E250" s="90">
        <v>274</v>
      </c>
      <c r="F250" s="492"/>
      <c r="G250" s="607">
        <v>0</v>
      </c>
      <c r="H250" s="91"/>
      <c r="I250" s="91"/>
      <c r="J250" s="91"/>
      <c r="K250" s="91"/>
      <c r="L250" s="91"/>
      <c r="M250" s="91"/>
      <c r="N250" s="91"/>
      <c r="O250" s="91"/>
      <c r="P250" s="91"/>
      <c r="Q250" s="91"/>
      <c r="R250" s="41"/>
      <c r="S250" s="606">
        <v>0</v>
      </c>
      <c r="T250" s="609">
        <f>+(G250+S250)/2</f>
        <v>0</v>
      </c>
    </row>
    <row r="251" spans="1:21">
      <c r="E251" s="90"/>
      <c r="G251" s="91"/>
      <c r="H251" s="91"/>
      <c r="I251" s="91"/>
      <c r="J251" s="91"/>
      <c r="K251" s="91"/>
      <c r="L251" s="91"/>
      <c r="M251" s="91"/>
      <c r="N251" s="91"/>
      <c r="O251" s="91"/>
      <c r="P251" s="91"/>
      <c r="Q251" s="91"/>
      <c r="R251" s="91"/>
      <c r="S251" s="91"/>
      <c r="T251" s="610"/>
    </row>
    <row r="252" spans="1:21">
      <c r="A252" s="89"/>
      <c r="B252" s="71" t="str">
        <f>+'7A - Project ROE Adder'!K8</f>
        <v>Name</v>
      </c>
      <c r="C252" s="90"/>
      <c r="E252" s="90"/>
      <c r="F252" s="492"/>
      <c r="G252" s="91"/>
      <c r="H252" s="91"/>
      <c r="I252" s="91"/>
      <c r="J252" s="91"/>
      <c r="K252" s="91"/>
      <c r="L252" s="91"/>
      <c r="M252" s="91"/>
      <c r="N252" s="91"/>
      <c r="O252" s="91"/>
      <c r="P252" s="91"/>
      <c r="Q252" s="91"/>
      <c r="R252" s="91"/>
      <c r="S252" s="91"/>
      <c r="T252" s="610"/>
    </row>
    <row r="253" spans="1:21">
      <c r="A253" s="89">
        <f>+A250+1</f>
        <v>94</v>
      </c>
      <c r="B253" s="71" t="s">
        <v>691</v>
      </c>
      <c r="C253" s="90"/>
      <c r="E253" s="90">
        <v>206</v>
      </c>
      <c r="F253" s="492"/>
      <c r="G253" s="607">
        <v>0</v>
      </c>
      <c r="H253" s="608">
        <v>0</v>
      </c>
      <c r="I253" s="608">
        <v>0</v>
      </c>
      <c r="J253" s="608">
        <v>0</v>
      </c>
      <c r="K253" s="608">
        <v>0</v>
      </c>
      <c r="L253" s="608">
        <v>0</v>
      </c>
      <c r="M253" s="608">
        <v>0</v>
      </c>
      <c r="N253" s="608">
        <v>0</v>
      </c>
      <c r="O253" s="608">
        <v>0</v>
      </c>
      <c r="P253" s="608">
        <v>0</v>
      </c>
      <c r="Q253" s="608">
        <v>0</v>
      </c>
      <c r="R253" s="606">
        <v>0</v>
      </c>
      <c r="S253" s="606">
        <v>0</v>
      </c>
      <c r="T253" s="609">
        <f>+SUM(G253:S253)/13</f>
        <v>0</v>
      </c>
    </row>
    <row r="254" spans="1:21">
      <c r="A254" s="89">
        <f>+A253+1</f>
        <v>95</v>
      </c>
      <c r="B254" s="71" t="s">
        <v>32</v>
      </c>
      <c r="C254" s="90"/>
      <c r="E254" s="90">
        <v>219</v>
      </c>
      <c r="F254" s="492"/>
      <c r="G254" s="607">
        <v>0</v>
      </c>
      <c r="H254" s="608">
        <v>0</v>
      </c>
      <c r="I254" s="608">
        <v>0</v>
      </c>
      <c r="J254" s="608">
        <v>0</v>
      </c>
      <c r="K254" s="608">
        <v>0</v>
      </c>
      <c r="L254" s="608">
        <v>0</v>
      </c>
      <c r="M254" s="608">
        <v>0</v>
      </c>
      <c r="N254" s="608">
        <v>0</v>
      </c>
      <c r="O254" s="608">
        <v>0</v>
      </c>
      <c r="P254" s="608">
        <v>0</v>
      </c>
      <c r="Q254" s="608">
        <v>0</v>
      </c>
      <c r="R254" s="606">
        <v>0</v>
      </c>
      <c r="S254" s="606">
        <v>0</v>
      </c>
      <c r="T254" s="609">
        <f t="shared" ref="T254" si="13">+SUM(G254:S254)/13</f>
        <v>0</v>
      </c>
    </row>
    <row r="255" spans="1:21">
      <c r="A255" s="89">
        <f>+A254+1</f>
        <v>96</v>
      </c>
      <c r="B255" s="71" t="s">
        <v>42</v>
      </c>
      <c r="C255" s="90"/>
      <c r="E255" s="90">
        <v>274</v>
      </c>
      <c r="F255" s="492"/>
      <c r="G255" s="607">
        <v>0</v>
      </c>
      <c r="H255" s="91"/>
      <c r="I255" s="91"/>
      <c r="J255" s="91"/>
      <c r="K255" s="91"/>
      <c r="L255" s="91"/>
      <c r="M255" s="91"/>
      <c r="N255" s="91"/>
      <c r="O255" s="91"/>
      <c r="P255" s="91"/>
      <c r="Q255" s="91"/>
      <c r="R255" s="41"/>
      <c r="S255" s="606">
        <v>0</v>
      </c>
      <c r="T255" s="609">
        <f>+(G255+S255)/2</f>
        <v>0</v>
      </c>
    </row>
    <row r="256" spans="1:21">
      <c r="E256" s="90"/>
      <c r="G256" s="91"/>
      <c r="H256" s="91"/>
      <c r="I256" s="91"/>
      <c r="J256" s="91"/>
      <c r="K256" s="91"/>
      <c r="L256" s="91"/>
      <c r="M256" s="91"/>
      <c r="N256" s="91"/>
      <c r="O256" s="91"/>
      <c r="P256" s="91"/>
      <c r="Q256" s="91"/>
      <c r="R256" s="91"/>
      <c r="S256" s="91"/>
      <c r="T256" s="610"/>
    </row>
    <row r="257" spans="1:20">
      <c r="A257" s="89"/>
      <c r="B257" s="71" t="str">
        <f>+'7A - Project ROE Adder'!M8</f>
        <v>Name</v>
      </c>
      <c r="C257" s="90"/>
      <c r="E257" s="90"/>
      <c r="F257" s="492"/>
      <c r="G257" s="91"/>
      <c r="H257" s="91"/>
      <c r="I257" s="91"/>
      <c r="J257" s="91"/>
      <c r="K257" s="91"/>
      <c r="L257" s="91"/>
      <c r="M257" s="91"/>
      <c r="N257" s="91"/>
      <c r="O257" s="91"/>
      <c r="P257" s="91"/>
      <c r="Q257" s="91"/>
      <c r="R257" s="91"/>
      <c r="S257" s="91"/>
      <c r="T257" s="610"/>
    </row>
    <row r="258" spans="1:20">
      <c r="A258" s="89">
        <f>+A255+1</f>
        <v>97</v>
      </c>
      <c r="B258" s="71" t="s">
        <v>691</v>
      </c>
      <c r="C258" s="90"/>
      <c r="E258" s="90">
        <v>206</v>
      </c>
      <c r="F258" s="492"/>
      <c r="G258" s="607">
        <v>0</v>
      </c>
      <c r="H258" s="608">
        <v>0</v>
      </c>
      <c r="I258" s="608">
        <v>0</v>
      </c>
      <c r="J258" s="608">
        <v>0</v>
      </c>
      <c r="K258" s="608">
        <v>0</v>
      </c>
      <c r="L258" s="608">
        <v>0</v>
      </c>
      <c r="M258" s="608">
        <v>0</v>
      </c>
      <c r="N258" s="608">
        <v>0</v>
      </c>
      <c r="O258" s="608">
        <v>0</v>
      </c>
      <c r="P258" s="608">
        <v>0</v>
      </c>
      <c r="Q258" s="608">
        <v>0</v>
      </c>
      <c r="R258" s="606">
        <v>0</v>
      </c>
      <c r="S258" s="606">
        <v>0</v>
      </c>
      <c r="T258" s="609">
        <f>+SUM(G258:S258)/13</f>
        <v>0</v>
      </c>
    </row>
    <row r="259" spans="1:20">
      <c r="A259" s="89">
        <f>+A258+1</f>
        <v>98</v>
      </c>
      <c r="B259" s="71" t="s">
        <v>32</v>
      </c>
      <c r="C259" s="90"/>
      <c r="E259" s="90">
        <v>219</v>
      </c>
      <c r="F259" s="492"/>
      <c r="G259" s="607">
        <v>0</v>
      </c>
      <c r="H259" s="608">
        <v>0</v>
      </c>
      <c r="I259" s="608">
        <v>0</v>
      </c>
      <c r="J259" s="608">
        <v>0</v>
      </c>
      <c r="K259" s="608">
        <v>0</v>
      </c>
      <c r="L259" s="608">
        <v>0</v>
      </c>
      <c r="M259" s="608">
        <v>0</v>
      </c>
      <c r="N259" s="608">
        <v>0</v>
      </c>
      <c r="O259" s="608">
        <v>0</v>
      </c>
      <c r="P259" s="608">
        <v>0</v>
      </c>
      <c r="Q259" s="608">
        <v>0</v>
      </c>
      <c r="R259" s="606">
        <v>0</v>
      </c>
      <c r="S259" s="606">
        <v>0</v>
      </c>
      <c r="T259" s="609">
        <f t="shared" ref="T259" si="14">+SUM(G259:S259)/13</f>
        <v>0</v>
      </c>
    </row>
    <row r="260" spans="1:20">
      <c r="A260" s="89">
        <f>+A259+1</f>
        <v>99</v>
      </c>
      <c r="B260" s="71" t="s">
        <v>42</v>
      </c>
      <c r="C260" s="90"/>
      <c r="E260" s="90">
        <v>274</v>
      </c>
      <c r="F260" s="492"/>
      <c r="G260" s="607">
        <v>0</v>
      </c>
      <c r="H260" s="91"/>
      <c r="I260" s="91"/>
      <c r="J260" s="91"/>
      <c r="K260" s="91"/>
      <c r="L260" s="91"/>
      <c r="M260" s="91"/>
      <c r="N260" s="91"/>
      <c r="O260" s="91"/>
      <c r="P260" s="91"/>
      <c r="Q260" s="91"/>
      <c r="R260" s="41"/>
      <c r="S260" s="606">
        <v>0</v>
      </c>
      <c r="T260" s="609">
        <f>+(G260+S260)/2</f>
        <v>0</v>
      </c>
    </row>
    <row r="261" spans="1:20">
      <c r="E261" s="90"/>
      <c r="G261" s="91"/>
      <c r="H261" s="91"/>
      <c r="I261" s="91"/>
      <c r="J261" s="91"/>
      <c r="K261" s="91"/>
      <c r="L261" s="91"/>
      <c r="M261" s="91"/>
      <c r="N261" s="91"/>
      <c r="O261" s="91"/>
      <c r="P261" s="91"/>
      <c r="Q261" s="91"/>
      <c r="R261" s="91"/>
      <c r="S261" s="91"/>
      <c r="T261" s="610"/>
    </row>
    <row r="262" spans="1:20">
      <c r="A262" s="89"/>
      <c r="B262" s="71" t="str">
        <f>+'7A - Project ROE Adder'!O8</f>
        <v>Name</v>
      </c>
      <c r="C262" s="90"/>
      <c r="E262" s="90"/>
      <c r="F262" s="492"/>
      <c r="G262" s="91"/>
      <c r="H262" s="91"/>
      <c r="I262" s="91"/>
      <c r="J262" s="91"/>
      <c r="K262" s="91"/>
      <c r="L262" s="91"/>
      <c r="M262" s="91"/>
      <c r="N262" s="91"/>
      <c r="O262" s="91"/>
      <c r="P262" s="91"/>
      <c r="Q262" s="91"/>
      <c r="R262" s="91"/>
      <c r="S262" s="91"/>
      <c r="T262" s="610"/>
    </row>
    <row r="263" spans="1:20">
      <c r="A263" s="89">
        <f>+A260+1</f>
        <v>100</v>
      </c>
      <c r="B263" s="71" t="s">
        <v>691</v>
      </c>
      <c r="C263" s="90"/>
      <c r="E263" s="90">
        <v>206</v>
      </c>
      <c r="F263" s="492"/>
      <c r="G263" s="607">
        <v>0</v>
      </c>
      <c r="H263" s="608">
        <v>0</v>
      </c>
      <c r="I263" s="608">
        <v>0</v>
      </c>
      <c r="J263" s="608">
        <v>0</v>
      </c>
      <c r="K263" s="608">
        <v>0</v>
      </c>
      <c r="L263" s="608">
        <v>0</v>
      </c>
      <c r="M263" s="608">
        <v>0</v>
      </c>
      <c r="N263" s="608">
        <v>0</v>
      </c>
      <c r="O263" s="608">
        <v>0</v>
      </c>
      <c r="P263" s="608">
        <v>0</v>
      </c>
      <c r="Q263" s="608">
        <v>0</v>
      </c>
      <c r="R263" s="606">
        <v>0</v>
      </c>
      <c r="S263" s="606">
        <v>0</v>
      </c>
      <c r="T263" s="609">
        <f>+SUM(G263:S263)/13</f>
        <v>0</v>
      </c>
    </row>
    <row r="264" spans="1:20">
      <c r="A264" s="89">
        <f>+A263+1</f>
        <v>101</v>
      </c>
      <c r="B264" s="71" t="s">
        <v>32</v>
      </c>
      <c r="C264" s="90"/>
      <c r="E264" s="90">
        <v>219</v>
      </c>
      <c r="F264" s="492"/>
      <c r="G264" s="607">
        <v>0</v>
      </c>
      <c r="H264" s="608">
        <v>0</v>
      </c>
      <c r="I264" s="608">
        <v>0</v>
      </c>
      <c r="J264" s="608">
        <v>0</v>
      </c>
      <c r="K264" s="608">
        <v>0</v>
      </c>
      <c r="L264" s="608">
        <v>0</v>
      </c>
      <c r="M264" s="608">
        <v>0</v>
      </c>
      <c r="N264" s="608">
        <v>0</v>
      </c>
      <c r="O264" s="608">
        <v>0</v>
      </c>
      <c r="P264" s="608">
        <v>0</v>
      </c>
      <c r="Q264" s="608">
        <v>0</v>
      </c>
      <c r="R264" s="606">
        <v>0</v>
      </c>
      <c r="S264" s="606">
        <v>0</v>
      </c>
      <c r="T264" s="609">
        <f t="shared" ref="T264" si="15">+SUM(G264:S264)/13</f>
        <v>0</v>
      </c>
    </row>
    <row r="265" spans="1:20">
      <c r="A265" s="89">
        <f>+A264+1</f>
        <v>102</v>
      </c>
      <c r="B265" s="71" t="s">
        <v>42</v>
      </c>
      <c r="C265" s="90"/>
      <c r="E265" s="90">
        <v>274</v>
      </c>
      <c r="F265" s="492"/>
      <c r="G265" s="607">
        <v>0</v>
      </c>
      <c r="H265" s="91"/>
      <c r="I265" s="91"/>
      <c r="J265" s="91"/>
      <c r="K265" s="91"/>
      <c r="L265" s="91"/>
      <c r="M265" s="91"/>
      <c r="N265" s="91"/>
      <c r="O265" s="91"/>
      <c r="P265" s="91"/>
      <c r="Q265" s="91"/>
      <c r="R265" s="41"/>
      <c r="S265" s="606">
        <v>0</v>
      </c>
      <c r="T265" s="609">
        <f>+(G265+S265)/2</f>
        <v>0</v>
      </c>
    </row>
    <row r="266" spans="1:20">
      <c r="E266" s="90"/>
      <c r="G266" s="91"/>
      <c r="H266" s="91"/>
      <c r="I266" s="91"/>
      <c r="J266" s="91"/>
      <c r="K266" s="91"/>
      <c r="L266" s="91"/>
      <c r="M266" s="91"/>
      <c r="N266" s="91"/>
      <c r="O266" s="91"/>
      <c r="P266" s="91"/>
      <c r="Q266" s="91"/>
      <c r="R266" s="91"/>
      <c r="S266" s="91"/>
      <c r="T266" s="610"/>
    </row>
    <row r="267" spans="1:20">
      <c r="A267" s="89"/>
      <c r="B267" s="71" t="str">
        <f>+'7A - Project ROE Adder'!Q8</f>
        <v>Name</v>
      </c>
      <c r="C267" s="90"/>
      <c r="E267" s="90"/>
      <c r="F267" s="492"/>
      <c r="G267" s="91"/>
      <c r="H267" s="91"/>
      <c r="I267" s="91"/>
      <c r="J267" s="91"/>
      <c r="K267" s="91"/>
      <c r="L267" s="91"/>
      <c r="M267" s="91"/>
      <c r="N267" s="91"/>
      <c r="O267" s="91"/>
      <c r="P267" s="91"/>
      <c r="Q267" s="91"/>
      <c r="R267" s="91"/>
      <c r="S267" s="91"/>
      <c r="T267" s="610"/>
    </row>
    <row r="268" spans="1:20">
      <c r="A268" s="89">
        <f>+A265+1</f>
        <v>103</v>
      </c>
      <c r="B268" s="71" t="s">
        <v>691</v>
      </c>
      <c r="C268" s="90"/>
      <c r="E268" s="90">
        <v>206</v>
      </c>
      <c r="F268" s="492"/>
      <c r="G268" s="607">
        <v>0</v>
      </c>
      <c r="H268" s="608">
        <v>0</v>
      </c>
      <c r="I268" s="608">
        <v>0</v>
      </c>
      <c r="J268" s="608">
        <v>0</v>
      </c>
      <c r="K268" s="608">
        <v>0</v>
      </c>
      <c r="L268" s="608">
        <v>0</v>
      </c>
      <c r="M268" s="608">
        <v>0</v>
      </c>
      <c r="N268" s="608">
        <v>0</v>
      </c>
      <c r="O268" s="608">
        <v>0</v>
      </c>
      <c r="P268" s="608">
        <v>0</v>
      </c>
      <c r="Q268" s="608">
        <v>0</v>
      </c>
      <c r="R268" s="606">
        <v>0</v>
      </c>
      <c r="S268" s="606">
        <v>0</v>
      </c>
      <c r="T268" s="609">
        <f>+SUM(G268:S268)/13</f>
        <v>0</v>
      </c>
    </row>
    <row r="269" spans="1:20">
      <c r="A269" s="89">
        <f>+A268+1</f>
        <v>104</v>
      </c>
      <c r="B269" s="71" t="s">
        <v>32</v>
      </c>
      <c r="C269" s="90"/>
      <c r="E269" s="90">
        <v>219</v>
      </c>
      <c r="F269" s="492"/>
      <c r="G269" s="607">
        <v>0</v>
      </c>
      <c r="H269" s="608">
        <v>0</v>
      </c>
      <c r="I269" s="608">
        <v>0</v>
      </c>
      <c r="J269" s="608">
        <v>0</v>
      </c>
      <c r="K269" s="608">
        <v>0</v>
      </c>
      <c r="L269" s="608">
        <v>0</v>
      </c>
      <c r="M269" s="608">
        <v>0</v>
      </c>
      <c r="N269" s="608">
        <v>0</v>
      </c>
      <c r="O269" s="608">
        <v>0</v>
      </c>
      <c r="P269" s="608">
        <v>0</v>
      </c>
      <c r="Q269" s="608">
        <v>0</v>
      </c>
      <c r="R269" s="606">
        <v>0</v>
      </c>
      <c r="S269" s="606">
        <v>0</v>
      </c>
      <c r="T269" s="609">
        <f t="shared" ref="T269" si="16">+SUM(G269:S269)/13</f>
        <v>0</v>
      </c>
    </row>
    <row r="270" spans="1:20">
      <c r="A270" s="89">
        <f>+A269+1</f>
        <v>105</v>
      </c>
      <c r="B270" s="71" t="s">
        <v>42</v>
      </c>
      <c r="C270" s="90"/>
      <c r="E270" s="90">
        <v>274</v>
      </c>
      <c r="F270" s="492"/>
      <c r="G270" s="607">
        <v>0</v>
      </c>
      <c r="H270" s="91"/>
      <c r="I270" s="91"/>
      <c r="J270" s="91"/>
      <c r="K270" s="91"/>
      <c r="L270" s="91"/>
      <c r="M270" s="91"/>
      <c r="N270" s="91"/>
      <c r="O270" s="91"/>
      <c r="P270" s="91"/>
      <c r="Q270" s="91"/>
      <c r="R270" s="41"/>
      <c r="S270" s="606">
        <v>0</v>
      </c>
      <c r="T270" s="609">
        <f>+(G270+S270)/2</f>
        <v>0</v>
      </c>
    </row>
    <row r="271" spans="1:20">
      <c r="E271" s="90"/>
      <c r="G271" s="91"/>
      <c r="H271" s="91"/>
      <c r="I271" s="91"/>
      <c r="J271" s="91"/>
      <c r="K271" s="91"/>
      <c r="L271" s="91"/>
      <c r="M271" s="91"/>
      <c r="N271" s="91"/>
      <c r="O271" s="91"/>
      <c r="P271" s="91"/>
      <c r="Q271" s="91"/>
      <c r="R271" s="91"/>
      <c r="S271" s="91"/>
      <c r="T271" s="610"/>
    </row>
    <row r="272" spans="1:20">
      <c r="A272" s="89"/>
      <c r="B272" s="71" t="str">
        <f>+'7A - Project ROE Adder'!S8</f>
        <v>Name</v>
      </c>
      <c r="C272" s="90"/>
      <c r="E272" s="90"/>
      <c r="F272" s="492"/>
      <c r="G272" s="91"/>
      <c r="H272" s="91"/>
      <c r="I272" s="91"/>
      <c r="J272" s="91"/>
      <c r="K272" s="91"/>
      <c r="L272" s="91"/>
      <c r="M272" s="91"/>
      <c r="N272" s="91"/>
      <c r="O272" s="91"/>
      <c r="P272" s="91"/>
      <c r="Q272" s="91"/>
      <c r="R272" s="91"/>
      <c r="S272" s="91"/>
      <c r="T272" s="610"/>
    </row>
    <row r="273" spans="1:20">
      <c r="A273" s="89">
        <f>+A270+1</f>
        <v>106</v>
      </c>
      <c r="B273" s="71" t="s">
        <v>691</v>
      </c>
      <c r="C273" s="90"/>
      <c r="E273" s="90">
        <v>206</v>
      </c>
      <c r="F273" s="492"/>
      <c r="G273" s="607">
        <v>0</v>
      </c>
      <c r="H273" s="608">
        <v>0</v>
      </c>
      <c r="I273" s="608">
        <v>0</v>
      </c>
      <c r="J273" s="608">
        <v>0</v>
      </c>
      <c r="K273" s="608">
        <v>0</v>
      </c>
      <c r="L273" s="608">
        <v>0</v>
      </c>
      <c r="M273" s="608">
        <v>0</v>
      </c>
      <c r="N273" s="608">
        <v>0</v>
      </c>
      <c r="O273" s="608">
        <v>0</v>
      </c>
      <c r="P273" s="608">
        <v>0</v>
      </c>
      <c r="Q273" s="608">
        <v>0</v>
      </c>
      <c r="R273" s="606">
        <v>0</v>
      </c>
      <c r="S273" s="606">
        <v>0</v>
      </c>
      <c r="T273" s="609">
        <f>+SUM(G273:S273)/13</f>
        <v>0</v>
      </c>
    </row>
    <row r="274" spans="1:20">
      <c r="A274" s="89">
        <f>+A273+1</f>
        <v>107</v>
      </c>
      <c r="B274" s="71" t="s">
        <v>32</v>
      </c>
      <c r="C274" s="90"/>
      <c r="E274" s="90">
        <v>219</v>
      </c>
      <c r="F274" s="492"/>
      <c r="G274" s="607">
        <v>0</v>
      </c>
      <c r="H274" s="608">
        <v>0</v>
      </c>
      <c r="I274" s="608">
        <v>0</v>
      </c>
      <c r="J274" s="608">
        <v>0</v>
      </c>
      <c r="K274" s="608">
        <v>0</v>
      </c>
      <c r="L274" s="608">
        <v>0</v>
      </c>
      <c r="M274" s="608">
        <v>0</v>
      </c>
      <c r="N274" s="608">
        <v>0</v>
      </c>
      <c r="O274" s="608">
        <v>0</v>
      </c>
      <c r="P274" s="608">
        <v>0</v>
      </c>
      <c r="Q274" s="608">
        <v>0</v>
      </c>
      <c r="R274" s="606">
        <v>0</v>
      </c>
      <c r="S274" s="606">
        <v>0</v>
      </c>
      <c r="T274" s="609">
        <f t="shared" ref="T274" si="17">+SUM(G274:S274)/13</f>
        <v>0</v>
      </c>
    </row>
    <row r="275" spans="1:20">
      <c r="A275" s="89">
        <f>+A274+1</f>
        <v>108</v>
      </c>
      <c r="B275" s="71" t="s">
        <v>42</v>
      </c>
      <c r="C275" s="90"/>
      <c r="E275" s="90">
        <v>274</v>
      </c>
      <c r="F275" s="492"/>
      <c r="G275" s="607">
        <v>0</v>
      </c>
      <c r="H275" s="91"/>
      <c r="I275" s="91"/>
      <c r="J275" s="91"/>
      <c r="K275" s="91"/>
      <c r="L275" s="91"/>
      <c r="M275" s="91"/>
      <c r="N275" s="91"/>
      <c r="O275" s="91"/>
      <c r="P275" s="91"/>
      <c r="Q275" s="91"/>
      <c r="R275" s="41"/>
      <c r="S275" s="606">
        <v>0</v>
      </c>
      <c r="T275" s="609">
        <f>+(G275+S275)/2</f>
        <v>0</v>
      </c>
    </row>
    <row r="276" spans="1:20">
      <c r="E276" s="90"/>
      <c r="G276" s="91"/>
      <c r="H276" s="91"/>
      <c r="I276" s="91"/>
      <c r="J276" s="91"/>
      <c r="K276" s="91"/>
      <c r="L276" s="91"/>
      <c r="M276" s="91"/>
      <c r="N276" s="91"/>
      <c r="O276" s="91"/>
      <c r="P276" s="91"/>
      <c r="Q276" s="91"/>
      <c r="R276" s="91"/>
      <c r="S276" s="91"/>
      <c r="T276" s="610"/>
    </row>
    <row r="277" spans="1:20">
      <c r="A277" s="89"/>
      <c r="B277" s="71" t="str">
        <f>+'7A - Project ROE Adder'!U8</f>
        <v>Name</v>
      </c>
      <c r="C277" s="90"/>
      <c r="E277" s="90"/>
      <c r="F277" s="492"/>
      <c r="G277" s="91"/>
      <c r="H277" s="91"/>
      <c r="I277" s="91"/>
      <c r="J277" s="91"/>
      <c r="K277" s="91"/>
      <c r="L277" s="91"/>
      <c r="M277" s="91"/>
      <c r="N277" s="91"/>
      <c r="O277" s="91"/>
      <c r="P277" s="91"/>
      <c r="Q277" s="91"/>
      <c r="R277" s="91"/>
      <c r="S277" s="91"/>
      <c r="T277" s="610"/>
    </row>
    <row r="278" spans="1:20">
      <c r="A278" s="89">
        <f>+A275+1</f>
        <v>109</v>
      </c>
      <c r="B278" s="71" t="s">
        <v>691</v>
      </c>
      <c r="C278" s="90"/>
      <c r="E278" s="90">
        <v>206</v>
      </c>
      <c r="F278" s="492"/>
      <c r="G278" s="607">
        <v>0</v>
      </c>
      <c r="H278" s="608">
        <v>0</v>
      </c>
      <c r="I278" s="608">
        <v>0</v>
      </c>
      <c r="J278" s="608">
        <v>0</v>
      </c>
      <c r="K278" s="608">
        <v>0</v>
      </c>
      <c r="L278" s="608">
        <v>0</v>
      </c>
      <c r="M278" s="608">
        <v>0</v>
      </c>
      <c r="N278" s="608">
        <v>0</v>
      </c>
      <c r="O278" s="608">
        <v>0</v>
      </c>
      <c r="P278" s="608">
        <v>0</v>
      </c>
      <c r="Q278" s="608">
        <v>0</v>
      </c>
      <c r="R278" s="606">
        <v>0</v>
      </c>
      <c r="S278" s="606">
        <v>0</v>
      </c>
      <c r="T278" s="609">
        <f>+SUM(G278:S278)/13</f>
        <v>0</v>
      </c>
    </row>
    <row r="279" spans="1:20">
      <c r="A279" s="89">
        <f>+A278+1</f>
        <v>110</v>
      </c>
      <c r="B279" s="71" t="s">
        <v>32</v>
      </c>
      <c r="C279" s="90"/>
      <c r="E279" s="90">
        <v>219</v>
      </c>
      <c r="F279" s="492"/>
      <c r="G279" s="607">
        <v>0</v>
      </c>
      <c r="H279" s="608">
        <v>0</v>
      </c>
      <c r="I279" s="608">
        <v>0</v>
      </c>
      <c r="J279" s="608">
        <v>0</v>
      </c>
      <c r="K279" s="608">
        <v>0</v>
      </c>
      <c r="L279" s="608">
        <v>0</v>
      </c>
      <c r="M279" s="608">
        <v>0</v>
      </c>
      <c r="N279" s="608">
        <v>0</v>
      </c>
      <c r="O279" s="608">
        <v>0</v>
      </c>
      <c r="P279" s="608">
        <v>0</v>
      </c>
      <c r="Q279" s="608">
        <v>0</v>
      </c>
      <c r="R279" s="606">
        <v>0</v>
      </c>
      <c r="S279" s="606">
        <v>0</v>
      </c>
      <c r="T279" s="609">
        <f t="shared" ref="T279" si="18">+SUM(G279:S279)/13</f>
        <v>0</v>
      </c>
    </row>
    <row r="280" spans="1:20">
      <c r="A280" s="89">
        <f>+A279+1</f>
        <v>111</v>
      </c>
      <c r="B280" s="71" t="s">
        <v>42</v>
      </c>
      <c r="C280" s="90"/>
      <c r="E280" s="90">
        <v>274</v>
      </c>
      <c r="F280" s="492"/>
      <c r="G280" s="607">
        <v>0</v>
      </c>
      <c r="H280" s="91"/>
      <c r="I280" s="91"/>
      <c r="J280" s="91"/>
      <c r="K280" s="91"/>
      <c r="L280" s="91"/>
      <c r="M280" s="91"/>
      <c r="N280" s="91"/>
      <c r="O280" s="91"/>
      <c r="P280" s="91"/>
      <c r="Q280" s="91"/>
      <c r="R280" s="41"/>
      <c r="S280" s="606">
        <v>0</v>
      </c>
      <c r="T280" s="609">
        <f>+(G280+S280)/2</f>
        <v>0</v>
      </c>
    </row>
    <row r="281" spans="1:20">
      <c r="E281" s="90"/>
      <c r="G281" s="91"/>
      <c r="H281" s="91"/>
      <c r="I281" s="91"/>
      <c r="J281" s="91"/>
      <c r="K281" s="91"/>
      <c r="L281" s="91"/>
      <c r="M281" s="91"/>
      <c r="N281" s="91"/>
      <c r="O281" s="91"/>
      <c r="P281" s="91"/>
      <c r="Q281" s="91"/>
      <c r="R281" s="91"/>
      <c r="S281" s="91"/>
      <c r="T281" s="610"/>
    </row>
    <row r="282" spans="1:20">
      <c r="A282" s="89"/>
      <c r="B282" s="71" t="str">
        <f>+'7A - Project ROE Adder'!W8</f>
        <v>Name</v>
      </c>
      <c r="C282" s="90"/>
      <c r="E282" s="90"/>
      <c r="F282" s="492"/>
      <c r="G282" s="91"/>
      <c r="H282" s="91"/>
      <c r="I282" s="91"/>
      <c r="J282" s="91"/>
      <c r="K282" s="91"/>
      <c r="L282" s="91"/>
      <c r="M282" s="91"/>
      <c r="N282" s="91"/>
      <c r="O282" s="91"/>
      <c r="P282" s="91"/>
      <c r="Q282" s="91"/>
      <c r="R282" s="91"/>
      <c r="S282" s="91"/>
      <c r="T282" s="610"/>
    </row>
    <row r="283" spans="1:20">
      <c r="A283" s="89">
        <f>+A280+1</f>
        <v>112</v>
      </c>
      <c r="B283" s="71" t="s">
        <v>691</v>
      </c>
      <c r="C283" s="90"/>
      <c r="E283" s="90">
        <v>206</v>
      </c>
      <c r="F283" s="492"/>
      <c r="G283" s="607">
        <v>0</v>
      </c>
      <c r="H283" s="608">
        <v>0</v>
      </c>
      <c r="I283" s="608">
        <v>0</v>
      </c>
      <c r="J283" s="608">
        <v>0</v>
      </c>
      <c r="K283" s="608">
        <v>0</v>
      </c>
      <c r="L283" s="608">
        <v>0</v>
      </c>
      <c r="M283" s="608">
        <v>0</v>
      </c>
      <c r="N283" s="608">
        <v>0</v>
      </c>
      <c r="O283" s="608">
        <v>0</v>
      </c>
      <c r="P283" s="608">
        <v>0</v>
      </c>
      <c r="Q283" s="608">
        <v>0</v>
      </c>
      <c r="R283" s="606">
        <v>0</v>
      </c>
      <c r="S283" s="606">
        <v>0</v>
      </c>
      <c r="T283" s="609">
        <f>+SUM(G283:S283)/13</f>
        <v>0</v>
      </c>
    </row>
    <row r="284" spans="1:20">
      <c r="A284" s="89">
        <f>+A283+1</f>
        <v>113</v>
      </c>
      <c r="B284" s="71" t="s">
        <v>32</v>
      </c>
      <c r="C284" s="90"/>
      <c r="E284" s="90">
        <v>219</v>
      </c>
      <c r="F284" s="492"/>
      <c r="G284" s="607">
        <v>0</v>
      </c>
      <c r="H284" s="608">
        <v>0</v>
      </c>
      <c r="I284" s="608">
        <v>0</v>
      </c>
      <c r="J284" s="608">
        <v>0</v>
      </c>
      <c r="K284" s="608">
        <v>0</v>
      </c>
      <c r="L284" s="608">
        <v>0</v>
      </c>
      <c r="M284" s="608">
        <v>0</v>
      </c>
      <c r="N284" s="608">
        <v>0</v>
      </c>
      <c r="O284" s="608">
        <v>0</v>
      </c>
      <c r="P284" s="608">
        <v>0</v>
      </c>
      <c r="Q284" s="608">
        <v>0</v>
      </c>
      <c r="R284" s="606">
        <v>0</v>
      </c>
      <c r="S284" s="606">
        <v>0</v>
      </c>
      <c r="T284" s="609">
        <f t="shared" ref="T284" si="19">+SUM(G284:S284)/13</f>
        <v>0</v>
      </c>
    </row>
    <row r="285" spans="1:20">
      <c r="A285" s="89">
        <f>+A284+1</f>
        <v>114</v>
      </c>
      <c r="B285" s="71" t="s">
        <v>42</v>
      </c>
      <c r="C285" s="90"/>
      <c r="E285" s="90">
        <v>274</v>
      </c>
      <c r="F285" s="492"/>
      <c r="G285" s="607">
        <v>0</v>
      </c>
      <c r="H285" s="91"/>
      <c r="I285" s="91"/>
      <c r="J285" s="91"/>
      <c r="K285" s="91"/>
      <c r="L285" s="91"/>
      <c r="M285" s="91"/>
      <c r="N285" s="91"/>
      <c r="O285" s="91"/>
      <c r="P285" s="91"/>
      <c r="Q285" s="91"/>
      <c r="R285" s="41"/>
      <c r="S285" s="606">
        <v>0</v>
      </c>
      <c r="T285" s="609">
        <f>+(G285+S285)/2</f>
        <v>0</v>
      </c>
    </row>
    <row r="286" spans="1:20">
      <c r="E286" s="90"/>
      <c r="G286" s="91"/>
      <c r="H286" s="91"/>
      <c r="I286" s="91"/>
      <c r="J286" s="91"/>
      <c r="K286" s="91"/>
      <c r="L286" s="91"/>
      <c r="M286" s="91"/>
      <c r="N286" s="91"/>
      <c r="O286" s="91"/>
      <c r="P286" s="91"/>
      <c r="Q286" s="91"/>
      <c r="R286" s="91"/>
      <c r="S286" s="91"/>
      <c r="T286" s="610"/>
    </row>
    <row r="287" spans="1:20">
      <c r="A287" s="89"/>
      <c r="B287" s="71" t="str">
        <f>+'7A - Project ROE Adder'!Y8</f>
        <v>Name</v>
      </c>
      <c r="C287" s="90"/>
      <c r="E287" s="90"/>
      <c r="F287" s="492"/>
      <c r="G287" s="91"/>
      <c r="H287" s="91"/>
      <c r="I287" s="91"/>
      <c r="J287" s="91"/>
      <c r="K287" s="91"/>
      <c r="L287" s="91"/>
      <c r="M287" s="91"/>
      <c r="N287" s="91"/>
      <c r="O287" s="91"/>
      <c r="P287" s="91"/>
      <c r="Q287" s="91"/>
      <c r="R287" s="91"/>
      <c r="S287" s="91"/>
      <c r="T287" s="610"/>
    </row>
    <row r="288" spans="1:20">
      <c r="A288" s="89">
        <f>+A285+1</f>
        <v>115</v>
      </c>
      <c r="B288" s="71" t="s">
        <v>691</v>
      </c>
      <c r="C288" s="90"/>
      <c r="E288" s="90">
        <v>206</v>
      </c>
      <c r="F288" s="492"/>
      <c r="G288" s="607">
        <v>0</v>
      </c>
      <c r="H288" s="608">
        <v>0</v>
      </c>
      <c r="I288" s="608">
        <v>0</v>
      </c>
      <c r="J288" s="608">
        <v>0</v>
      </c>
      <c r="K288" s="608">
        <v>0</v>
      </c>
      <c r="L288" s="608">
        <v>0</v>
      </c>
      <c r="M288" s="608">
        <v>0</v>
      </c>
      <c r="N288" s="608">
        <v>0</v>
      </c>
      <c r="O288" s="608">
        <v>0</v>
      </c>
      <c r="P288" s="608">
        <v>0</v>
      </c>
      <c r="Q288" s="608">
        <v>0</v>
      </c>
      <c r="R288" s="606">
        <v>0</v>
      </c>
      <c r="S288" s="606">
        <v>0</v>
      </c>
      <c r="T288" s="609">
        <f>+SUM(G288:S288)/13</f>
        <v>0</v>
      </c>
    </row>
    <row r="289" spans="1:21">
      <c r="A289" s="89">
        <f>+A288+1</f>
        <v>116</v>
      </c>
      <c r="B289" s="71" t="s">
        <v>32</v>
      </c>
      <c r="C289" s="90"/>
      <c r="E289" s="90">
        <v>219</v>
      </c>
      <c r="F289" s="492"/>
      <c r="G289" s="607">
        <v>0</v>
      </c>
      <c r="H289" s="608">
        <v>0</v>
      </c>
      <c r="I289" s="608">
        <v>0</v>
      </c>
      <c r="J289" s="608">
        <v>0</v>
      </c>
      <c r="K289" s="608">
        <v>0</v>
      </c>
      <c r="L289" s="608">
        <v>0</v>
      </c>
      <c r="M289" s="608">
        <v>0</v>
      </c>
      <c r="N289" s="608">
        <v>0</v>
      </c>
      <c r="O289" s="608">
        <v>0</v>
      </c>
      <c r="P289" s="608">
        <v>0</v>
      </c>
      <c r="Q289" s="608">
        <v>0</v>
      </c>
      <c r="R289" s="606">
        <v>0</v>
      </c>
      <c r="S289" s="606">
        <v>0</v>
      </c>
      <c r="T289" s="609">
        <f t="shared" ref="T289" si="20">+SUM(G289:S289)/13</f>
        <v>0</v>
      </c>
    </row>
    <row r="290" spans="1:21">
      <c r="A290" s="89">
        <f>+A289+1</f>
        <v>117</v>
      </c>
      <c r="B290" s="71" t="s">
        <v>42</v>
      </c>
      <c r="C290" s="90"/>
      <c r="E290" s="90">
        <v>274</v>
      </c>
      <c r="F290" s="492"/>
      <c r="G290" s="607">
        <v>0</v>
      </c>
      <c r="H290" s="91"/>
      <c r="I290" s="91"/>
      <c r="J290" s="91"/>
      <c r="K290" s="91"/>
      <c r="L290" s="91"/>
      <c r="M290" s="91"/>
      <c r="N290" s="91"/>
      <c r="O290" s="91"/>
      <c r="P290" s="91"/>
      <c r="Q290" s="91"/>
      <c r="R290" s="41"/>
      <c r="S290" s="606">
        <v>0</v>
      </c>
      <c r="T290" s="609">
        <f>+(G290+S290)/2</f>
        <v>0</v>
      </c>
    </row>
    <row r="291" spans="1:21" ht="15.75" thickBot="1">
      <c r="A291" s="97"/>
      <c r="B291" s="97"/>
      <c r="C291" s="97"/>
      <c r="D291" s="97"/>
      <c r="E291" s="97"/>
      <c r="F291" s="97"/>
      <c r="G291" s="97"/>
      <c r="H291" s="97"/>
      <c r="I291" s="97"/>
      <c r="J291" s="97"/>
      <c r="K291" s="97"/>
      <c r="L291" s="97"/>
      <c r="M291" s="97"/>
      <c r="N291" s="97"/>
      <c r="O291" s="97"/>
      <c r="P291" s="97"/>
      <c r="Q291" s="97"/>
      <c r="R291" s="97"/>
      <c r="S291" s="97"/>
      <c r="T291" s="798"/>
    </row>
    <row r="292" spans="1:21" ht="18.75" thickBot="1">
      <c r="U292" s="628"/>
    </row>
    <row r="293" spans="1:21" ht="16.5" thickBot="1">
      <c r="A293" s="73" t="s">
        <v>692</v>
      </c>
      <c r="G293" s="189" t="s">
        <v>491</v>
      </c>
      <c r="H293" s="896" t="s">
        <v>690</v>
      </c>
      <c r="I293" s="897"/>
      <c r="J293" s="897"/>
      <c r="K293" s="897"/>
      <c r="L293" s="897"/>
      <c r="M293" s="897"/>
      <c r="N293" s="897"/>
      <c r="O293" s="897"/>
      <c r="P293" s="897"/>
      <c r="Q293" s="897"/>
      <c r="R293" s="897"/>
      <c r="S293" s="898"/>
    </row>
    <row r="294" spans="1:21" ht="32.25" thickBot="1">
      <c r="A294" s="80" t="s">
        <v>492</v>
      </c>
      <c r="B294" s="81" t="s">
        <v>493</v>
      </c>
      <c r="C294" s="81"/>
      <c r="D294" s="81"/>
      <c r="E294" s="83" t="s">
        <v>494</v>
      </c>
      <c r="F294" s="789" t="s">
        <v>495</v>
      </c>
      <c r="G294" s="500" t="s">
        <v>496</v>
      </c>
      <c r="H294" s="82" t="s">
        <v>497</v>
      </c>
      <c r="I294" s="82" t="s">
        <v>498</v>
      </c>
      <c r="J294" s="82" t="s">
        <v>499</v>
      </c>
      <c r="K294" s="82" t="s">
        <v>500</v>
      </c>
      <c r="L294" s="82" t="s">
        <v>373</v>
      </c>
      <c r="M294" s="82" t="s">
        <v>501</v>
      </c>
      <c r="N294" s="82" t="s">
        <v>502</v>
      </c>
      <c r="O294" s="82" t="s">
        <v>503</v>
      </c>
      <c r="P294" s="82" t="s">
        <v>504</v>
      </c>
      <c r="Q294" s="82" t="s">
        <v>505</v>
      </c>
      <c r="R294" s="82" t="s">
        <v>506</v>
      </c>
      <c r="S294" s="82" t="s">
        <v>507</v>
      </c>
      <c r="T294" s="790" t="s">
        <v>693</v>
      </c>
    </row>
    <row r="295" spans="1:21">
      <c r="A295" s="89"/>
      <c r="B295" s="383" t="s">
        <v>694</v>
      </c>
      <c r="C295" s="384"/>
      <c r="F295" s="492"/>
      <c r="T295" s="537"/>
    </row>
    <row r="296" spans="1:21">
      <c r="A296" s="89">
        <f>+A290+1</f>
        <v>118</v>
      </c>
      <c r="B296" s="71" t="s">
        <v>695</v>
      </c>
      <c r="C296" s="90"/>
      <c r="E296" s="90" t="s">
        <v>696</v>
      </c>
      <c r="F296" s="492"/>
      <c r="G296" s="607">
        <v>23562405.790000003</v>
      </c>
      <c r="H296" s="607">
        <f>G296</f>
        <v>23562405.790000003</v>
      </c>
      <c r="I296" s="607">
        <f>H296</f>
        <v>23562405.790000003</v>
      </c>
      <c r="J296" s="607">
        <f t="shared" ref="J296:S296" si="21">I296</f>
        <v>23562405.790000003</v>
      </c>
      <c r="K296" s="607">
        <f t="shared" si="21"/>
        <v>23562405.790000003</v>
      </c>
      <c r="L296" s="607">
        <f t="shared" si="21"/>
        <v>23562405.790000003</v>
      </c>
      <c r="M296" s="607">
        <f t="shared" si="21"/>
        <v>23562405.790000003</v>
      </c>
      <c r="N296" s="607">
        <f t="shared" si="21"/>
        <v>23562405.790000003</v>
      </c>
      <c r="O296" s="607">
        <f t="shared" si="21"/>
        <v>23562405.790000003</v>
      </c>
      <c r="P296" s="607">
        <f t="shared" si="21"/>
        <v>23562405.790000003</v>
      </c>
      <c r="Q296" s="607">
        <f t="shared" si="21"/>
        <v>23562405.790000003</v>
      </c>
      <c r="R296" s="800">
        <f t="shared" si="21"/>
        <v>23562405.790000003</v>
      </c>
      <c r="S296" s="800">
        <f t="shared" si="21"/>
        <v>23562405.790000003</v>
      </c>
      <c r="T296" s="801">
        <f>+SUM(G296:S296)/13</f>
        <v>23562405.789999999</v>
      </c>
    </row>
    <row r="297" spans="1:21">
      <c r="A297" s="89">
        <f>+A296+1</f>
        <v>119</v>
      </c>
      <c r="B297" s="71" t="s">
        <v>32</v>
      </c>
      <c r="C297" s="90"/>
      <c r="E297" s="90">
        <v>219</v>
      </c>
      <c r="F297" s="492"/>
      <c r="G297" s="607">
        <v>146704.08853034658</v>
      </c>
      <c r="H297" s="607">
        <f>G297+H298</f>
        <v>188706.46207032702</v>
      </c>
      <c r="I297" s="607">
        <f>H297+I298</f>
        <v>230708.83561030746</v>
      </c>
      <c r="J297" s="607">
        <f t="shared" ref="J297:S297" si="22">I297+J298</f>
        <v>272711.2091502879</v>
      </c>
      <c r="K297" s="607">
        <f t="shared" si="22"/>
        <v>314713.58269026835</v>
      </c>
      <c r="L297" s="607">
        <f t="shared" si="22"/>
        <v>356715.95623024879</v>
      </c>
      <c r="M297" s="607">
        <f t="shared" si="22"/>
        <v>398718.32977022923</v>
      </c>
      <c r="N297" s="607">
        <f t="shared" si="22"/>
        <v>440720.70331020968</v>
      </c>
      <c r="O297" s="607">
        <f t="shared" si="22"/>
        <v>482723.07685019012</v>
      </c>
      <c r="P297" s="607">
        <f t="shared" si="22"/>
        <v>524725.45039017056</v>
      </c>
      <c r="Q297" s="607">
        <f t="shared" si="22"/>
        <v>566727.82393015095</v>
      </c>
      <c r="R297" s="800">
        <f t="shared" si="22"/>
        <v>608730.19747013133</v>
      </c>
      <c r="S297" s="800">
        <f t="shared" si="22"/>
        <v>650732.57101011171</v>
      </c>
      <c r="T297" s="801">
        <f t="shared" ref="T297" si="23">+SUM(G297:S297)/13</f>
        <v>398718.32977022923</v>
      </c>
    </row>
    <row r="298" spans="1:21">
      <c r="A298" s="89">
        <f>+A297+1</f>
        <v>120</v>
      </c>
      <c r="B298" s="71" t="s">
        <v>697</v>
      </c>
      <c r="C298" s="90"/>
      <c r="E298" s="90">
        <v>336</v>
      </c>
      <c r="F298" s="492"/>
      <c r="G298" s="607"/>
      <c r="H298" s="607">
        <v>42002.373539980435</v>
      </c>
      <c r="I298" s="607">
        <v>42002.373539980435</v>
      </c>
      <c r="J298" s="607">
        <v>42002.373539980435</v>
      </c>
      <c r="K298" s="607">
        <v>42002.373539980435</v>
      </c>
      <c r="L298" s="607">
        <v>42002.373539980435</v>
      </c>
      <c r="M298" s="607">
        <v>42002.373539980435</v>
      </c>
      <c r="N298" s="607">
        <v>42002.373539980435</v>
      </c>
      <c r="O298" s="607">
        <v>42002.373539980435</v>
      </c>
      <c r="P298" s="607">
        <v>42002.373539980435</v>
      </c>
      <c r="Q298" s="607">
        <v>42002.373539980435</v>
      </c>
      <c r="R298" s="607">
        <v>42002.373539980435</v>
      </c>
      <c r="S298" s="607">
        <v>42002.373539980435</v>
      </c>
      <c r="T298" s="801">
        <f>SUM(H298:S298)</f>
        <v>504028.48247976525</v>
      </c>
    </row>
    <row r="299" spans="1:21">
      <c r="A299" s="89"/>
      <c r="C299" s="90"/>
      <c r="E299" s="90"/>
      <c r="F299" s="492"/>
      <c r="G299" s="92"/>
      <c r="H299" s="91"/>
      <c r="I299" s="91"/>
      <c r="J299" s="91"/>
      <c r="K299" s="91"/>
      <c r="L299" s="91"/>
      <c r="M299" s="91"/>
      <c r="N299" s="91"/>
      <c r="O299" s="91"/>
      <c r="P299" s="91"/>
      <c r="Q299" s="91"/>
      <c r="R299" s="41"/>
      <c r="S299" s="41"/>
      <c r="T299" s="609"/>
    </row>
    <row r="300" spans="1:21">
      <c r="A300" s="89"/>
      <c r="B300" s="383" t="str">
        <f>+'7B - Schedule 12 Projects'!I8</f>
        <v>Name</v>
      </c>
      <c r="C300" s="90"/>
      <c r="E300" s="90"/>
      <c r="F300" s="492"/>
      <c r="G300" s="91"/>
      <c r="H300" s="91"/>
      <c r="I300" s="91"/>
      <c r="J300" s="91"/>
      <c r="K300" s="91"/>
      <c r="L300" s="91"/>
      <c r="M300" s="91"/>
      <c r="N300" s="91"/>
      <c r="O300" s="91"/>
      <c r="P300" s="91"/>
      <c r="Q300" s="91"/>
      <c r="R300" s="91"/>
      <c r="S300" s="91"/>
      <c r="T300" s="610"/>
    </row>
    <row r="301" spans="1:21">
      <c r="A301" s="89">
        <f>+A298+1</f>
        <v>121</v>
      </c>
      <c r="B301" s="71" t="s">
        <v>695</v>
      </c>
      <c r="C301" s="90"/>
      <c r="E301" s="90" t="s">
        <v>696</v>
      </c>
      <c r="F301" s="492"/>
      <c r="G301" s="607">
        <v>0</v>
      </c>
      <c r="H301" s="608">
        <v>0</v>
      </c>
      <c r="I301" s="608">
        <v>0</v>
      </c>
      <c r="J301" s="608">
        <v>0</v>
      </c>
      <c r="K301" s="608">
        <v>0</v>
      </c>
      <c r="L301" s="608">
        <v>0</v>
      </c>
      <c r="M301" s="608">
        <v>0</v>
      </c>
      <c r="N301" s="608">
        <v>0</v>
      </c>
      <c r="O301" s="608">
        <v>0</v>
      </c>
      <c r="P301" s="608">
        <v>0</v>
      </c>
      <c r="Q301" s="608">
        <v>0</v>
      </c>
      <c r="R301" s="606">
        <v>0</v>
      </c>
      <c r="S301" s="606">
        <v>0</v>
      </c>
      <c r="T301" s="609">
        <f>+SUM(G301:S301)/13</f>
        <v>0</v>
      </c>
    </row>
    <row r="302" spans="1:21">
      <c r="A302" s="89">
        <f>+A301+1</f>
        <v>122</v>
      </c>
      <c r="B302" s="71" t="s">
        <v>32</v>
      </c>
      <c r="C302" s="90"/>
      <c r="E302" s="90">
        <v>219</v>
      </c>
      <c r="F302" s="492"/>
      <c r="G302" s="607">
        <v>0</v>
      </c>
      <c r="H302" s="608">
        <v>0</v>
      </c>
      <c r="I302" s="608">
        <v>0</v>
      </c>
      <c r="J302" s="608">
        <v>0</v>
      </c>
      <c r="K302" s="608">
        <v>0</v>
      </c>
      <c r="L302" s="608">
        <v>0</v>
      </c>
      <c r="M302" s="608">
        <v>0</v>
      </c>
      <c r="N302" s="608">
        <v>0</v>
      </c>
      <c r="O302" s="608">
        <v>0</v>
      </c>
      <c r="P302" s="608">
        <v>0</v>
      </c>
      <c r="Q302" s="608">
        <v>0</v>
      </c>
      <c r="R302" s="606">
        <v>0</v>
      </c>
      <c r="S302" s="606">
        <v>0</v>
      </c>
      <c r="T302" s="609">
        <f t="shared" ref="T302" si="24">+SUM(G302:S302)/13</f>
        <v>0</v>
      </c>
    </row>
    <row r="303" spans="1:21">
      <c r="A303" s="72">
        <f>+A302+1</f>
        <v>123</v>
      </c>
      <c r="B303" s="71" t="s">
        <v>697</v>
      </c>
      <c r="C303" s="90"/>
      <c r="E303" s="90">
        <v>336</v>
      </c>
      <c r="F303" s="492"/>
      <c r="G303" s="92"/>
      <c r="H303" s="91"/>
      <c r="I303" s="91"/>
      <c r="J303" s="91"/>
      <c r="K303" s="91"/>
      <c r="L303" s="91"/>
      <c r="M303" s="91"/>
      <c r="N303" s="91"/>
      <c r="O303" s="91"/>
      <c r="P303" s="91"/>
      <c r="Q303" s="91"/>
      <c r="R303" s="41"/>
      <c r="S303" s="41"/>
      <c r="T303" s="611">
        <v>0</v>
      </c>
    </row>
    <row r="304" spans="1:21">
      <c r="E304" s="90"/>
      <c r="G304" s="91"/>
      <c r="H304" s="91"/>
      <c r="I304" s="91"/>
      <c r="J304" s="91"/>
      <c r="K304" s="91"/>
      <c r="L304" s="91"/>
      <c r="M304" s="91"/>
      <c r="N304" s="91"/>
      <c r="O304" s="91"/>
      <c r="P304" s="91"/>
      <c r="Q304" s="91"/>
      <c r="R304" s="91"/>
      <c r="S304" s="91"/>
      <c r="T304" s="610"/>
    </row>
    <row r="305" spans="1:20">
      <c r="A305" s="89"/>
      <c r="B305" s="383" t="str">
        <f>+'7B - Schedule 12 Projects'!K8</f>
        <v>Name</v>
      </c>
      <c r="C305" s="90"/>
      <c r="E305" s="90"/>
      <c r="F305" s="492"/>
      <c r="G305" s="91"/>
      <c r="H305" s="91"/>
      <c r="I305" s="91"/>
      <c r="J305" s="91"/>
      <c r="K305" s="91"/>
      <c r="L305" s="91"/>
      <c r="M305" s="91"/>
      <c r="N305" s="91"/>
      <c r="O305" s="91"/>
      <c r="P305" s="91"/>
      <c r="Q305" s="91"/>
      <c r="R305" s="91"/>
      <c r="S305" s="91"/>
      <c r="T305" s="610"/>
    </row>
    <row r="306" spans="1:20">
      <c r="A306" s="89">
        <f>+A303+1</f>
        <v>124</v>
      </c>
      <c r="B306" s="71" t="s">
        <v>695</v>
      </c>
      <c r="C306" s="90"/>
      <c r="E306" s="90" t="s">
        <v>696</v>
      </c>
      <c r="F306" s="492"/>
      <c r="G306" s="607">
        <v>0</v>
      </c>
      <c r="H306" s="608">
        <v>0</v>
      </c>
      <c r="I306" s="608">
        <v>0</v>
      </c>
      <c r="J306" s="608">
        <v>0</v>
      </c>
      <c r="K306" s="608">
        <v>0</v>
      </c>
      <c r="L306" s="608">
        <v>0</v>
      </c>
      <c r="M306" s="608">
        <v>0</v>
      </c>
      <c r="N306" s="608">
        <v>0</v>
      </c>
      <c r="O306" s="608">
        <v>0</v>
      </c>
      <c r="P306" s="608">
        <v>0</v>
      </c>
      <c r="Q306" s="608">
        <v>0</v>
      </c>
      <c r="R306" s="606">
        <v>0</v>
      </c>
      <c r="S306" s="606">
        <v>0</v>
      </c>
      <c r="T306" s="609">
        <f>+SUM(G306:S306)/13</f>
        <v>0</v>
      </c>
    </row>
    <row r="307" spans="1:20">
      <c r="A307" s="89">
        <f>+A306+1</f>
        <v>125</v>
      </c>
      <c r="B307" s="71" t="s">
        <v>32</v>
      </c>
      <c r="C307" s="90"/>
      <c r="E307" s="90">
        <v>219</v>
      </c>
      <c r="F307" s="492"/>
      <c r="G307" s="607">
        <v>0</v>
      </c>
      <c r="H307" s="608">
        <v>0</v>
      </c>
      <c r="I307" s="608">
        <v>0</v>
      </c>
      <c r="J307" s="608">
        <v>0</v>
      </c>
      <c r="K307" s="608">
        <v>0</v>
      </c>
      <c r="L307" s="608">
        <v>0</v>
      </c>
      <c r="M307" s="608">
        <v>0</v>
      </c>
      <c r="N307" s="608">
        <v>0</v>
      </c>
      <c r="O307" s="608">
        <v>0</v>
      </c>
      <c r="P307" s="608">
        <v>0</v>
      </c>
      <c r="Q307" s="608">
        <v>0</v>
      </c>
      <c r="R307" s="606">
        <v>0</v>
      </c>
      <c r="S307" s="606">
        <v>0</v>
      </c>
      <c r="T307" s="609">
        <f t="shared" ref="T307" si="25">+SUM(G307:S307)/13</f>
        <v>0</v>
      </c>
    </row>
    <row r="308" spans="1:20">
      <c r="A308" s="72">
        <f>+A307+1</f>
        <v>126</v>
      </c>
      <c r="B308" s="71" t="s">
        <v>697</v>
      </c>
      <c r="C308" s="90"/>
      <c r="E308" s="90">
        <v>336</v>
      </c>
      <c r="F308" s="492"/>
      <c r="G308" s="92"/>
      <c r="H308" s="91"/>
      <c r="I308" s="91"/>
      <c r="J308" s="91"/>
      <c r="K308" s="91"/>
      <c r="L308" s="91"/>
      <c r="M308" s="91"/>
      <c r="N308" s="91"/>
      <c r="O308" s="91"/>
      <c r="P308" s="91"/>
      <c r="Q308" s="91"/>
      <c r="R308" s="41"/>
      <c r="S308" s="41"/>
      <c r="T308" s="611">
        <v>0</v>
      </c>
    </row>
    <row r="309" spans="1:20">
      <c r="E309" s="90"/>
      <c r="G309" s="91"/>
      <c r="H309" s="91"/>
      <c r="I309" s="91"/>
      <c r="J309" s="91"/>
      <c r="K309" s="91"/>
      <c r="L309" s="91"/>
      <c r="M309" s="91"/>
      <c r="N309" s="91"/>
      <c r="O309" s="91"/>
      <c r="P309" s="91"/>
      <c r="Q309" s="91"/>
      <c r="R309" s="91"/>
      <c r="S309" s="91"/>
      <c r="T309" s="610"/>
    </row>
    <row r="310" spans="1:20">
      <c r="A310" s="89"/>
      <c r="B310" s="383" t="str">
        <f>+'7B - Schedule 12 Projects'!M8</f>
        <v>Name</v>
      </c>
      <c r="C310" s="90"/>
      <c r="E310" s="90"/>
      <c r="F310" s="492"/>
      <c r="G310" s="91"/>
      <c r="H310" s="91"/>
      <c r="I310" s="91"/>
      <c r="J310" s="91"/>
      <c r="K310" s="91"/>
      <c r="L310" s="91"/>
      <c r="M310" s="91"/>
      <c r="N310" s="91"/>
      <c r="O310" s="91"/>
      <c r="P310" s="91"/>
      <c r="Q310" s="91"/>
      <c r="R310" s="91"/>
      <c r="S310" s="91"/>
      <c r="T310" s="610"/>
    </row>
    <row r="311" spans="1:20">
      <c r="A311" s="89">
        <f>+A308+1</f>
        <v>127</v>
      </c>
      <c r="B311" s="71" t="s">
        <v>695</v>
      </c>
      <c r="C311" s="90"/>
      <c r="E311" s="90" t="s">
        <v>696</v>
      </c>
      <c r="F311" s="492"/>
      <c r="G311" s="607">
        <v>0</v>
      </c>
      <c r="H311" s="608">
        <v>0</v>
      </c>
      <c r="I311" s="608">
        <v>0</v>
      </c>
      <c r="J311" s="608">
        <v>0</v>
      </c>
      <c r="K311" s="608">
        <v>0</v>
      </c>
      <c r="L311" s="608">
        <v>0</v>
      </c>
      <c r="M311" s="608">
        <v>0</v>
      </c>
      <c r="N311" s="608">
        <v>0</v>
      </c>
      <c r="O311" s="608">
        <v>0</v>
      </c>
      <c r="P311" s="608">
        <v>0</v>
      </c>
      <c r="Q311" s="608">
        <v>0</v>
      </c>
      <c r="R311" s="606">
        <v>0</v>
      </c>
      <c r="S311" s="606">
        <v>0</v>
      </c>
      <c r="T311" s="609">
        <f>+SUM(G311:S311)/13</f>
        <v>0</v>
      </c>
    </row>
    <row r="312" spans="1:20">
      <c r="A312" s="89">
        <f>+A311+1</f>
        <v>128</v>
      </c>
      <c r="B312" s="71" t="s">
        <v>32</v>
      </c>
      <c r="C312" s="90"/>
      <c r="E312" s="90">
        <v>219</v>
      </c>
      <c r="F312" s="492"/>
      <c r="G312" s="607">
        <v>0</v>
      </c>
      <c r="H312" s="608">
        <v>0</v>
      </c>
      <c r="I312" s="608">
        <v>0</v>
      </c>
      <c r="J312" s="608">
        <v>0</v>
      </c>
      <c r="K312" s="608">
        <v>0</v>
      </c>
      <c r="L312" s="608">
        <v>0</v>
      </c>
      <c r="M312" s="608">
        <v>0</v>
      </c>
      <c r="N312" s="608">
        <v>0</v>
      </c>
      <c r="O312" s="608">
        <v>0</v>
      </c>
      <c r="P312" s="608">
        <v>0</v>
      </c>
      <c r="Q312" s="608">
        <v>0</v>
      </c>
      <c r="R312" s="606">
        <v>0</v>
      </c>
      <c r="S312" s="606">
        <v>0</v>
      </c>
      <c r="T312" s="609">
        <f t="shared" ref="T312" si="26">+SUM(G312:S312)/13</f>
        <v>0</v>
      </c>
    </row>
    <row r="313" spans="1:20">
      <c r="A313" s="72">
        <f>+A312+1</f>
        <v>129</v>
      </c>
      <c r="B313" s="71" t="s">
        <v>697</v>
      </c>
      <c r="C313" s="90"/>
      <c r="E313" s="90">
        <v>336</v>
      </c>
      <c r="F313" s="492"/>
      <c r="G313" s="92"/>
      <c r="H313" s="91"/>
      <c r="I313" s="91"/>
      <c r="J313" s="91"/>
      <c r="K313" s="91"/>
      <c r="L313" s="91"/>
      <c r="M313" s="91"/>
      <c r="N313" s="91"/>
      <c r="O313" s="91"/>
      <c r="P313" s="91"/>
      <c r="Q313" s="91"/>
      <c r="R313" s="41"/>
      <c r="S313" s="41"/>
      <c r="T313" s="611">
        <v>0</v>
      </c>
    </row>
    <row r="314" spans="1:20">
      <c r="C314" s="90"/>
      <c r="E314" s="90"/>
      <c r="F314" s="492"/>
      <c r="G314" s="92"/>
      <c r="H314" s="91"/>
      <c r="I314" s="91"/>
      <c r="J314" s="91"/>
      <c r="K314" s="91"/>
      <c r="L314" s="91"/>
      <c r="M314" s="91"/>
      <c r="N314" s="91"/>
      <c r="O314" s="91"/>
      <c r="P314" s="91"/>
      <c r="Q314" s="91"/>
      <c r="R314" s="41"/>
      <c r="S314" s="41"/>
      <c r="T314" s="609"/>
    </row>
    <row r="315" spans="1:20">
      <c r="A315" s="89"/>
      <c r="B315" s="383" t="str">
        <f>+'7B - Schedule 12 Projects'!O8</f>
        <v>Name</v>
      </c>
      <c r="C315" s="90"/>
      <c r="E315" s="90"/>
      <c r="F315" s="492"/>
      <c r="G315" s="91"/>
      <c r="H315" s="91"/>
      <c r="I315" s="91"/>
      <c r="J315" s="91"/>
      <c r="K315" s="91"/>
      <c r="L315" s="91"/>
      <c r="M315" s="91"/>
      <c r="N315" s="91"/>
      <c r="O315" s="91"/>
      <c r="P315" s="91"/>
      <c r="Q315" s="91"/>
      <c r="R315" s="91"/>
      <c r="S315" s="91"/>
      <c r="T315" s="610"/>
    </row>
    <row r="316" spans="1:20">
      <c r="A316" s="89">
        <f>+A313+1</f>
        <v>130</v>
      </c>
      <c r="B316" s="71" t="s">
        <v>695</v>
      </c>
      <c r="C316" s="90"/>
      <c r="E316" s="90" t="s">
        <v>696</v>
      </c>
      <c r="F316" s="492"/>
      <c r="G316" s="607">
        <v>0</v>
      </c>
      <c r="H316" s="608">
        <v>0</v>
      </c>
      <c r="I316" s="608">
        <v>0</v>
      </c>
      <c r="J316" s="608">
        <v>0</v>
      </c>
      <c r="K316" s="608">
        <v>0</v>
      </c>
      <c r="L316" s="608">
        <v>0</v>
      </c>
      <c r="M316" s="608">
        <v>0</v>
      </c>
      <c r="N316" s="608">
        <v>0</v>
      </c>
      <c r="O316" s="608">
        <v>0</v>
      </c>
      <c r="P316" s="608">
        <v>0</v>
      </c>
      <c r="Q316" s="608">
        <v>0</v>
      </c>
      <c r="R316" s="606">
        <v>0</v>
      </c>
      <c r="S316" s="606">
        <v>0</v>
      </c>
      <c r="T316" s="609">
        <f>+SUM(G316:S316)/13</f>
        <v>0</v>
      </c>
    </row>
    <row r="317" spans="1:20">
      <c r="A317" s="89">
        <f>+A316+1</f>
        <v>131</v>
      </c>
      <c r="B317" s="71" t="s">
        <v>32</v>
      </c>
      <c r="C317" s="90"/>
      <c r="E317" s="90">
        <v>219</v>
      </c>
      <c r="F317" s="492"/>
      <c r="G317" s="607">
        <v>0</v>
      </c>
      <c r="H317" s="608">
        <v>0</v>
      </c>
      <c r="I317" s="608">
        <v>0</v>
      </c>
      <c r="J317" s="608">
        <v>0</v>
      </c>
      <c r="K317" s="608">
        <v>0</v>
      </c>
      <c r="L317" s="608">
        <v>0</v>
      </c>
      <c r="M317" s="608">
        <v>0</v>
      </c>
      <c r="N317" s="608">
        <v>0</v>
      </c>
      <c r="O317" s="608">
        <v>0</v>
      </c>
      <c r="P317" s="608">
        <v>0</v>
      </c>
      <c r="Q317" s="608">
        <v>0</v>
      </c>
      <c r="R317" s="606">
        <v>0</v>
      </c>
      <c r="S317" s="606">
        <v>0</v>
      </c>
      <c r="T317" s="609">
        <f t="shared" ref="T317" si="27">+SUM(G317:S317)/13</f>
        <v>0</v>
      </c>
    </row>
    <row r="318" spans="1:20">
      <c r="A318" s="89">
        <f>+A317+1</f>
        <v>132</v>
      </c>
      <c r="B318" s="71" t="s">
        <v>697</v>
      </c>
      <c r="C318" s="90"/>
      <c r="E318" s="90">
        <v>336</v>
      </c>
      <c r="F318" s="492"/>
      <c r="G318" s="92"/>
      <c r="H318" s="91"/>
      <c r="I318" s="91"/>
      <c r="J318" s="91"/>
      <c r="K318" s="91"/>
      <c r="L318" s="91"/>
      <c r="M318" s="91"/>
      <c r="N318" s="91"/>
      <c r="O318" s="91"/>
      <c r="P318" s="91"/>
      <c r="Q318" s="91"/>
      <c r="R318" s="41"/>
      <c r="S318" s="41"/>
      <c r="T318" s="611">
        <v>0</v>
      </c>
    </row>
    <row r="319" spans="1:20">
      <c r="A319" s="89"/>
      <c r="C319" s="90"/>
      <c r="E319" s="90"/>
      <c r="F319" s="492"/>
      <c r="G319" s="92"/>
      <c r="H319" s="91"/>
      <c r="I319" s="91"/>
      <c r="J319" s="91"/>
      <c r="K319" s="91"/>
      <c r="L319" s="91"/>
      <c r="M319" s="91"/>
      <c r="N319" s="91"/>
      <c r="O319" s="91"/>
      <c r="P319" s="91"/>
      <c r="Q319" s="91"/>
      <c r="R319" s="41"/>
      <c r="S319" s="41"/>
      <c r="T319" s="609"/>
    </row>
    <row r="320" spans="1:20">
      <c r="A320" s="89"/>
      <c r="B320" s="383" t="str">
        <f>+'7B - Schedule 12 Projects'!Q8</f>
        <v>Name</v>
      </c>
      <c r="C320" s="90"/>
      <c r="E320" s="90"/>
      <c r="F320" s="492"/>
      <c r="G320" s="91"/>
      <c r="H320" s="91"/>
      <c r="I320" s="91"/>
      <c r="J320" s="91"/>
      <c r="K320" s="91"/>
      <c r="L320" s="91"/>
      <c r="M320" s="91"/>
      <c r="N320" s="91"/>
      <c r="O320" s="91"/>
      <c r="P320" s="91"/>
      <c r="Q320" s="91"/>
      <c r="R320" s="91"/>
      <c r="S320" s="91"/>
      <c r="T320" s="610"/>
    </row>
    <row r="321" spans="1:20">
      <c r="A321" s="89">
        <f>+A318+1</f>
        <v>133</v>
      </c>
      <c r="B321" s="71" t="s">
        <v>695</v>
      </c>
      <c r="C321" s="90"/>
      <c r="E321" s="90" t="s">
        <v>696</v>
      </c>
      <c r="F321" s="492"/>
      <c r="G321" s="607">
        <v>0</v>
      </c>
      <c r="H321" s="608">
        <v>0</v>
      </c>
      <c r="I321" s="608">
        <v>0</v>
      </c>
      <c r="J321" s="608">
        <v>0</v>
      </c>
      <c r="K321" s="608">
        <v>0</v>
      </c>
      <c r="L321" s="608">
        <v>0</v>
      </c>
      <c r="M321" s="608">
        <v>0</v>
      </c>
      <c r="N321" s="608">
        <v>0</v>
      </c>
      <c r="O321" s="608">
        <v>0</v>
      </c>
      <c r="P321" s="608">
        <v>0</v>
      </c>
      <c r="Q321" s="608">
        <v>0</v>
      </c>
      <c r="R321" s="606">
        <v>0</v>
      </c>
      <c r="S321" s="606">
        <v>0</v>
      </c>
      <c r="T321" s="609">
        <f>+SUM(G321:S321)/13</f>
        <v>0</v>
      </c>
    </row>
    <row r="322" spans="1:20">
      <c r="A322" s="89">
        <f>+A321+1</f>
        <v>134</v>
      </c>
      <c r="B322" s="71" t="s">
        <v>32</v>
      </c>
      <c r="C322" s="90"/>
      <c r="E322" s="90">
        <v>219</v>
      </c>
      <c r="F322" s="492"/>
      <c r="G322" s="607">
        <v>0</v>
      </c>
      <c r="H322" s="608">
        <v>0</v>
      </c>
      <c r="I322" s="608">
        <v>0</v>
      </c>
      <c r="J322" s="608">
        <v>0</v>
      </c>
      <c r="K322" s="608">
        <v>0</v>
      </c>
      <c r="L322" s="608">
        <v>0</v>
      </c>
      <c r="M322" s="608">
        <v>0</v>
      </c>
      <c r="N322" s="608">
        <v>0</v>
      </c>
      <c r="O322" s="608">
        <v>0</v>
      </c>
      <c r="P322" s="608">
        <v>0</v>
      </c>
      <c r="Q322" s="608">
        <v>0</v>
      </c>
      <c r="R322" s="606">
        <v>0</v>
      </c>
      <c r="S322" s="606">
        <v>0</v>
      </c>
      <c r="T322" s="609">
        <f t="shared" ref="T322" si="28">+SUM(G322:S322)/13</f>
        <v>0</v>
      </c>
    </row>
    <row r="323" spans="1:20">
      <c r="A323" s="89">
        <f>+A322+1</f>
        <v>135</v>
      </c>
      <c r="B323" s="71" t="s">
        <v>697</v>
      </c>
      <c r="C323" s="90"/>
      <c r="E323" s="90">
        <v>336</v>
      </c>
      <c r="F323" s="492"/>
      <c r="G323" s="92"/>
      <c r="H323" s="91"/>
      <c r="I323" s="91"/>
      <c r="J323" s="91"/>
      <c r="K323" s="91"/>
      <c r="L323" s="91"/>
      <c r="M323" s="91"/>
      <c r="N323" s="91"/>
      <c r="O323" s="91"/>
      <c r="P323" s="91"/>
      <c r="Q323" s="91"/>
      <c r="R323" s="41"/>
      <c r="S323" s="41"/>
      <c r="T323" s="611">
        <v>0</v>
      </c>
    </row>
    <row r="324" spans="1:20">
      <c r="A324" s="89"/>
      <c r="C324" s="90"/>
      <c r="E324" s="90"/>
      <c r="F324" s="492"/>
      <c r="G324" s="92"/>
      <c r="H324" s="91"/>
      <c r="I324" s="91"/>
      <c r="J324" s="91"/>
      <c r="K324" s="91"/>
      <c r="L324" s="91"/>
      <c r="M324" s="91"/>
      <c r="N324" s="91"/>
      <c r="O324" s="91"/>
      <c r="P324" s="91"/>
      <c r="Q324" s="91"/>
      <c r="R324" s="41"/>
      <c r="S324" s="41"/>
      <c r="T324" s="609"/>
    </row>
    <row r="325" spans="1:20">
      <c r="A325" s="89"/>
      <c r="B325" s="383" t="str">
        <f>+'7B - Schedule 12 Projects'!S8</f>
        <v>Name</v>
      </c>
      <c r="C325" s="90"/>
      <c r="E325" s="90"/>
      <c r="F325" s="492"/>
      <c r="G325" s="91"/>
      <c r="H325" s="91"/>
      <c r="I325" s="91"/>
      <c r="J325" s="91"/>
      <c r="K325" s="91"/>
      <c r="L325" s="91"/>
      <c r="M325" s="91"/>
      <c r="N325" s="91"/>
      <c r="O325" s="91"/>
      <c r="P325" s="91"/>
      <c r="Q325" s="91"/>
      <c r="R325" s="91"/>
      <c r="S325" s="91"/>
      <c r="T325" s="610"/>
    </row>
    <row r="326" spans="1:20">
      <c r="A326" s="89">
        <f>+A323+1</f>
        <v>136</v>
      </c>
      <c r="B326" s="71" t="s">
        <v>695</v>
      </c>
      <c r="C326" s="90"/>
      <c r="E326" s="90" t="s">
        <v>696</v>
      </c>
      <c r="F326" s="492"/>
      <c r="G326" s="607">
        <v>0</v>
      </c>
      <c r="H326" s="608">
        <v>0</v>
      </c>
      <c r="I326" s="608">
        <v>0</v>
      </c>
      <c r="J326" s="608">
        <v>0</v>
      </c>
      <c r="K326" s="608">
        <v>0</v>
      </c>
      <c r="L326" s="608">
        <v>0</v>
      </c>
      <c r="M326" s="608">
        <v>0</v>
      </c>
      <c r="N326" s="608">
        <v>0</v>
      </c>
      <c r="O326" s="608">
        <v>0</v>
      </c>
      <c r="P326" s="608">
        <v>0</v>
      </c>
      <c r="Q326" s="608">
        <v>0</v>
      </c>
      <c r="R326" s="606">
        <v>0</v>
      </c>
      <c r="S326" s="606">
        <v>0</v>
      </c>
      <c r="T326" s="609">
        <f>+SUM(G326:S326)/13</f>
        <v>0</v>
      </c>
    </row>
    <row r="327" spans="1:20">
      <c r="A327" s="89">
        <f>+A326+1</f>
        <v>137</v>
      </c>
      <c r="B327" s="71" t="s">
        <v>32</v>
      </c>
      <c r="C327" s="90"/>
      <c r="E327" s="90">
        <v>219</v>
      </c>
      <c r="F327" s="492"/>
      <c r="G327" s="607">
        <v>0</v>
      </c>
      <c r="H327" s="608">
        <v>0</v>
      </c>
      <c r="I327" s="608">
        <v>0</v>
      </c>
      <c r="J327" s="608">
        <v>0</v>
      </c>
      <c r="K327" s="608">
        <v>0</v>
      </c>
      <c r="L327" s="608">
        <v>0</v>
      </c>
      <c r="M327" s="608">
        <v>0</v>
      </c>
      <c r="N327" s="608">
        <v>0</v>
      </c>
      <c r="O327" s="608">
        <v>0</v>
      </c>
      <c r="P327" s="608">
        <v>0</v>
      </c>
      <c r="Q327" s="608">
        <v>0</v>
      </c>
      <c r="R327" s="606">
        <v>0</v>
      </c>
      <c r="S327" s="606">
        <v>0</v>
      </c>
      <c r="T327" s="609">
        <f t="shared" ref="T327" si="29">+SUM(G327:S327)/13</f>
        <v>0</v>
      </c>
    </row>
    <row r="328" spans="1:20">
      <c r="A328" s="89">
        <f>+A327+1</f>
        <v>138</v>
      </c>
      <c r="B328" s="71" t="s">
        <v>697</v>
      </c>
      <c r="C328" s="90"/>
      <c r="E328" s="90">
        <v>336</v>
      </c>
      <c r="F328" s="492"/>
      <c r="G328" s="92"/>
      <c r="H328" s="91"/>
      <c r="I328" s="91"/>
      <c r="J328" s="91"/>
      <c r="K328" s="91"/>
      <c r="L328" s="91"/>
      <c r="M328" s="91"/>
      <c r="N328" s="91"/>
      <c r="O328" s="91"/>
      <c r="P328" s="91"/>
      <c r="Q328" s="91"/>
      <c r="R328" s="41"/>
      <c r="S328" s="41"/>
      <c r="T328" s="611">
        <v>0</v>
      </c>
    </row>
    <row r="329" spans="1:20">
      <c r="A329" s="89"/>
      <c r="C329" s="90"/>
      <c r="E329" s="90"/>
      <c r="F329" s="492"/>
      <c r="G329" s="92"/>
      <c r="H329" s="91"/>
      <c r="I329" s="91"/>
      <c r="J329" s="91"/>
      <c r="K329" s="91"/>
      <c r="L329" s="91"/>
      <c r="M329" s="91"/>
      <c r="N329" s="91"/>
      <c r="O329" s="91"/>
      <c r="P329" s="91"/>
      <c r="Q329" s="91"/>
      <c r="R329" s="41"/>
      <c r="S329" s="41"/>
      <c r="T329" s="609"/>
    </row>
    <row r="330" spans="1:20">
      <c r="A330" s="89"/>
      <c r="B330" s="383" t="str">
        <f>+'7B - Schedule 12 Projects'!U8</f>
        <v>Name</v>
      </c>
      <c r="C330" s="90"/>
      <c r="E330" s="90"/>
      <c r="F330" s="492"/>
      <c r="G330" s="91"/>
      <c r="H330" s="91"/>
      <c r="I330" s="91"/>
      <c r="J330" s="91"/>
      <c r="K330" s="91"/>
      <c r="L330" s="91"/>
      <c r="M330" s="91"/>
      <c r="N330" s="91"/>
      <c r="O330" s="91"/>
      <c r="P330" s="91"/>
      <c r="Q330" s="91"/>
      <c r="R330" s="91"/>
      <c r="S330" s="91"/>
      <c r="T330" s="610"/>
    </row>
    <row r="331" spans="1:20">
      <c r="A331" s="89">
        <f>+A328+1</f>
        <v>139</v>
      </c>
      <c r="B331" s="71" t="s">
        <v>695</v>
      </c>
      <c r="C331" s="90"/>
      <c r="E331" s="90" t="s">
        <v>696</v>
      </c>
      <c r="F331" s="492"/>
      <c r="G331" s="607">
        <v>0</v>
      </c>
      <c r="H331" s="608">
        <v>0</v>
      </c>
      <c r="I331" s="608">
        <v>0</v>
      </c>
      <c r="J331" s="608">
        <v>0</v>
      </c>
      <c r="K331" s="608">
        <v>0</v>
      </c>
      <c r="L331" s="608">
        <v>0</v>
      </c>
      <c r="M331" s="608">
        <v>0</v>
      </c>
      <c r="N331" s="608">
        <v>0</v>
      </c>
      <c r="O331" s="608">
        <v>0</v>
      </c>
      <c r="P331" s="608">
        <v>0</v>
      </c>
      <c r="Q331" s="608">
        <v>0</v>
      </c>
      <c r="R331" s="606">
        <v>0</v>
      </c>
      <c r="S331" s="606">
        <v>0</v>
      </c>
      <c r="T331" s="609">
        <f>+SUM(G331:S331)/13</f>
        <v>0</v>
      </c>
    </row>
    <row r="332" spans="1:20">
      <c r="A332" s="89">
        <f>+A331+1</f>
        <v>140</v>
      </c>
      <c r="B332" s="71" t="s">
        <v>32</v>
      </c>
      <c r="C332" s="90"/>
      <c r="E332" s="90">
        <v>219</v>
      </c>
      <c r="F332" s="492"/>
      <c r="G332" s="607">
        <v>0</v>
      </c>
      <c r="H332" s="608">
        <v>0</v>
      </c>
      <c r="I332" s="608">
        <v>0</v>
      </c>
      <c r="J332" s="608">
        <v>0</v>
      </c>
      <c r="K332" s="608">
        <v>0</v>
      </c>
      <c r="L332" s="608">
        <v>0</v>
      </c>
      <c r="M332" s="608">
        <v>0</v>
      </c>
      <c r="N332" s="608">
        <v>0</v>
      </c>
      <c r="O332" s="608">
        <v>0</v>
      </c>
      <c r="P332" s="608">
        <v>0</v>
      </c>
      <c r="Q332" s="608">
        <v>0</v>
      </c>
      <c r="R332" s="606">
        <v>0</v>
      </c>
      <c r="S332" s="606">
        <v>0</v>
      </c>
      <c r="T332" s="609">
        <f t="shared" ref="T332" si="30">+SUM(G332:S332)/13</f>
        <v>0</v>
      </c>
    </row>
    <row r="333" spans="1:20">
      <c r="A333" s="89">
        <f>+A332+1</f>
        <v>141</v>
      </c>
      <c r="B333" s="71" t="s">
        <v>697</v>
      </c>
      <c r="C333" s="90"/>
      <c r="E333" s="90">
        <v>336</v>
      </c>
      <c r="F333" s="492"/>
      <c r="G333" s="92"/>
      <c r="H333" s="91"/>
      <c r="I333" s="91"/>
      <c r="J333" s="91"/>
      <c r="K333" s="91"/>
      <c r="L333" s="91"/>
      <c r="M333" s="91"/>
      <c r="N333" s="91"/>
      <c r="O333" s="91"/>
      <c r="P333" s="91"/>
      <c r="Q333" s="91"/>
      <c r="R333" s="41"/>
      <c r="S333" s="41"/>
      <c r="T333" s="611">
        <v>0</v>
      </c>
    </row>
    <row r="334" spans="1:20">
      <c r="A334" s="89"/>
      <c r="C334" s="90"/>
      <c r="E334" s="90"/>
      <c r="F334" s="492"/>
      <c r="G334" s="92"/>
      <c r="H334" s="91"/>
      <c r="I334" s="91"/>
      <c r="J334" s="91"/>
      <c r="K334" s="91"/>
      <c r="L334" s="91"/>
      <c r="M334" s="91"/>
      <c r="N334" s="91"/>
      <c r="O334" s="91"/>
      <c r="P334" s="91"/>
      <c r="Q334" s="91"/>
      <c r="R334" s="41"/>
      <c r="S334" s="41"/>
      <c r="T334" s="609"/>
    </row>
    <row r="335" spans="1:20">
      <c r="A335" s="89"/>
      <c r="B335" s="383" t="str">
        <f>+'7B - Schedule 12 Projects'!W8</f>
        <v>Name</v>
      </c>
      <c r="C335" s="90"/>
      <c r="E335" s="90"/>
      <c r="F335" s="492"/>
      <c r="G335" s="91"/>
      <c r="H335" s="91"/>
      <c r="I335" s="91"/>
      <c r="J335" s="91"/>
      <c r="K335" s="91"/>
      <c r="L335" s="91"/>
      <c r="M335" s="91"/>
      <c r="N335" s="91"/>
      <c r="O335" s="91"/>
      <c r="P335" s="91"/>
      <c r="Q335" s="91"/>
      <c r="R335" s="91"/>
      <c r="S335" s="91"/>
      <c r="T335" s="610"/>
    </row>
    <row r="336" spans="1:20">
      <c r="A336" s="89">
        <f>+A333+1</f>
        <v>142</v>
      </c>
      <c r="B336" s="71" t="s">
        <v>695</v>
      </c>
      <c r="C336" s="90"/>
      <c r="E336" s="90" t="s">
        <v>696</v>
      </c>
      <c r="F336" s="492"/>
      <c r="G336" s="607">
        <v>0</v>
      </c>
      <c r="H336" s="608">
        <v>0</v>
      </c>
      <c r="I336" s="608">
        <v>0</v>
      </c>
      <c r="J336" s="608">
        <v>0</v>
      </c>
      <c r="K336" s="608">
        <v>0</v>
      </c>
      <c r="L336" s="608">
        <v>0</v>
      </c>
      <c r="M336" s="608">
        <v>0</v>
      </c>
      <c r="N336" s="608">
        <v>0</v>
      </c>
      <c r="O336" s="608">
        <v>0</v>
      </c>
      <c r="P336" s="608">
        <v>0</v>
      </c>
      <c r="Q336" s="608">
        <v>0</v>
      </c>
      <c r="R336" s="606">
        <v>0</v>
      </c>
      <c r="S336" s="606">
        <v>0</v>
      </c>
      <c r="T336" s="609">
        <f>+SUM(G336:S336)/13</f>
        <v>0</v>
      </c>
    </row>
    <row r="337" spans="1:20">
      <c r="A337" s="89">
        <f>+A336+1</f>
        <v>143</v>
      </c>
      <c r="B337" s="71" t="s">
        <v>32</v>
      </c>
      <c r="C337" s="90"/>
      <c r="E337" s="90">
        <v>219</v>
      </c>
      <c r="F337" s="492"/>
      <c r="G337" s="607">
        <v>0</v>
      </c>
      <c r="H337" s="608">
        <v>0</v>
      </c>
      <c r="I337" s="608">
        <v>0</v>
      </c>
      <c r="J337" s="608">
        <v>0</v>
      </c>
      <c r="K337" s="608">
        <v>0</v>
      </c>
      <c r="L337" s="608">
        <v>0</v>
      </c>
      <c r="M337" s="608">
        <v>0</v>
      </c>
      <c r="N337" s="608">
        <v>0</v>
      </c>
      <c r="O337" s="608">
        <v>0</v>
      </c>
      <c r="P337" s="608">
        <v>0</v>
      </c>
      <c r="Q337" s="608">
        <v>0</v>
      </c>
      <c r="R337" s="606">
        <v>0</v>
      </c>
      <c r="S337" s="606">
        <v>0</v>
      </c>
      <c r="T337" s="609">
        <f t="shared" ref="T337" si="31">+SUM(G337:S337)/13</f>
        <v>0</v>
      </c>
    </row>
    <row r="338" spans="1:20">
      <c r="A338" s="89">
        <f>+A337+1</f>
        <v>144</v>
      </c>
      <c r="B338" s="71" t="s">
        <v>697</v>
      </c>
      <c r="C338" s="90"/>
      <c r="E338" s="90">
        <v>336</v>
      </c>
      <c r="F338" s="492"/>
      <c r="G338" s="92"/>
      <c r="H338" s="91"/>
      <c r="I338" s="91"/>
      <c r="J338" s="91"/>
      <c r="K338" s="91"/>
      <c r="L338" s="91"/>
      <c r="M338" s="91"/>
      <c r="N338" s="91"/>
      <c r="O338" s="91"/>
      <c r="P338" s="91"/>
      <c r="Q338" s="91"/>
      <c r="R338" s="41"/>
      <c r="S338" s="41"/>
      <c r="T338" s="611">
        <v>0</v>
      </c>
    </row>
    <row r="339" spans="1:20">
      <c r="A339" s="89"/>
      <c r="C339" s="90"/>
      <c r="E339" s="90"/>
      <c r="F339" s="492"/>
      <c r="G339" s="92"/>
      <c r="H339" s="91"/>
      <c r="I339" s="91"/>
      <c r="J339" s="91"/>
      <c r="K339" s="91"/>
      <c r="L339" s="91"/>
      <c r="M339" s="91"/>
      <c r="N339" s="91"/>
      <c r="O339" s="91"/>
      <c r="P339" s="91"/>
      <c r="Q339" s="91"/>
      <c r="R339" s="41"/>
      <c r="S339" s="41"/>
      <c r="T339" s="609"/>
    </row>
    <row r="340" spans="1:20">
      <c r="A340" s="89"/>
      <c r="B340" s="383" t="str">
        <f>+'7B - Schedule 12 Projects'!Y8</f>
        <v>Name</v>
      </c>
      <c r="C340" s="90"/>
      <c r="E340" s="90"/>
      <c r="F340" s="492"/>
      <c r="G340" s="91"/>
      <c r="H340" s="91"/>
      <c r="I340" s="91"/>
      <c r="J340" s="91"/>
      <c r="K340" s="91"/>
      <c r="L340" s="91"/>
      <c r="M340" s="91"/>
      <c r="N340" s="91"/>
      <c r="O340" s="91"/>
      <c r="P340" s="91"/>
      <c r="Q340" s="91"/>
      <c r="R340" s="91"/>
      <c r="S340" s="91"/>
      <c r="T340" s="610"/>
    </row>
    <row r="341" spans="1:20">
      <c r="A341" s="89">
        <f>+A338+1</f>
        <v>145</v>
      </c>
      <c r="B341" s="71" t="s">
        <v>695</v>
      </c>
      <c r="C341" s="90"/>
      <c r="E341" s="90" t="s">
        <v>696</v>
      </c>
      <c r="F341" s="492"/>
      <c r="G341" s="607">
        <v>0</v>
      </c>
      <c r="H341" s="608">
        <v>0</v>
      </c>
      <c r="I341" s="608">
        <v>0</v>
      </c>
      <c r="J341" s="608">
        <v>0</v>
      </c>
      <c r="K341" s="608">
        <v>0</v>
      </c>
      <c r="L341" s="608">
        <v>0</v>
      </c>
      <c r="M341" s="608">
        <v>0</v>
      </c>
      <c r="N341" s="608">
        <v>0</v>
      </c>
      <c r="O341" s="608">
        <v>0</v>
      </c>
      <c r="P341" s="608">
        <v>0</v>
      </c>
      <c r="Q341" s="608">
        <v>0</v>
      </c>
      <c r="R341" s="606">
        <v>0</v>
      </c>
      <c r="S341" s="606">
        <v>0</v>
      </c>
      <c r="T341" s="609">
        <f>+SUM(G341:S341)/13</f>
        <v>0</v>
      </c>
    </row>
    <row r="342" spans="1:20">
      <c r="A342" s="89">
        <f>+A341+1</f>
        <v>146</v>
      </c>
      <c r="B342" s="71" t="s">
        <v>32</v>
      </c>
      <c r="C342" s="90"/>
      <c r="E342" s="90">
        <v>219</v>
      </c>
      <c r="F342" s="492"/>
      <c r="G342" s="607">
        <v>0</v>
      </c>
      <c r="H342" s="608">
        <v>0</v>
      </c>
      <c r="I342" s="608">
        <v>0</v>
      </c>
      <c r="J342" s="608">
        <v>0</v>
      </c>
      <c r="K342" s="608">
        <v>0</v>
      </c>
      <c r="L342" s="608">
        <v>0</v>
      </c>
      <c r="M342" s="608">
        <v>0</v>
      </c>
      <c r="N342" s="608">
        <v>0</v>
      </c>
      <c r="O342" s="608">
        <v>0</v>
      </c>
      <c r="P342" s="608">
        <v>0</v>
      </c>
      <c r="Q342" s="608">
        <v>0</v>
      </c>
      <c r="R342" s="606">
        <v>0</v>
      </c>
      <c r="S342" s="606">
        <v>0</v>
      </c>
      <c r="T342" s="609">
        <f t="shared" ref="T342" si="32">+SUM(G342:S342)/13</f>
        <v>0</v>
      </c>
    </row>
    <row r="343" spans="1:20">
      <c r="A343" s="89">
        <f>+A342+1</f>
        <v>147</v>
      </c>
      <c r="B343" s="71" t="s">
        <v>697</v>
      </c>
      <c r="C343" s="90"/>
      <c r="E343" s="90">
        <v>336</v>
      </c>
      <c r="F343" s="492"/>
      <c r="G343" s="92"/>
      <c r="H343" s="91"/>
      <c r="I343" s="91"/>
      <c r="J343" s="91"/>
      <c r="K343" s="91"/>
      <c r="L343" s="91"/>
      <c r="M343" s="91"/>
      <c r="N343" s="91"/>
      <c r="O343" s="91"/>
      <c r="P343" s="91"/>
      <c r="Q343" s="91"/>
      <c r="R343" s="41"/>
      <c r="S343" s="41"/>
      <c r="T343" s="611">
        <v>0</v>
      </c>
    </row>
    <row r="344" spans="1:20" ht="15.75" thickBot="1">
      <c r="A344" s="97"/>
      <c r="B344" s="97"/>
      <c r="C344" s="97"/>
      <c r="D344" s="97"/>
      <c r="E344" s="97"/>
      <c r="F344" s="97"/>
      <c r="G344" s="97"/>
      <c r="H344" s="97"/>
      <c r="I344" s="97"/>
      <c r="J344" s="97"/>
      <c r="K344" s="97"/>
      <c r="L344" s="97"/>
      <c r="M344" s="97"/>
      <c r="N344" s="97"/>
      <c r="O344" s="97"/>
      <c r="P344" s="97"/>
      <c r="Q344" s="97"/>
      <c r="R344" s="97"/>
      <c r="S344" s="97"/>
      <c r="T344" s="798"/>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s>
  <phoneticPr fontId="34"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S39"/>
  <sheetViews>
    <sheetView zoomScale="80" zoomScaleNormal="80" workbookViewId="0">
      <selection activeCell="A28" sqref="A28"/>
    </sheetView>
  </sheetViews>
  <sheetFormatPr defaultRowHeight="12.75"/>
  <cols>
    <col min="1" max="1" width="17.7109375" customWidth="1"/>
    <col min="2" max="2" width="6.42578125" customWidth="1"/>
    <col min="3" max="3" width="75.140625" bestFit="1"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s>
  <sheetData>
    <row r="1" spans="1:19" ht="20.25">
      <c r="F1" s="439" t="str">
        <f>+'Appendix A'!A3</f>
        <v>Dayton Power and Light</v>
      </c>
    </row>
    <row r="2" spans="1:19" ht="20.25">
      <c r="F2" s="439" t="str">
        <f>+'Appendix A'!A4</f>
        <v xml:space="preserve">ATTACHMENT H-15A </v>
      </c>
      <c r="S2" s="628"/>
    </row>
    <row r="3" spans="1:19" ht="20.25">
      <c r="F3" s="440"/>
    </row>
    <row r="4" spans="1:19" ht="20.25">
      <c r="F4" s="439" t="s">
        <v>998</v>
      </c>
    </row>
    <row r="5" spans="1:19" ht="15">
      <c r="A5" s="45" t="s">
        <v>409</v>
      </c>
    </row>
    <row r="6" spans="1:19" ht="13.5" thickBot="1"/>
    <row r="7" spans="1:19" ht="16.5" thickBot="1">
      <c r="A7" s="78"/>
      <c r="B7" s="72"/>
      <c r="C7" s="71"/>
      <c r="D7" s="71"/>
      <c r="E7" s="79"/>
      <c r="F7" s="189" t="s">
        <v>491</v>
      </c>
      <c r="G7" s="899" t="s">
        <v>698</v>
      </c>
      <c r="H7" s="899"/>
      <c r="I7" s="899"/>
      <c r="J7" s="899"/>
      <c r="K7" s="899"/>
      <c r="L7" s="899"/>
      <c r="M7" s="899"/>
      <c r="N7" s="899"/>
      <c r="O7" s="899"/>
      <c r="P7" s="899"/>
      <c r="Q7" s="899"/>
      <c r="R7" s="900"/>
      <c r="S7" s="71"/>
    </row>
    <row r="8" spans="1:19" ht="16.5" thickBot="1">
      <c r="A8" s="118" t="s">
        <v>492</v>
      </c>
      <c r="B8" s="119" t="s">
        <v>493</v>
      </c>
      <c r="C8" s="119"/>
      <c r="D8" s="119"/>
      <c r="E8" s="791" t="s">
        <v>4</v>
      </c>
      <c r="F8" s="500" t="s">
        <v>699</v>
      </c>
      <c r="G8" s="82" t="s">
        <v>497</v>
      </c>
      <c r="H8" s="82" t="s">
        <v>498</v>
      </c>
      <c r="I8" s="82" t="s">
        <v>499</v>
      </c>
      <c r="J8" s="82" t="s">
        <v>500</v>
      </c>
      <c r="K8" s="82" t="s">
        <v>373</v>
      </c>
      <c r="L8" s="82" t="s">
        <v>501</v>
      </c>
      <c r="M8" s="82" t="s">
        <v>502</v>
      </c>
      <c r="N8" s="82" t="s">
        <v>503</v>
      </c>
      <c r="O8" s="82" t="s">
        <v>504</v>
      </c>
      <c r="P8" s="82" t="s">
        <v>505</v>
      </c>
      <c r="Q8" s="82" t="s">
        <v>506</v>
      </c>
      <c r="R8" s="82" t="s">
        <v>700</v>
      </c>
      <c r="S8" s="663" t="s">
        <v>508</v>
      </c>
    </row>
    <row r="9" spans="1:19" ht="15.75">
      <c r="A9" s="84"/>
      <c r="B9" s="85" t="s">
        <v>701</v>
      </c>
      <c r="C9" s="86"/>
      <c r="D9" s="86"/>
      <c r="E9" s="87"/>
      <c r="F9" s="184"/>
      <c r="G9" s="851"/>
      <c r="H9" s="851"/>
      <c r="I9" s="851"/>
      <c r="J9" s="851"/>
      <c r="K9" s="851"/>
      <c r="L9" s="851"/>
      <c r="M9" s="851"/>
      <c r="N9" s="851"/>
      <c r="O9" s="851"/>
      <c r="P9" s="851"/>
      <c r="Q9" s="851"/>
      <c r="R9" s="851"/>
      <c r="S9" s="184"/>
    </row>
    <row r="10" spans="1:19" ht="15.75">
      <c r="A10" s="89">
        <v>1</v>
      </c>
      <c r="B10" s="73"/>
      <c r="C10" s="383" t="s">
        <v>702</v>
      </c>
      <c r="D10" s="71"/>
      <c r="E10" s="72"/>
      <c r="F10" s="685">
        <v>18000000</v>
      </c>
      <c r="G10" s="685">
        <v>18468670.960919999</v>
      </c>
      <c r="H10" s="685">
        <v>18967764.422812</v>
      </c>
      <c r="I10" s="685">
        <v>19628837.146636002</v>
      </c>
      <c r="J10" s="685">
        <v>20250442.842172001</v>
      </c>
      <c r="K10" s="685">
        <v>20889315.362584002</v>
      </c>
      <c r="L10" s="685">
        <v>21651522.346396003</v>
      </c>
      <c r="M10" s="685">
        <v>22347950.949728005</v>
      </c>
      <c r="N10" s="685">
        <v>22996690.227212004</v>
      </c>
      <c r="O10" s="685">
        <v>23802475.388092004</v>
      </c>
      <c r="P10" s="685">
        <v>24535904.330444004</v>
      </c>
      <c r="Q10" s="685">
        <v>25202732.662560005</v>
      </c>
      <c r="R10" s="685">
        <v>0</v>
      </c>
      <c r="S10" s="636">
        <f>AVERAGE(F10:R10)</f>
        <v>19749408.203042772</v>
      </c>
    </row>
    <row r="11" spans="1:19" ht="15.75">
      <c r="A11" s="89">
        <f>+A10+1</f>
        <v>2</v>
      </c>
      <c r="B11" s="73"/>
      <c r="C11" s="383" t="s">
        <v>987</v>
      </c>
      <c r="D11" s="71"/>
      <c r="E11" s="72"/>
      <c r="F11" s="685">
        <v>3842292.71</v>
      </c>
      <c r="G11" s="685">
        <v>4067882.0255300002</v>
      </c>
      <c r="H11" s="685">
        <v>4308114.8580330005</v>
      </c>
      <c r="I11" s="685">
        <v>4626314.5241490006</v>
      </c>
      <c r="J11" s="685">
        <v>4925517.1952730007</v>
      </c>
      <c r="K11" s="685">
        <v>5233031.0517060012</v>
      </c>
      <c r="L11" s="685">
        <v>5599910.5174890012</v>
      </c>
      <c r="M11" s="685">
        <v>5935128.3249520008</v>
      </c>
      <c r="N11" s="685">
        <v>6247391.4301330009</v>
      </c>
      <c r="O11" s="685">
        <v>6635246.7445530007</v>
      </c>
      <c r="P11" s="685">
        <v>6988274.2348210011</v>
      </c>
      <c r="Q11" s="685">
        <v>7309244.2960400013</v>
      </c>
      <c r="R11" s="685">
        <v>0</v>
      </c>
      <c r="S11" s="636">
        <f t="shared" ref="S11:S17" si="0">AVERAGE(F11:R11)</f>
        <v>5055257.5317445388</v>
      </c>
    </row>
    <row r="12" spans="1:19" ht="15.75">
      <c r="A12" s="89">
        <f t="shared" ref="A12:A15" si="1">+A11+1</f>
        <v>3</v>
      </c>
      <c r="B12" s="73"/>
      <c r="C12" s="383" t="s">
        <v>988</v>
      </c>
      <c r="D12" s="71"/>
      <c r="E12" s="72"/>
      <c r="F12" s="685">
        <v>9323378.4700000007</v>
      </c>
      <c r="G12" s="685">
        <v>9507108.1278100014</v>
      </c>
      <c r="H12" s="685">
        <v>9702764.0967410021</v>
      </c>
      <c r="I12" s="685">
        <v>9961919.6140730027</v>
      </c>
      <c r="J12" s="685">
        <v>10205603.160221003</v>
      </c>
      <c r="K12" s="685">
        <v>10456055.693762003</v>
      </c>
      <c r="L12" s="685">
        <v>10754858.137253003</v>
      </c>
      <c r="M12" s="685">
        <v>11027873.962104004</v>
      </c>
      <c r="N12" s="685">
        <v>11282194.488441003</v>
      </c>
      <c r="O12" s="685">
        <v>11598080.566781003</v>
      </c>
      <c r="P12" s="685">
        <v>11885601.364617003</v>
      </c>
      <c r="Q12" s="685">
        <v>12147013.211080004</v>
      </c>
      <c r="R12" s="685">
        <v>0</v>
      </c>
      <c r="S12" s="636">
        <f t="shared" si="0"/>
        <v>9834803.9148371555</v>
      </c>
    </row>
    <row r="13" spans="1:19" ht="15">
      <c r="A13" s="89">
        <f t="shared" si="1"/>
        <v>4</v>
      </c>
      <c r="B13" s="71"/>
      <c r="C13" s="383" t="s">
        <v>770</v>
      </c>
      <c r="D13" s="71"/>
      <c r="E13" s="72"/>
      <c r="F13" s="685">
        <v>0</v>
      </c>
      <c r="G13" s="685">
        <v>0</v>
      </c>
      <c r="H13" s="685">
        <v>0</v>
      </c>
      <c r="I13" s="685">
        <v>0</v>
      </c>
      <c r="J13" s="685">
        <v>0</v>
      </c>
      <c r="K13" s="685">
        <v>0</v>
      </c>
      <c r="L13" s="685">
        <v>0</v>
      </c>
      <c r="M13" s="685">
        <v>0</v>
      </c>
      <c r="N13" s="685">
        <v>0</v>
      </c>
      <c r="O13" s="685">
        <v>0</v>
      </c>
      <c r="P13" s="685">
        <v>0</v>
      </c>
      <c r="Q13" s="685">
        <v>0</v>
      </c>
      <c r="R13" s="685">
        <v>0</v>
      </c>
      <c r="S13" s="636">
        <f t="shared" si="0"/>
        <v>0</v>
      </c>
    </row>
    <row r="14" spans="1:19" ht="15">
      <c r="A14" s="89">
        <f t="shared" si="1"/>
        <v>5</v>
      </c>
      <c r="B14" s="71"/>
      <c r="C14" s="383" t="s">
        <v>771</v>
      </c>
      <c r="D14" s="71"/>
      <c r="E14" s="72"/>
      <c r="F14" s="685">
        <v>0</v>
      </c>
      <c r="G14" s="685">
        <v>0</v>
      </c>
      <c r="H14" s="685">
        <v>0</v>
      </c>
      <c r="I14" s="685">
        <v>0</v>
      </c>
      <c r="J14" s="685">
        <v>0</v>
      </c>
      <c r="K14" s="685">
        <v>0</v>
      </c>
      <c r="L14" s="685">
        <v>0</v>
      </c>
      <c r="M14" s="685">
        <v>0</v>
      </c>
      <c r="N14" s="685">
        <v>0</v>
      </c>
      <c r="O14" s="685">
        <v>0</v>
      </c>
      <c r="P14" s="685">
        <v>0</v>
      </c>
      <c r="Q14" s="685">
        <v>0</v>
      </c>
      <c r="R14" s="685">
        <v>0</v>
      </c>
      <c r="S14" s="636">
        <f t="shared" si="0"/>
        <v>0</v>
      </c>
    </row>
    <row r="15" spans="1:19" ht="15">
      <c r="A15" s="89">
        <f t="shared" si="1"/>
        <v>6</v>
      </c>
      <c r="B15" s="71"/>
      <c r="C15" s="383" t="s">
        <v>772</v>
      </c>
      <c r="D15" s="71"/>
      <c r="E15" s="72"/>
      <c r="F15" s="685">
        <v>0</v>
      </c>
      <c r="G15" s="685">
        <v>0</v>
      </c>
      <c r="H15" s="685">
        <v>0</v>
      </c>
      <c r="I15" s="685">
        <v>0</v>
      </c>
      <c r="J15" s="685">
        <v>0</v>
      </c>
      <c r="K15" s="685">
        <v>0</v>
      </c>
      <c r="L15" s="685">
        <v>0</v>
      </c>
      <c r="M15" s="685">
        <v>0</v>
      </c>
      <c r="N15" s="685">
        <v>0</v>
      </c>
      <c r="O15" s="685">
        <v>0</v>
      </c>
      <c r="P15" s="685">
        <v>0</v>
      </c>
      <c r="Q15" s="685">
        <v>0</v>
      </c>
      <c r="R15" s="685">
        <v>0</v>
      </c>
      <c r="S15" s="636">
        <f t="shared" si="0"/>
        <v>0</v>
      </c>
    </row>
    <row r="16" spans="1:19" ht="15.75">
      <c r="A16" s="89">
        <f>+A15+1</f>
        <v>7</v>
      </c>
      <c r="B16" s="73"/>
      <c r="C16" s="383" t="s">
        <v>773</v>
      </c>
      <c r="D16" s="71"/>
      <c r="E16" s="72"/>
      <c r="F16" s="685">
        <v>0</v>
      </c>
      <c r="G16" s="685">
        <v>0</v>
      </c>
      <c r="H16" s="685">
        <v>0</v>
      </c>
      <c r="I16" s="685">
        <v>0</v>
      </c>
      <c r="J16" s="685">
        <v>0</v>
      </c>
      <c r="K16" s="685">
        <v>0</v>
      </c>
      <c r="L16" s="685">
        <v>0</v>
      </c>
      <c r="M16" s="685">
        <v>0</v>
      </c>
      <c r="N16" s="685">
        <v>0</v>
      </c>
      <c r="O16" s="685">
        <v>0</v>
      </c>
      <c r="P16" s="685">
        <v>0</v>
      </c>
      <c r="Q16" s="685">
        <v>0</v>
      </c>
      <c r="R16" s="685">
        <v>0</v>
      </c>
      <c r="S16" s="636">
        <f t="shared" si="0"/>
        <v>0</v>
      </c>
    </row>
    <row r="17" spans="1:19" ht="15.75">
      <c r="A17" s="89">
        <f>+A16+1</f>
        <v>8</v>
      </c>
      <c r="B17" s="73"/>
      <c r="C17" s="383" t="s">
        <v>774</v>
      </c>
      <c r="D17" s="71"/>
      <c r="E17" s="72"/>
      <c r="F17" s="685">
        <v>0</v>
      </c>
      <c r="G17" s="685">
        <v>0</v>
      </c>
      <c r="H17" s="685">
        <v>0</v>
      </c>
      <c r="I17" s="685">
        <v>0</v>
      </c>
      <c r="J17" s="685">
        <v>0</v>
      </c>
      <c r="K17" s="685">
        <v>0</v>
      </c>
      <c r="L17" s="685">
        <v>0</v>
      </c>
      <c r="M17" s="685">
        <v>0</v>
      </c>
      <c r="N17" s="685">
        <v>0</v>
      </c>
      <c r="O17" s="685">
        <v>0</v>
      </c>
      <c r="P17" s="685">
        <v>0</v>
      </c>
      <c r="Q17" s="685">
        <v>0</v>
      </c>
      <c r="R17" s="685">
        <v>0</v>
      </c>
      <c r="S17" s="636">
        <f t="shared" si="0"/>
        <v>0</v>
      </c>
    </row>
    <row r="18" spans="1:19" ht="15.75">
      <c r="A18" s="89">
        <f>+A17+1</f>
        <v>9</v>
      </c>
      <c r="B18" s="73"/>
      <c r="C18" s="383" t="s">
        <v>775</v>
      </c>
      <c r="D18" s="71"/>
      <c r="E18" s="72"/>
      <c r="F18" s="685">
        <v>0</v>
      </c>
      <c r="G18" s="685">
        <v>0</v>
      </c>
      <c r="H18" s="685">
        <v>0</v>
      </c>
      <c r="I18" s="685">
        <v>0</v>
      </c>
      <c r="J18" s="685">
        <v>0</v>
      </c>
      <c r="K18" s="685">
        <v>0</v>
      </c>
      <c r="L18" s="685">
        <v>0</v>
      </c>
      <c r="M18" s="685">
        <v>0</v>
      </c>
      <c r="N18" s="685">
        <v>0</v>
      </c>
      <c r="O18" s="685">
        <v>0</v>
      </c>
      <c r="P18" s="685">
        <v>0</v>
      </c>
      <c r="Q18" s="685">
        <v>0</v>
      </c>
      <c r="R18" s="685">
        <v>0</v>
      </c>
      <c r="S18" s="636">
        <f t="shared" ref="S18:S19" si="2">AVERAGE(F18:R18)</f>
        <v>0</v>
      </c>
    </row>
    <row r="19" spans="1:19" ht="15.75">
      <c r="A19" s="89">
        <f>+A18+1</f>
        <v>10</v>
      </c>
      <c r="B19" s="73"/>
      <c r="C19" s="383" t="s">
        <v>776</v>
      </c>
      <c r="D19" s="71"/>
      <c r="E19" s="72"/>
      <c r="F19" s="685">
        <v>0</v>
      </c>
      <c r="G19" s="685">
        <v>0</v>
      </c>
      <c r="H19" s="685">
        <v>0</v>
      </c>
      <c r="I19" s="685">
        <v>0</v>
      </c>
      <c r="J19" s="685">
        <v>0</v>
      </c>
      <c r="K19" s="685">
        <v>0</v>
      </c>
      <c r="L19" s="685">
        <v>0</v>
      </c>
      <c r="M19" s="685">
        <v>0</v>
      </c>
      <c r="N19" s="685">
        <v>0</v>
      </c>
      <c r="O19" s="685">
        <v>0</v>
      </c>
      <c r="P19" s="685">
        <v>0</v>
      </c>
      <c r="Q19" s="685">
        <v>0</v>
      </c>
      <c r="R19" s="685">
        <v>0</v>
      </c>
      <c r="S19" s="636">
        <f t="shared" si="2"/>
        <v>0</v>
      </c>
    </row>
    <row r="20" spans="1:19" ht="15.75">
      <c r="A20" s="89">
        <f t="shared" ref="A20:A33" si="3">+A19+1</f>
        <v>11</v>
      </c>
      <c r="B20" s="73"/>
      <c r="C20" s="383" t="s">
        <v>703</v>
      </c>
      <c r="D20" s="71"/>
      <c r="E20" s="72"/>
      <c r="F20" s="685">
        <v>0</v>
      </c>
      <c r="G20" s="685">
        <v>0</v>
      </c>
      <c r="H20" s="685">
        <v>0</v>
      </c>
      <c r="I20" s="685">
        <v>0</v>
      </c>
      <c r="J20" s="685">
        <v>0</v>
      </c>
      <c r="K20" s="685">
        <v>0</v>
      </c>
      <c r="L20" s="685">
        <v>0</v>
      </c>
      <c r="M20" s="685">
        <v>0</v>
      </c>
      <c r="N20" s="685">
        <v>0</v>
      </c>
      <c r="O20" s="685">
        <v>0</v>
      </c>
      <c r="P20" s="685">
        <v>0</v>
      </c>
      <c r="Q20" s="685">
        <v>0</v>
      </c>
      <c r="R20" s="685">
        <v>0</v>
      </c>
      <c r="S20" s="636">
        <f t="shared" ref="S20:S33" si="4">AVERAGE(F20:R20)</f>
        <v>0</v>
      </c>
    </row>
    <row r="21" spans="1:19" ht="15.75">
      <c r="A21" s="89">
        <f t="shared" si="3"/>
        <v>12</v>
      </c>
      <c r="B21" s="73"/>
      <c r="C21" s="383" t="s">
        <v>704</v>
      </c>
      <c r="D21" s="71"/>
      <c r="E21" s="72"/>
      <c r="F21" s="685">
        <v>0</v>
      </c>
      <c r="G21" s="685">
        <v>0</v>
      </c>
      <c r="H21" s="685">
        <v>0</v>
      </c>
      <c r="I21" s="685">
        <v>0</v>
      </c>
      <c r="J21" s="685">
        <v>0</v>
      </c>
      <c r="K21" s="685">
        <v>0</v>
      </c>
      <c r="L21" s="685">
        <v>0</v>
      </c>
      <c r="M21" s="685">
        <v>0</v>
      </c>
      <c r="N21" s="685">
        <v>0</v>
      </c>
      <c r="O21" s="685">
        <v>0</v>
      </c>
      <c r="P21" s="685">
        <v>0</v>
      </c>
      <c r="Q21" s="685">
        <v>0</v>
      </c>
      <c r="R21" s="685">
        <v>0</v>
      </c>
      <c r="S21" s="636">
        <f t="shared" si="4"/>
        <v>0</v>
      </c>
    </row>
    <row r="22" spans="1:19" ht="15.75">
      <c r="A22" s="89">
        <f t="shared" si="3"/>
        <v>13</v>
      </c>
      <c r="B22" s="73"/>
      <c r="C22" s="383" t="s">
        <v>705</v>
      </c>
      <c r="D22" s="71"/>
      <c r="E22" s="72"/>
      <c r="F22" s="685">
        <v>0</v>
      </c>
      <c r="G22" s="685">
        <v>0</v>
      </c>
      <c r="H22" s="685">
        <v>0</v>
      </c>
      <c r="I22" s="685">
        <v>0</v>
      </c>
      <c r="J22" s="685">
        <v>0</v>
      </c>
      <c r="K22" s="685">
        <v>0</v>
      </c>
      <c r="L22" s="685">
        <v>0</v>
      </c>
      <c r="M22" s="685">
        <v>0</v>
      </c>
      <c r="N22" s="685">
        <v>0</v>
      </c>
      <c r="O22" s="685">
        <v>0</v>
      </c>
      <c r="P22" s="685">
        <v>0</v>
      </c>
      <c r="Q22" s="685">
        <v>0</v>
      </c>
      <c r="R22" s="685">
        <v>0</v>
      </c>
      <c r="S22" s="636">
        <f t="shared" si="4"/>
        <v>0</v>
      </c>
    </row>
    <row r="23" spans="1:19" ht="15.75">
      <c r="A23" s="89">
        <f t="shared" si="3"/>
        <v>14</v>
      </c>
      <c r="B23" s="73"/>
      <c r="C23" s="383" t="s">
        <v>706</v>
      </c>
      <c r="D23" s="71"/>
      <c r="E23" s="72"/>
      <c r="F23" s="685">
        <v>0</v>
      </c>
      <c r="G23" s="685">
        <v>0</v>
      </c>
      <c r="H23" s="685">
        <v>0</v>
      </c>
      <c r="I23" s="685">
        <v>0</v>
      </c>
      <c r="J23" s="685">
        <v>0</v>
      </c>
      <c r="K23" s="685">
        <v>0</v>
      </c>
      <c r="L23" s="685">
        <v>0</v>
      </c>
      <c r="M23" s="685">
        <v>0</v>
      </c>
      <c r="N23" s="685">
        <v>0</v>
      </c>
      <c r="O23" s="685">
        <v>0</v>
      </c>
      <c r="P23" s="685">
        <v>0</v>
      </c>
      <c r="Q23" s="685">
        <v>0</v>
      </c>
      <c r="R23" s="685">
        <v>0</v>
      </c>
      <c r="S23" s="636">
        <f t="shared" si="4"/>
        <v>0</v>
      </c>
    </row>
    <row r="24" spans="1:19" ht="15.75">
      <c r="A24" s="89">
        <f t="shared" si="3"/>
        <v>15</v>
      </c>
      <c r="B24" s="73"/>
      <c r="C24" s="383" t="s">
        <v>707</v>
      </c>
      <c r="D24" s="71"/>
      <c r="E24" s="72"/>
      <c r="F24" s="685">
        <v>0</v>
      </c>
      <c r="G24" s="685">
        <v>0</v>
      </c>
      <c r="H24" s="685">
        <v>0</v>
      </c>
      <c r="I24" s="685">
        <v>0</v>
      </c>
      <c r="J24" s="685">
        <v>0</v>
      </c>
      <c r="K24" s="685">
        <v>0</v>
      </c>
      <c r="L24" s="685">
        <v>0</v>
      </c>
      <c r="M24" s="685">
        <v>0</v>
      </c>
      <c r="N24" s="685">
        <v>0</v>
      </c>
      <c r="O24" s="685">
        <v>0</v>
      </c>
      <c r="P24" s="685">
        <v>0</v>
      </c>
      <c r="Q24" s="685">
        <v>0</v>
      </c>
      <c r="R24" s="685">
        <v>0</v>
      </c>
      <c r="S24" s="636">
        <f t="shared" si="4"/>
        <v>0</v>
      </c>
    </row>
    <row r="25" spans="1:19" ht="15.75">
      <c r="A25" s="89">
        <f t="shared" si="3"/>
        <v>16</v>
      </c>
      <c r="B25" s="73"/>
      <c r="C25" s="383" t="s">
        <v>708</v>
      </c>
      <c r="D25" s="71"/>
      <c r="E25" s="72"/>
      <c r="F25" s="685">
        <v>0</v>
      </c>
      <c r="G25" s="685">
        <v>0</v>
      </c>
      <c r="H25" s="685">
        <v>0</v>
      </c>
      <c r="I25" s="685">
        <v>0</v>
      </c>
      <c r="J25" s="685">
        <v>0</v>
      </c>
      <c r="K25" s="685">
        <v>0</v>
      </c>
      <c r="L25" s="685">
        <v>0</v>
      </c>
      <c r="M25" s="685">
        <v>0</v>
      </c>
      <c r="N25" s="685">
        <v>0</v>
      </c>
      <c r="O25" s="685">
        <v>0</v>
      </c>
      <c r="P25" s="685">
        <v>0</v>
      </c>
      <c r="Q25" s="685">
        <v>0</v>
      </c>
      <c r="R25" s="685">
        <v>0</v>
      </c>
      <c r="S25" s="636">
        <f t="shared" si="4"/>
        <v>0</v>
      </c>
    </row>
    <row r="26" spans="1:19" ht="15.75">
      <c r="A26" s="89">
        <f t="shared" si="3"/>
        <v>17</v>
      </c>
      <c r="B26" s="73"/>
      <c r="C26" s="383" t="s">
        <v>709</v>
      </c>
      <c r="D26" s="71"/>
      <c r="E26" s="72"/>
      <c r="F26" s="685">
        <v>0</v>
      </c>
      <c r="G26" s="685">
        <v>0</v>
      </c>
      <c r="H26" s="685">
        <v>0</v>
      </c>
      <c r="I26" s="685">
        <v>0</v>
      </c>
      <c r="J26" s="685">
        <v>0</v>
      </c>
      <c r="K26" s="685">
        <v>0</v>
      </c>
      <c r="L26" s="685">
        <v>0</v>
      </c>
      <c r="M26" s="685">
        <v>0</v>
      </c>
      <c r="N26" s="685">
        <v>0</v>
      </c>
      <c r="O26" s="685">
        <v>0</v>
      </c>
      <c r="P26" s="685">
        <v>0</v>
      </c>
      <c r="Q26" s="685">
        <v>0</v>
      </c>
      <c r="R26" s="685">
        <v>0</v>
      </c>
      <c r="S26" s="636">
        <f t="shared" si="4"/>
        <v>0</v>
      </c>
    </row>
    <row r="27" spans="1:19" ht="15.75">
      <c r="A27" s="89">
        <f t="shared" si="3"/>
        <v>18</v>
      </c>
      <c r="B27" s="73"/>
      <c r="C27" s="383" t="s">
        <v>710</v>
      </c>
      <c r="D27" s="71"/>
      <c r="E27" s="72"/>
      <c r="F27" s="685">
        <v>0</v>
      </c>
      <c r="G27" s="685">
        <v>0</v>
      </c>
      <c r="H27" s="685">
        <v>0</v>
      </c>
      <c r="I27" s="685">
        <v>0</v>
      </c>
      <c r="J27" s="685">
        <v>0</v>
      </c>
      <c r="K27" s="685">
        <v>0</v>
      </c>
      <c r="L27" s="685">
        <v>0</v>
      </c>
      <c r="M27" s="685">
        <v>0</v>
      </c>
      <c r="N27" s="685">
        <v>0</v>
      </c>
      <c r="O27" s="685">
        <v>0</v>
      </c>
      <c r="P27" s="685">
        <v>0</v>
      </c>
      <c r="Q27" s="685">
        <v>0</v>
      </c>
      <c r="R27" s="685">
        <v>0</v>
      </c>
      <c r="S27" s="636">
        <f t="shared" si="4"/>
        <v>0</v>
      </c>
    </row>
    <row r="28" spans="1:19" ht="15.75">
      <c r="A28" s="89">
        <f t="shared" si="3"/>
        <v>19</v>
      </c>
      <c r="B28" s="73"/>
      <c r="C28" s="383" t="s">
        <v>711</v>
      </c>
      <c r="D28" s="71"/>
      <c r="E28" s="72"/>
      <c r="F28" s="685">
        <v>0</v>
      </c>
      <c r="G28" s="685">
        <v>0</v>
      </c>
      <c r="H28" s="685">
        <v>0</v>
      </c>
      <c r="I28" s="685">
        <v>0</v>
      </c>
      <c r="J28" s="685">
        <v>0</v>
      </c>
      <c r="K28" s="685">
        <v>0</v>
      </c>
      <c r="L28" s="685">
        <v>0</v>
      </c>
      <c r="M28" s="685">
        <v>0</v>
      </c>
      <c r="N28" s="685">
        <v>0</v>
      </c>
      <c r="O28" s="685">
        <v>0</v>
      </c>
      <c r="P28" s="685">
        <v>0</v>
      </c>
      <c r="Q28" s="685">
        <v>0</v>
      </c>
      <c r="R28" s="685">
        <v>0</v>
      </c>
      <c r="S28" s="636">
        <f t="shared" si="4"/>
        <v>0</v>
      </c>
    </row>
    <row r="29" spans="1:19" ht="15.75">
      <c r="A29" s="89">
        <f t="shared" si="3"/>
        <v>20</v>
      </c>
      <c r="B29" s="73"/>
      <c r="C29" s="383" t="s">
        <v>712</v>
      </c>
      <c r="D29" s="71"/>
      <c r="E29" s="72"/>
      <c r="F29" s="685">
        <v>0</v>
      </c>
      <c r="G29" s="685">
        <v>0</v>
      </c>
      <c r="H29" s="685">
        <v>0</v>
      </c>
      <c r="I29" s="685">
        <v>0</v>
      </c>
      <c r="J29" s="685">
        <v>0</v>
      </c>
      <c r="K29" s="685">
        <v>0</v>
      </c>
      <c r="L29" s="685">
        <v>0</v>
      </c>
      <c r="M29" s="685">
        <v>0</v>
      </c>
      <c r="N29" s="685">
        <v>0</v>
      </c>
      <c r="O29" s="685">
        <v>0</v>
      </c>
      <c r="P29" s="685">
        <v>0</v>
      </c>
      <c r="Q29" s="685">
        <v>0</v>
      </c>
      <c r="R29" s="685">
        <v>0</v>
      </c>
      <c r="S29" s="636">
        <f t="shared" si="4"/>
        <v>0</v>
      </c>
    </row>
    <row r="30" spans="1:19" ht="15.75">
      <c r="A30" s="89">
        <f t="shared" si="3"/>
        <v>21</v>
      </c>
      <c r="B30" s="73"/>
      <c r="C30" s="383" t="s">
        <v>713</v>
      </c>
      <c r="D30" s="71"/>
      <c r="E30" s="72"/>
      <c r="F30" s="685">
        <v>0</v>
      </c>
      <c r="G30" s="685">
        <v>0</v>
      </c>
      <c r="H30" s="685">
        <v>0</v>
      </c>
      <c r="I30" s="685">
        <v>0</v>
      </c>
      <c r="J30" s="685">
        <v>0</v>
      </c>
      <c r="K30" s="685">
        <v>0</v>
      </c>
      <c r="L30" s="685">
        <v>0</v>
      </c>
      <c r="M30" s="685">
        <v>0</v>
      </c>
      <c r="N30" s="685">
        <v>0</v>
      </c>
      <c r="O30" s="685">
        <v>0</v>
      </c>
      <c r="P30" s="685">
        <v>0</v>
      </c>
      <c r="Q30" s="685">
        <v>0</v>
      </c>
      <c r="R30" s="685">
        <v>0</v>
      </c>
      <c r="S30" s="636">
        <f t="shared" si="4"/>
        <v>0</v>
      </c>
    </row>
    <row r="31" spans="1:19" ht="15.75">
      <c r="A31" s="89">
        <f t="shared" si="3"/>
        <v>22</v>
      </c>
      <c r="B31" s="73"/>
      <c r="C31" s="383" t="s">
        <v>714</v>
      </c>
      <c r="D31" s="71"/>
      <c r="E31" s="72"/>
      <c r="F31" s="685">
        <v>0</v>
      </c>
      <c r="G31" s="685">
        <v>0</v>
      </c>
      <c r="H31" s="685">
        <v>0</v>
      </c>
      <c r="I31" s="685">
        <v>0</v>
      </c>
      <c r="J31" s="685">
        <v>0</v>
      </c>
      <c r="K31" s="685">
        <v>0</v>
      </c>
      <c r="L31" s="685">
        <v>0</v>
      </c>
      <c r="M31" s="685">
        <v>0</v>
      </c>
      <c r="N31" s="685">
        <v>0</v>
      </c>
      <c r="O31" s="685">
        <v>0</v>
      </c>
      <c r="P31" s="685">
        <v>0</v>
      </c>
      <c r="Q31" s="685">
        <v>0</v>
      </c>
      <c r="R31" s="685">
        <v>0</v>
      </c>
      <c r="S31" s="636">
        <f t="shared" si="4"/>
        <v>0</v>
      </c>
    </row>
    <row r="32" spans="1:19" ht="15.75">
      <c r="A32" s="89">
        <f t="shared" si="3"/>
        <v>23</v>
      </c>
      <c r="B32" s="73"/>
      <c r="C32" s="383" t="s">
        <v>715</v>
      </c>
      <c r="D32" s="71"/>
      <c r="E32" s="72"/>
      <c r="F32" s="685">
        <v>0</v>
      </c>
      <c r="G32" s="685">
        <v>0</v>
      </c>
      <c r="H32" s="685">
        <v>0</v>
      </c>
      <c r="I32" s="685">
        <v>0</v>
      </c>
      <c r="J32" s="685">
        <v>0</v>
      </c>
      <c r="K32" s="685">
        <v>0</v>
      </c>
      <c r="L32" s="685">
        <v>0</v>
      </c>
      <c r="M32" s="685">
        <v>0</v>
      </c>
      <c r="N32" s="685">
        <v>0</v>
      </c>
      <c r="O32" s="685">
        <v>0</v>
      </c>
      <c r="P32" s="685">
        <v>0</v>
      </c>
      <c r="Q32" s="685">
        <v>0</v>
      </c>
      <c r="R32" s="685">
        <v>0</v>
      </c>
      <c r="S32" s="636">
        <f t="shared" si="4"/>
        <v>0</v>
      </c>
    </row>
    <row r="33" spans="1:19" ht="15.75">
      <c r="A33" s="89">
        <f t="shared" si="3"/>
        <v>24</v>
      </c>
      <c r="B33" s="73"/>
      <c r="C33" s="383" t="s">
        <v>716</v>
      </c>
      <c r="D33" s="71"/>
      <c r="E33" s="72"/>
      <c r="F33" s="685">
        <v>0</v>
      </c>
      <c r="G33" s="685">
        <v>0</v>
      </c>
      <c r="H33" s="685">
        <v>0</v>
      </c>
      <c r="I33" s="685">
        <v>0</v>
      </c>
      <c r="J33" s="685">
        <v>0</v>
      </c>
      <c r="K33" s="685">
        <v>0</v>
      </c>
      <c r="L33" s="685">
        <v>0</v>
      </c>
      <c r="M33" s="685">
        <v>0</v>
      </c>
      <c r="N33" s="685">
        <v>0</v>
      </c>
      <c r="O33" s="685">
        <v>0</v>
      </c>
      <c r="P33" s="685">
        <v>0</v>
      </c>
      <c r="Q33" s="685">
        <v>0</v>
      </c>
      <c r="R33" s="685">
        <v>0</v>
      </c>
      <c r="S33" s="636">
        <f t="shared" si="4"/>
        <v>0</v>
      </c>
    </row>
    <row r="34" spans="1:19" ht="15.75">
      <c r="A34" s="89"/>
      <c r="B34" s="73"/>
      <c r="C34" s="71"/>
      <c r="D34" s="71"/>
      <c r="E34" s="72"/>
      <c r="F34" s="678"/>
      <c r="G34" s="678"/>
      <c r="H34" s="678"/>
      <c r="I34" s="678"/>
      <c r="J34" s="678"/>
      <c r="K34" s="678"/>
      <c r="L34" s="678"/>
      <c r="M34" s="678"/>
      <c r="N34" s="678"/>
      <c r="O34" s="678"/>
      <c r="P34" s="678"/>
      <c r="Q34" s="678"/>
      <c r="R34" s="678"/>
      <c r="S34" s="381"/>
    </row>
    <row r="35" spans="1:19" ht="15.75">
      <c r="A35" s="89">
        <f>+A33+1</f>
        <v>25</v>
      </c>
      <c r="B35" s="73"/>
      <c r="C35" s="71" t="s">
        <v>68</v>
      </c>
      <c r="D35" s="71"/>
      <c r="E35" s="72"/>
      <c r="F35" s="381">
        <f>+SUM(F10:F33)</f>
        <v>31165671.18</v>
      </c>
      <c r="G35" s="381">
        <f t="shared" ref="G35:R35" si="5">+SUM(G10:G33)</f>
        <v>32043661.114259999</v>
      </c>
      <c r="H35" s="381">
        <f t="shared" si="5"/>
        <v>32978643.377586003</v>
      </c>
      <c r="I35" s="381">
        <f t="shared" si="5"/>
        <v>34217071.284858003</v>
      </c>
      <c r="J35" s="381">
        <f t="shared" si="5"/>
        <v>35381563.197666004</v>
      </c>
      <c r="K35" s="381">
        <f t="shared" si="5"/>
        <v>36578402.108052008</v>
      </c>
      <c r="L35" s="381">
        <f>+SUM(L10:L33)</f>
        <v>38006291.001138009</v>
      </c>
      <c r="M35" s="381">
        <f t="shared" si="5"/>
        <v>39310953.236784011</v>
      </c>
      <c r="N35" s="381">
        <f t="shared" si="5"/>
        <v>40526276.14578601</v>
      </c>
      <c r="O35" s="381">
        <f t="shared" si="5"/>
        <v>42035802.69942601</v>
      </c>
      <c r="P35" s="381">
        <f t="shared" si="5"/>
        <v>43409779.929882012</v>
      </c>
      <c r="Q35" s="381">
        <f t="shared" si="5"/>
        <v>44658990.169680014</v>
      </c>
      <c r="R35" s="381">
        <f t="shared" si="5"/>
        <v>0</v>
      </c>
      <c r="S35" s="381">
        <f>+SUM(S10:S33)</f>
        <v>34639469.649624467</v>
      </c>
    </row>
    <row r="36" spans="1:19" ht="16.5" thickBot="1">
      <c r="A36" s="105"/>
      <c r="B36" s="95"/>
      <c r="C36" s="97"/>
      <c r="D36" s="97"/>
      <c r="E36" s="98"/>
      <c r="F36" s="382"/>
      <c r="G36" s="382"/>
      <c r="H36" s="382"/>
      <c r="I36" s="382"/>
      <c r="J36" s="382"/>
      <c r="K36" s="382"/>
      <c r="L36" s="382"/>
      <c r="M36" s="382"/>
      <c r="N36" s="382"/>
      <c r="O36" s="382"/>
      <c r="P36" s="382"/>
      <c r="Q36" s="382"/>
      <c r="R36" s="382"/>
      <c r="S36" s="382"/>
    </row>
    <row r="39" spans="1:19" ht="15">
      <c r="A39" s="45" t="s">
        <v>717</v>
      </c>
    </row>
  </sheetData>
  <mergeCells count="1">
    <mergeCell ref="G7:R7"/>
  </mergeCells>
  <phoneticPr fontId="34"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B31" zoomScale="75" zoomScaleNormal="75" workbookViewId="0">
      <selection activeCell="G70" sqref="G70"/>
    </sheetView>
  </sheetViews>
  <sheetFormatPr defaultColWidth="9.28515625" defaultRowHeight="12.75"/>
  <cols>
    <col min="1" max="1" width="5.7109375" style="192" customWidth="1"/>
    <col min="2" max="2" width="13.28515625" style="69" customWidth="1"/>
    <col min="3" max="3" width="39.2851562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67" t="str">
        <f>+'Appendix A'!A3</f>
        <v>Dayton Power and Light</v>
      </c>
      <c r="C2" s="867"/>
      <c r="D2" s="867"/>
      <c r="E2" s="867"/>
      <c r="F2" s="867"/>
      <c r="G2" s="867"/>
      <c r="H2" s="867"/>
      <c r="I2" s="867"/>
      <c r="J2" s="867"/>
      <c r="K2" s="867"/>
      <c r="L2" s="867"/>
    </row>
    <row r="3" spans="2:13" ht="18">
      <c r="B3" s="867" t="str">
        <f>+'Appendix A'!A4</f>
        <v xml:space="preserve">ATTACHMENT H-15A </v>
      </c>
      <c r="C3" s="867"/>
      <c r="D3" s="867"/>
      <c r="E3" s="867"/>
      <c r="F3" s="867"/>
      <c r="G3" s="867"/>
      <c r="H3" s="867"/>
      <c r="I3" s="867"/>
      <c r="J3" s="867"/>
      <c r="K3" s="628"/>
      <c r="L3" s="178"/>
    </row>
    <row r="4" spans="2:13" ht="18">
      <c r="B4" s="867" t="s">
        <v>718</v>
      </c>
      <c r="C4" s="867"/>
      <c r="D4" s="867"/>
      <c r="E4" s="867"/>
      <c r="F4" s="867"/>
      <c r="G4" s="867"/>
      <c r="H4" s="867"/>
      <c r="I4" s="867"/>
      <c r="J4" s="867"/>
      <c r="K4" s="867"/>
      <c r="L4" s="867"/>
    </row>
    <row r="5" spans="2:13" ht="15.75">
      <c r="B5" s="79"/>
      <c r="C5" s="79"/>
      <c r="D5" s="79"/>
      <c r="E5" s="79"/>
      <c r="F5" s="79"/>
      <c r="G5" s="79"/>
      <c r="H5" s="79"/>
      <c r="I5" s="79"/>
      <c r="J5" s="79"/>
      <c r="K5" s="79"/>
      <c r="L5" s="79"/>
    </row>
    <row r="6" spans="2:13" ht="15">
      <c r="B6" s="45" t="s">
        <v>409</v>
      </c>
      <c r="C6" s="71"/>
      <c r="D6" s="71"/>
      <c r="E6" s="71"/>
      <c r="F6" s="71"/>
      <c r="G6" s="71"/>
      <c r="H6" s="71"/>
      <c r="I6" s="71"/>
      <c r="J6" s="71"/>
      <c r="K6" s="71"/>
      <c r="L6" s="71"/>
      <c r="M6" s="71"/>
    </row>
    <row r="7" spans="2:13" ht="15">
      <c r="B7" s="90" t="s">
        <v>719</v>
      </c>
      <c r="C7" s="71"/>
      <c r="E7" s="71"/>
      <c r="F7" s="71"/>
      <c r="G7" s="71"/>
      <c r="H7" s="71"/>
      <c r="I7" s="71"/>
      <c r="J7" s="71"/>
      <c r="K7" s="71"/>
      <c r="L7" s="71"/>
      <c r="M7" s="71"/>
    </row>
    <row r="8" spans="2:13" ht="15">
      <c r="B8" s="72"/>
      <c r="C8" s="71"/>
      <c r="E8" s="71"/>
      <c r="F8" s="71"/>
      <c r="G8" s="71"/>
      <c r="H8" s="71"/>
      <c r="I8" s="71"/>
      <c r="J8" s="71"/>
      <c r="K8" s="71"/>
      <c r="L8" s="71"/>
    </row>
    <row r="9" spans="2:13" ht="15">
      <c r="B9" s="72" t="s">
        <v>343</v>
      </c>
      <c r="C9" s="71" t="s">
        <v>720</v>
      </c>
      <c r="E9" s="71"/>
      <c r="F9" s="71"/>
      <c r="G9" s="71"/>
      <c r="H9" s="71"/>
      <c r="I9" s="71"/>
      <c r="J9" s="71"/>
      <c r="K9" s="71"/>
      <c r="L9" s="71"/>
    </row>
    <row r="10" spans="2:13" ht="15">
      <c r="B10" s="72"/>
      <c r="C10" s="71" t="s">
        <v>721</v>
      </c>
      <c r="E10" s="71"/>
      <c r="F10" s="71"/>
      <c r="G10" s="71"/>
      <c r="H10" s="71"/>
      <c r="I10" s="71"/>
      <c r="J10" s="71"/>
      <c r="K10" s="71"/>
      <c r="L10" s="71"/>
    </row>
    <row r="11" spans="2:13" ht="15">
      <c r="B11" s="72"/>
      <c r="C11" s="71" t="s">
        <v>722</v>
      </c>
      <c r="E11" s="71"/>
      <c r="F11" s="71"/>
      <c r="G11" s="71"/>
      <c r="H11" s="316"/>
      <c r="J11" s="71"/>
      <c r="K11" s="71"/>
      <c r="L11" s="71"/>
    </row>
    <row r="12" spans="2:13" ht="15">
      <c r="B12" s="72"/>
      <c r="E12" s="71"/>
      <c r="F12" s="71"/>
      <c r="G12" s="71"/>
      <c r="H12" s="316"/>
      <c r="J12" s="71"/>
      <c r="K12" s="71"/>
      <c r="L12" s="71"/>
    </row>
    <row r="13" spans="2:13" ht="15">
      <c r="B13" s="72" t="s">
        <v>723</v>
      </c>
      <c r="C13" s="71" t="s">
        <v>724</v>
      </c>
      <c r="E13" s="71"/>
      <c r="F13" s="71"/>
      <c r="G13" s="71"/>
      <c r="H13" s="316"/>
      <c r="J13" s="71"/>
      <c r="K13" s="71"/>
      <c r="L13" s="71"/>
    </row>
    <row r="14" spans="2:13" ht="15">
      <c r="B14" s="72"/>
      <c r="C14" s="71" t="s">
        <v>725</v>
      </c>
      <c r="E14" s="71"/>
      <c r="F14" s="71"/>
      <c r="G14" s="71"/>
      <c r="H14" s="71"/>
      <c r="I14" s="71"/>
      <c r="J14" s="71"/>
      <c r="K14" s="71"/>
      <c r="L14" s="71"/>
    </row>
    <row r="15" spans="2:13" ht="15">
      <c r="B15" s="72"/>
      <c r="C15" s="71"/>
      <c r="E15" s="71"/>
      <c r="F15" s="71"/>
      <c r="G15" s="71"/>
      <c r="H15" s="71"/>
      <c r="I15" s="71"/>
      <c r="J15" s="71"/>
      <c r="K15" s="71"/>
      <c r="L15" s="71"/>
    </row>
    <row r="16" spans="2:13" ht="15">
      <c r="B16" s="72" t="s">
        <v>726</v>
      </c>
      <c r="C16" s="71" t="s">
        <v>727</v>
      </c>
      <c r="E16" s="71"/>
      <c r="F16" s="71"/>
      <c r="G16" s="71"/>
      <c r="H16" s="71"/>
      <c r="I16" s="71"/>
      <c r="J16" s="71"/>
      <c r="K16" s="71"/>
      <c r="L16" s="71"/>
    </row>
    <row r="17" spans="2:13" ht="15">
      <c r="B17" s="72"/>
      <c r="C17" s="71" t="s">
        <v>728</v>
      </c>
      <c r="E17" s="71"/>
      <c r="F17" s="71"/>
      <c r="G17" s="71"/>
      <c r="H17" s="71"/>
      <c r="I17" s="71"/>
      <c r="J17" s="71"/>
      <c r="K17" s="71"/>
      <c r="L17" s="71"/>
    </row>
    <row r="18" spans="2:13" ht="15">
      <c r="G18" s="71"/>
      <c r="H18" s="71"/>
      <c r="I18" s="71"/>
      <c r="J18" s="71"/>
      <c r="K18" s="71"/>
      <c r="L18" s="71"/>
    </row>
    <row r="19" spans="2:13" ht="15">
      <c r="B19" s="72" t="s">
        <v>729</v>
      </c>
      <c r="C19" s="71" t="s">
        <v>730</v>
      </c>
      <c r="D19" s="71"/>
      <c r="F19" s="71"/>
      <c r="G19" s="71"/>
      <c r="H19" s="71"/>
      <c r="I19" s="71"/>
      <c r="J19" s="71"/>
      <c r="L19" s="71"/>
    </row>
    <row r="20" spans="2:13" ht="15">
      <c r="D20" s="71"/>
      <c r="F20" s="71"/>
      <c r="G20" s="71"/>
      <c r="H20" s="71"/>
      <c r="I20" s="71"/>
      <c r="J20" s="71"/>
      <c r="K20" s="317"/>
      <c r="L20" s="71"/>
    </row>
    <row r="21" spans="2:13" ht="15">
      <c r="C21" s="71" t="s">
        <v>731</v>
      </c>
      <c r="D21" s="72" t="s">
        <v>732</v>
      </c>
      <c r="E21" s="71" t="s">
        <v>733</v>
      </c>
      <c r="F21" s="71"/>
      <c r="G21" s="71"/>
      <c r="H21" s="71"/>
      <c r="I21" s="71"/>
      <c r="J21" s="71"/>
      <c r="K21" s="71"/>
      <c r="L21" s="71"/>
    </row>
    <row r="22" spans="2:13" ht="15">
      <c r="E22" s="71" t="s">
        <v>734</v>
      </c>
      <c r="F22" s="71"/>
      <c r="G22" s="71"/>
      <c r="H22" s="71"/>
      <c r="I22" s="71"/>
      <c r="J22" s="71"/>
      <c r="K22" s="71"/>
      <c r="L22" s="71"/>
    </row>
    <row r="23" spans="2:13" ht="15">
      <c r="E23" s="71" t="s">
        <v>735</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736</v>
      </c>
      <c r="F26" s="71"/>
      <c r="G26" s="71"/>
      <c r="H26" s="71"/>
      <c r="I26" s="71"/>
    </row>
    <row r="27" spans="2:13" ht="16.5">
      <c r="B27" s="320"/>
      <c r="C27" s="71" t="s">
        <v>737</v>
      </c>
      <c r="F27" s="71"/>
      <c r="G27" s="71"/>
      <c r="I27" s="71"/>
    </row>
    <row r="28" spans="2:13" ht="15">
      <c r="B28" s="72"/>
      <c r="C28" s="71" t="s">
        <v>738</v>
      </c>
      <c r="F28" s="71"/>
      <c r="G28" s="71"/>
    </row>
    <row r="29" spans="2:13" ht="15">
      <c r="B29" s="72"/>
      <c r="C29" s="71" t="s">
        <v>739</v>
      </c>
      <c r="F29" s="71"/>
      <c r="G29" s="71"/>
      <c r="M29" s="70"/>
    </row>
    <row r="30" spans="2:13" ht="15">
      <c r="B30" s="72"/>
      <c r="C30" s="71" t="s">
        <v>740</v>
      </c>
    </row>
    <row r="31" spans="2:13" ht="15">
      <c r="B31" s="72"/>
      <c r="C31" s="71" t="s">
        <v>741</v>
      </c>
      <c r="H31" s="71"/>
    </row>
    <row r="32" spans="2:13" ht="15">
      <c r="B32" s="72"/>
    </row>
    <row r="33" spans="1:13" ht="15">
      <c r="H33" s="71"/>
      <c r="I33" s="71"/>
      <c r="J33" s="71"/>
      <c r="K33" s="71"/>
    </row>
    <row r="34" spans="1:13" ht="15">
      <c r="A34" s="541" t="s">
        <v>742</v>
      </c>
      <c r="C34" s="71"/>
      <c r="D34" s="72"/>
      <c r="E34" s="71"/>
      <c r="F34" s="71"/>
      <c r="G34" s="71"/>
      <c r="I34" s="72" t="s">
        <v>743</v>
      </c>
      <c r="J34" s="72" t="s">
        <v>744</v>
      </c>
    </row>
    <row r="35" spans="1:13" ht="15">
      <c r="C35" s="71"/>
      <c r="D35" s="72"/>
      <c r="E35" s="71"/>
      <c r="F35" s="71"/>
      <c r="G35" s="71"/>
      <c r="I35" s="386" t="s">
        <v>745</v>
      </c>
      <c r="J35" s="386" t="s">
        <v>745</v>
      </c>
      <c r="K35" s="442" t="s">
        <v>746</v>
      </c>
    </row>
    <row r="36" spans="1:13" ht="15">
      <c r="A36" s="69">
        <v>1</v>
      </c>
      <c r="B36" s="69" t="s">
        <v>207</v>
      </c>
      <c r="C36" s="71" t="s">
        <v>747</v>
      </c>
      <c r="D36" s="72"/>
      <c r="E36" s="71"/>
      <c r="F36" s="71"/>
      <c r="G36" s="71"/>
      <c r="I36" s="566">
        <v>47857326</v>
      </c>
      <c r="J36" s="35"/>
      <c r="K36" s="71"/>
      <c r="M36" s="817"/>
    </row>
    <row r="37" spans="1:13" ht="15">
      <c r="A37" s="69">
        <f>+A36+1</f>
        <v>2</v>
      </c>
      <c r="B37" s="69" t="s">
        <v>209</v>
      </c>
      <c r="C37" s="71" t="s">
        <v>748</v>
      </c>
      <c r="D37" s="72"/>
      <c r="E37" s="71"/>
      <c r="F37" s="71"/>
      <c r="G37" s="71"/>
      <c r="I37" s="612">
        <v>57309744.742372364</v>
      </c>
      <c r="J37" s="441"/>
      <c r="K37" s="71"/>
      <c r="M37" s="339"/>
    </row>
    <row r="38" spans="1:13" ht="15">
      <c r="A38" s="69">
        <f t="shared" ref="A38:A40" si="0">+A37+1</f>
        <v>3</v>
      </c>
      <c r="B38" s="69" t="s">
        <v>211</v>
      </c>
      <c r="C38" s="71" t="s">
        <v>749</v>
      </c>
      <c r="D38" s="72"/>
      <c r="E38" s="71"/>
      <c r="F38" s="71"/>
      <c r="G38" s="71"/>
      <c r="I38" s="91">
        <f>I36-I37</f>
        <v>-9452418.7423723638</v>
      </c>
      <c r="J38" s="91">
        <f>+I38</f>
        <v>-9452418.7423723638</v>
      </c>
      <c r="K38" s="71"/>
    </row>
    <row r="39" spans="1:13" ht="15">
      <c r="A39" s="69">
        <f t="shared" si="0"/>
        <v>4</v>
      </c>
      <c r="B39" s="69" t="s">
        <v>213</v>
      </c>
      <c r="C39" s="71" t="s">
        <v>750</v>
      </c>
      <c r="D39" s="72"/>
      <c r="E39" s="71"/>
      <c r="F39" s="71"/>
      <c r="G39" s="71"/>
      <c r="I39" s="613">
        <f>(1+E74)^24</f>
        <v>1.0828191422122437</v>
      </c>
      <c r="J39" s="613">
        <f>(1+F74)^24</f>
        <v>1.0828191422122437</v>
      </c>
      <c r="K39" s="71"/>
    </row>
    <row r="40" spans="1:13" ht="15">
      <c r="A40" s="69">
        <f t="shared" si="0"/>
        <v>5</v>
      </c>
      <c r="B40" s="69" t="s">
        <v>215</v>
      </c>
      <c r="C40" s="71" t="s">
        <v>751</v>
      </c>
      <c r="D40" s="72"/>
      <c r="E40" s="71"/>
      <c r="F40" s="71"/>
      <c r="G40" s="71"/>
      <c r="I40" s="91">
        <f>+I38*I39</f>
        <v>-10235259.954446578</v>
      </c>
      <c r="J40" s="91">
        <f>+J38*J39</f>
        <v>-10235259.954446578</v>
      </c>
      <c r="K40" s="91">
        <f>+J40-I40</f>
        <v>0</v>
      </c>
    </row>
    <row r="41" spans="1:13" ht="15">
      <c r="A41" s="69">
        <f>+A40+1</f>
        <v>6</v>
      </c>
      <c r="B41" s="69" t="s">
        <v>217</v>
      </c>
      <c r="C41" s="71" t="s">
        <v>752</v>
      </c>
      <c r="D41" s="72"/>
      <c r="E41" s="71"/>
      <c r="F41" s="71"/>
      <c r="G41" s="71"/>
      <c r="H41" s="91"/>
      <c r="I41" s="91">
        <f>+I40+K40</f>
        <v>-10235259.954446578</v>
      </c>
      <c r="J41" s="71"/>
      <c r="K41" s="71"/>
    </row>
    <row r="42" spans="1:13" ht="15">
      <c r="A42" s="69"/>
      <c r="C42" s="71"/>
      <c r="D42" s="72"/>
      <c r="E42" s="71"/>
      <c r="F42" s="71"/>
      <c r="G42" s="71"/>
      <c r="H42" s="71"/>
      <c r="J42" s="71"/>
      <c r="K42" s="71"/>
    </row>
    <row r="43" spans="1:13" ht="15">
      <c r="A43" s="69"/>
      <c r="C43" s="71" t="s">
        <v>753</v>
      </c>
      <c r="D43" s="71"/>
      <c r="E43" s="71"/>
      <c r="F43" s="71"/>
      <c r="G43" s="71"/>
      <c r="H43" s="20"/>
    </row>
    <row r="44" spans="1:13" ht="15">
      <c r="A44" s="69"/>
      <c r="C44" s="71" t="s">
        <v>754</v>
      </c>
      <c r="D44" s="71"/>
      <c r="E44" s="71"/>
      <c r="F44" s="71"/>
      <c r="G44" s="71"/>
      <c r="H44" s="193"/>
      <c r="I44" s="150"/>
      <c r="J44" s="321"/>
    </row>
    <row r="45" spans="1:13" ht="15">
      <c r="A45" s="69"/>
      <c r="C45" s="71"/>
      <c r="D45" s="71"/>
      <c r="E45" s="71"/>
      <c r="F45" s="71"/>
      <c r="G45" s="71"/>
      <c r="H45" s="147"/>
      <c r="I45" s="191"/>
      <c r="J45" s="191"/>
      <c r="K45" s="191"/>
    </row>
    <row r="46" spans="1:13" ht="15">
      <c r="A46" s="69"/>
      <c r="B46" s="90" t="s">
        <v>755</v>
      </c>
      <c r="C46" s="71"/>
      <c r="D46" s="71"/>
      <c r="E46" s="72" t="s">
        <v>743</v>
      </c>
      <c r="F46" s="72" t="s">
        <v>756</v>
      </c>
      <c r="G46" s="71"/>
      <c r="H46" s="147"/>
      <c r="I46" s="191"/>
      <c r="J46" s="191"/>
      <c r="K46" s="191"/>
    </row>
    <row r="47" spans="1:13" ht="20.25">
      <c r="A47" s="69"/>
      <c r="B47" s="192"/>
      <c r="C47" s="72"/>
      <c r="D47" s="71"/>
      <c r="E47" s="72" t="s">
        <v>757</v>
      </c>
      <c r="F47" s="72" t="s">
        <v>757</v>
      </c>
      <c r="H47" s="47"/>
      <c r="I47" s="147"/>
      <c r="J47" s="20"/>
      <c r="K47" s="322"/>
    </row>
    <row r="48" spans="1:13" ht="17.25">
      <c r="A48" s="69"/>
      <c r="B48" s="539" t="s">
        <v>414</v>
      </c>
      <c r="C48" s="386" t="s">
        <v>354</v>
      </c>
      <c r="D48" s="71"/>
      <c r="E48" s="386" t="s">
        <v>745</v>
      </c>
      <c r="F48" s="386" t="s">
        <v>745</v>
      </c>
      <c r="H48" s="152"/>
      <c r="I48" s="321"/>
      <c r="J48" s="324"/>
      <c r="K48" s="322"/>
    </row>
    <row r="49" spans="1:11" ht="15">
      <c r="A49" s="69">
        <f>+A41+1</f>
        <v>7</v>
      </c>
      <c r="B49" s="90" t="s">
        <v>375</v>
      </c>
      <c r="C49" s="72" t="s">
        <v>758</v>
      </c>
      <c r="D49" s="71"/>
      <c r="E49" s="325">
        <v>2.8E-3</v>
      </c>
      <c r="F49" s="325">
        <v>2.8E-3</v>
      </c>
      <c r="G49" s="90"/>
      <c r="H49" s="92"/>
      <c r="I49" s="341"/>
      <c r="J49" s="342"/>
      <c r="K49" s="322"/>
    </row>
    <row r="50" spans="1:11" ht="15">
      <c r="A50" s="69">
        <f>+A49+1</f>
        <v>8</v>
      </c>
      <c r="B50" s="90" t="s">
        <v>376</v>
      </c>
      <c r="C50" s="72" t="s">
        <v>758</v>
      </c>
      <c r="D50" s="71"/>
      <c r="E50" s="325">
        <v>2.8E-3</v>
      </c>
      <c r="F50" s="325">
        <v>2.8E-3</v>
      </c>
      <c r="G50" s="323"/>
      <c r="H50" s="72"/>
      <c r="I50" s="71"/>
      <c r="J50" s="92"/>
      <c r="K50" s="322"/>
    </row>
    <row r="51" spans="1:11" ht="15">
      <c r="A51" s="69">
        <f t="shared" ref="A51:A72" si="1">+A50+1</f>
        <v>9</v>
      </c>
      <c r="B51" s="90" t="s">
        <v>377</v>
      </c>
      <c r="C51" s="72" t="s">
        <v>758</v>
      </c>
      <c r="D51" s="71"/>
      <c r="E51" s="325">
        <v>2.7000000000000001E-3</v>
      </c>
      <c r="F51" s="325">
        <v>2.7000000000000001E-3</v>
      </c>
      <c r="G51" s="71"/>
      <c r="H51" s="72"/>
      <c r="I51" s="71"/>
      <c r="J51" s="72"/>
      <c r="K51" s="322"/>
    </row>
    <row r="52" spans="1:11" ht="15">
      <c r="A52" s="69">
        <f t="shared" si="1"/>
        <v>10</v>
      </c>
      <c r="B52" s="90" t="s">
        <v>378</v>
      </c>
      <c r="C52" s="72" t="s">
        <v>758</v>
      </c>
      <c r="D52" s="71"/>
      <c r="E52" s="325">
        <v>2.8E-3</v>
      </c>
      <c r="F52" s="325">
        <v>2.8E-3</v>
      </c>
      <c r="G52" s="71"/>
      <c r="H52" s="72"/>
      <c r="I52" s="71"/>
      <c r="J52" s="72"/>
      <c r="K52" s="322"/>
    </row>
    <row r="53" spans="1:11" ht="15">
      <c r="A53" s="69">
        <f t="shared" si="1"/>
        <v>11</v>
      </c>
      <c r="B53" s="90" t="s">
        <v>379</v>
      </c>
      <c r="C53" s="72" t="s">
        <v>758</v>
      </c>
      <c r="D53" s="71"/>
      <c r="E53" s="325">
        <v>2.7000000000000001E-3</v>
      </c>
      <c r="F53" s="325">
        <v>2.7000000000000001E-3</v>
      </c>
      <c r="G53" s="71"/>
      <c r="H53" s="92"/>
      <c r="I53" s="71"/>
      <c r="J53" s="72"/>
      <c r="K53" s="322"/>
    </row>
    <row r="54" spans="1:11" ht="15">
      <c r="A54" s="69">
        <f t="shared" si="1"/>
        <v>12</v>
      </c>
      <c r="B54" s="90" t="s">
        <v>380</v>
      </c>
      <c r="C54" s="72" t="s">
        <v>758</v>
      </c>
      <c r="D54" s="71"/>
      <c r="E54" s="325">
        <v>2.8E-3</v>
      </c>
      <c r="F54" s="325">
        <v>2.8E-3</v>
      </c>
      <c r="G54" s="71"/>
      <c r="H54" s="72"/>
      <c r="I54" s="71"/>
      <c r="J54" s="72"/>
      <c r="K54" s="322"/>
    </row>
    <row r="55" spans="1:11" ht="15">
      <c r="A55" s="69">
        <f t="shared" si="1"/>
        <v>13</v>
      </c>
      <c r="B55" s="90" t="s">
        <v>369</v>
      </c>
      <c r="C55" s="72" t="s">
        <v>759</v>
      </c>
      <c r="D55" s="71"/>
      <c r="E55" s="325">
        <v>2.8E-3</v>
      </c>
      <c r="F55" s="325">
        <v>2.8E-3</v>
      </c>
      <c r="G55" s="71"/>
      <c r="H55" s="72"/>
      <c r="I55" s="71"/>
      <c r="J55" s="72"/>
      <c r="K55" s="322"/>
    </row>
    <row r="56" spans="1:11" ht="15">
      <c r="A56" s="69">
        <f t="shared" si="1"/>
        <v>14</v>
      </c>
      <c r="B56" s="90" t="s">
        <v>370</v>
      </c>
      <c r="C56" s="72" t="s">
        <v>759</v>
      </c>
      <c r="D56" s="71"/>
      <c r="E56" s="325">
        <v>2.5000000000000001E-3</v>
      </c>
      <c r="F56" s="325">
        <v>2.5000000000000001E-3</v>
      </c>
      <c r="G56" s="71"/>
      <c r="H56" s="72"/>
      <c r="I56" s="71"/>
      <c r="J56" s="72"/>
      <c r="K56" s="322"/>
    </row>
    <row r="57" spans="1:11" ht="15">
      <c r="A57" s="69">
        <f t="shared" si="1"/>
        <v>15</v>
      </c>
      <c r="B57" s="90" t="s">
        <v>371</v>
      </c>
      <c r="C57" s="72" t="s">
        <v>759</v>
      </c>
      <c r="D57" s="71"/>
      <c r="E57" s="325">
        <v>2.8E-3</v>
      </c>
      <c r="F57" s="325">
        <v>2.8E-3</v>
      </c>
      <c r="G57" s="71"/>
      <c r="H57" s="72"/>
      <c r="I57" s="71"/>
      <c r="J57" s="72"/>
      <c r="K57" s="322"/>
    </row>
    <row r="58" spans="1:11" ht="15">
      <c r="A58" s="69">
        <f t="shared" si="1"/>
        <v>16</v>
      </c>
      <c r="B58" s="90" t="s">
        <v>372</v>
      </c>
      <c r="C58" s="72" t="s">
        <v>759</v>
      </c>
      <c r="D58" s="71"/>
      <c r="E58" s="325">
        <v>2.7000000000000001E-3</v>
      </c>
      <c r="F58" s="325">
        <v>2.7000000000000001E-3</v>
      </c>
      <c r="G58" s="71"/>
      <c r="H58" s="72"/>
      <c r="I58" s="71"/>
      <c r="J58" s="72"/>
      <c r="K58" s="322"/>
    </row>
    <row r="59" spans="1:11" ht="15">
      <c r="A59" s="69">
        <f t="shared" si="1"/>
        <v>17</v>
      </c>
      <c r="B59" s="90" t="s">
        <v>373</v>
      </c>
      <c r="C59" s="72" t="s">
        <v>759</v>
      </c>
      <c r="D59" s="71"/>
      <c r="E59" s="325">
        <v>2.8E-3</v>
      </c>
      <c r="F59" s="325">
        <v>2.8E-3</v>
      </c>
      <c r="G59" s="71"/>
      <c r="H59" s="72"/>
      <c r="I59" s="71"/>
      <c r="J59" s="72"/>
      <c r="K59" s="322"/>
    </row>
    <row r="60" spans="1:11" ht="15">
      <c r="A60" s="69">
        <f t="shared" si="1"/>
        <v>18</v>
      </c>
      <c r="B60" s="90" t="s">
        <v>374</v>
      </c>
      <c r="C60" s="72" t="s">
        <v>759</v>
      </c>
      <c r="D60" s="71"/>
      <c r="E60" s="325">
        <v>2.7000000000000001E-3</v>
      </c>
      <c r="F60" s="325">
        <v>2.7000000000000001E-3</v>
      </c>
      <c r="G60" s="71"/>
      <c r="H60" s="72"/>
      <c r="I60" s="71"/>
      <c r="J60" s="72"/>
      <c r="K60" s="322"/>
    </row>
    <row r="61" spans="1:11" ht="15">
      <c r="A61" s="69">
        <f t="shared" si="1"/>
        <v>19</v>
      </c>
      <c r="B61" s="90" t="s">
        <v>375</v>
      </c>
      <c r="C61" s="72" t="s">
        <v>759</v>
      </c>
      <c r="D61" s="71"/>
      <c r="E61" s="325">
        <v>3.0999999999999999E-3</v>
      </c>
      <c r="F61" s="325">
        <v>3.0999999999999999E-3</v>
      </c>
      <c r="G61" s="71"/>
      <c r="H61" s="72"/>
      <c r="I61" s="71"/>
      <c r="J61" s="72"/>
      <c r="K61" s="322"/>
    </row>
    <row r="62" spans="1:11" ht="15">
      <c r="A62" s="69">
        <f t="shared" si="1"/>
        <v>20</v>
      </c>
      <c r="B62" s="90" t="s">
        <v>376</v>
      </c>
      <c r="C62" s="72" t="s">
        <v>759</v>
      </c>
      <c r="D62" s="71"/>
      <c r="E62" s="325">
        <v>3.0999999999999999E-3</v>
      </c>
      <c r="F62" s="325">
        <v>3.0999999999999999E-3</v>
      </c>
      <c r="G62" s="71"/>
      <c r="H62" s="72"/>
      <c r="I62" s="71"/>
      <c r="J62" s="72"/>
      <c r="K62" s="322"/>
    </row>
    <row r="63" spans="1:11" ht="15">
      <c r="A63" s="69">
        <f t="shared" si="1"/>
        <v>21</v>
      </c>
      <c r="B63" s="90" t="s">
        <v>377</v>
      </c>
      <c r="C63" s="72" t="s">
        <v>759</v>
      </c>
      <c r="D63" s="71"/>
      <c r="E63" s="325">
        <v>3.0000000000000001E-3</v>
      </c>
      <c r="F63" s="325">
        <v>3.0000000000000001E-3</v>
      </c>
      <c r="G63" s="71"/>
      <c r="H63" s="72"/>
      <c r="I63" s="71"/>
      <c r="J63" s="72"/>
      <c r="K63" s="322"/>
    </row>
    <row r="64" spans="1:11" ht="15">
      <c r="A64" s="69">
        <f t="shared" si="1"/>
        <v>22</v>
      </c>
      <c r="B64" s="90" t="s">
        <v>378</v>
      </c>
      <c r="C64" s="72" t="s">
        <v>759</v>
      </c>
      <c r="D64" s="71"/>
      <c r="E64" s="325">
        <v>4.1999999999999997E-3</v>
      </c>
      <c r="F64" s="325">
        <v>4.1999999999999997E-3</v>
      </c>
      <c r="G64" s="71"/>
      <c r="H64" s="72"/>
      <c r="I64" s="71"/>
      <c r="J64" s="72"/>
      <c r="K64" s="322"/>
    </row>
    <row r="65" spans="1:11" ht="15">
      <c r="A65" s="69">
        <f t="shared" si="1"/>
        <v>23</v>
      </c>
      <c r="B65" s="90" t="s">
        <v>379</v>
      </c>
      <c r="C65" s="72" t="s">
        <v>759</v>
      </c>
      <c r="D65" s="71"/>
      <c r="E65" s="325">
        <v>4.0000000000000001E-3</v>
      </c>
      <c r="F65" s="325">
        <v>4.0000000000000001E-3</v>
      </c>
      <c r="G65" s="71"/>
      <c r="H65" s="72"/>
      <c r="I65" s="71"/>
      <c r="J65" s="72"/>
      <c r="K65" s="322"/>
    </row>
    <row r="66" spans="1:11" ht="15">
      <c r="A66" s="69">
        <f t="shared" si="1"/>
        <v>24</v>
      </c>
      <c r="B66" s="90" t="s">
        <v>380</v>
      </c>
      <c r="C66" s="72" t="s">
        <v>759</v>
      </c>
      <c r="D66" s="71"/>
      <c r="E66" s="325">
        <v>4.1999999999999997E-3</v>
      </c>
      <c r="F66" s="325">
        <v>4.1999999999999997E-3</v>
      </c>
      <c r="G66" s="71"/>
      <c r="H66" s="72"/>
      <c r="I66" s="71"/>
      <c r="J66" s="72"/>
      <c r="K66" s="322"/>
    </row>
    <row r="67" spans="1:11" ht="15">
      <c r="A67" s="69">
        <f t="shared" si="1"/>
        <v>25</v>
      </c>
      <c r="B67" s="90" t="s">
        <v>369</v>
      </c>
      <c r="C67" s="72" t="s">
        <v>760</v>
      </c>
      <c r="D67" s="71"/>
      <c r="E67" s="325">
        <v>4.1999999999999997E-3</v>
      </c>
      <c r="F67" s="325">
        <v>4.1999999999999997E-3</v>
      </c>
      <c r="G67" s="71"/>
      <c r="H67" s="72"/>
      <c r="I67" s="71"/>
      <c r="J67" s="72"/>
      <c r="K67" s="322"/>
    </row>
    <row r="68" spans="1:11" ht="15">
      <c r="A68" s="69">
        <f t="shared" si="1"/>
        <v>26</v>
      </c>
      <c r="B68" s="90" t="s">
        <v>370</v>
      </c>
      <c r="C68" s="72" t="s">
        <v>760</v>
      </c>
      <c r="D68" s="71"/>
      <c r="E68" s="325">
        <v>4.1999999999999997E-3</v>
      </c>
      <c r="F68" s="325">
        <v>4.1999999999999997E-3</v>
      </c>
      <c r="G68" s="71"/>
      <c r="H68" s="72"/>
      <c r="I68" s="71"/>
      <c r="J68" s="72"/>
    </row>
    <row r="69" spans="1:11" ht="15">
      <c r="A69" s="69">
        <f t="shared" si="1"/>
        <v>27</v>
      </c>
      <c r="B69" s="90" t="s">
        <v>371</v>
      </c>
      <c r="C69" s="72" t="s">
        <v>760</v>
      </c>
      <c r="D69" s="71"/>
      <c r="E69" s="325">
        <v>4.1999999999999997E-3</v>
      </c>
      <c r="F69" s="325">
        <v>4.1999999999999997E-3</v>
      </c>
      <c r="G69" s="71"/>
      <c r="H69" s="72"/>
      <c r="I69" s="71"/>
      <c r="J69" s="72"/>
    </row>
    <row r="70" spans="1:11" ht="15">
      <c r="A70" s="69">
        <f t="shared" si="1"/>
        <v>28</v>
      </c>
      <c r="B70" s="90" t="s">
        <v>372</v>
      </c>
      <c r="C70" s="72" t="s">
        <v>760</v>
      </c>
      <c r="D70" s="71"/>
      <c r="E70" s="325">
        <v>4.1999999999999997E-3</v>
      </c>
      <c r="F70" s="325">
        <v>4.1999999999999997E-3</v>
      </c>
      <c r="G70" s="71"/>
      <c r="H70" s="72"/>
      <c r="I70" s="71"/>
      <c r="J70" s="72"/>
    </row>
    <row r="71" spans="1:11" ht="15">
      <c r="A71" s="69">
        <f t="shared" si="1"/>
        <v>29</v>
      </c>
      <c r="B71" s="90" t="s">
        <v>373</v>
      </c>
      <c r="C71" s="72" t="s">
        <v>760</v>
      </c>
      <c r="D71" s="71"/>
      <c r="E71" s="325">
        <v>4.1999999999999997E-3</v>
      </c>
      <c r="F71" s="325">
        <v>4.1999999999999997E-3</v>
      </c>
      <c r="G71" s="71"/>
      <c r="H71" s="72"/>
      <c r="I71" s="71"/>
      <c r="J71" s="72"/>
    </row>
    <row r="72" spans="1:11" ht="15">
      <c r="A72" s="69">
        <f t="shared" si="1"/>
        <v>30</v>
      </c>
      <c r="B72" s="90" t="s">
        <v>374</v>
      </c>
      <c r="C72" s="72" t="s">
        <v>760</v>
      </c>
      <c r="D72" s="71"/>
      <c r="E72" s="325">
        <v>4.1999999999999997E-3</v>
      </c>
      <c r="F72" s="325">
        <v>4.1999999999999997E-3</v>
      </c>
      <c r="G72" s="71"/>
      <c r="H72" s="71"/>
      <c r="I72" s="71"/>
      <c r="J72" s="326"/>
    </row>
    <row r="73" spans="1:11">
      <c r="A73" s="69"/>
      <c r="B73" s="540"/>
    </row>
    <row r="74" spans="1:11" ht="15">
      <c r="A74" s="69">
        <f>+A72+1</f>
        <v>31</v>
      </c>
      <c r="B74" s="90" t="s">
        <v>508</v>
      </c>
      <c r="E74" s="385">
        <f>+SUM(E49:E72)/24</f>
        <v>3.3208333333333323E-3</v>
      </c>
      <c r="F74" s="385">
        <f>+SUM(F49:F72)/24</f>
        <v>3.3208333333333323E-3</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4"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topLeftCell="A28" zoomScale="75" zoomScaleNormal="75" workbookViewId="0">
      <selection activeCell="I36" sqref="I36"/>
    </sheetView>
  </sheetViews>
  <sheetFormatPr defaultColWidth="9.28515625" defaultRowHeight="12.75"/>
  <cols>
    <col min="1" max="1" width="5.140625" style="192" customWidth="1"/>
    <col min="2" max="2" width="14.140625" style="69" customWidth="1"/>
    <col min="3" max="3" width="45.8554687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67" t="str">
        <f>+'Appendix A'!A3</f>
        <v>Dayton Power and Light</v>
      </c>
      <c r="C2" s="867"/>
      <c r="D2" s="867"/>
      <c r="E2" s="867"/>
      <c r="F2" s="867"/>
      <c r="G2" s="867"/>
      <c r="H2" s="867"/>
      <c r="I2" s="867"/>
      <c r="J2" s="867"/>
      <c r="K2" s="867"/>
      <c r="L2" s="867"/>
    </row>
    <row r="3" spans="2:13" ht="18">
      <c r="B3" s="867" t="str">
        <f>+'Appendix A'!A4</f>
        <v xml:space="preserve">ATTACHMENT H-15A </v>
      </c>
      <c r="C3" s="867"/>
      <c r="D3" s="867"/>
      <c r="E3" s="867"/>
      <c r="F3" s="867"/>
      <c r="G3" s="867"/>
      <c r="H3" s="867"/>
      <c r="I3" s="867"/>
      <c r="J3" s="867"/>
      <c r="K3" s="628"/>
      <c r="L3" s="178"/>
    </row>
    <row r="4" spans="2:13" ht="18">
      <c r="B4" s="867" t="s">
        <v>761</v>
      </c>
      <c r="C4" s="867"/>
      <c r="D4" s="867"/>
      <c r="E4" s="867"/>
      <c r="F4" s="867"/>
      <c r="G4" s="867"/>
      <c r="H4" s="867"/>
      <c r="I4" s="867"/>
      <c r="J4" s="867"/>
      <c r="K4" s="867"/>
      <c r="L4" s="867"/>
    </row>
    <row r="5" spans="2:13" ht="15.75">
      <c r="B5" s="79"/>
      <c r="C5" s="79"/>
      <c r="D5" s="79"/>
      <c r="E5" s="79"/>
      <c r="F5" s="79"/>
      <c r="G5" s="79"/>
      <c r="H5" s="79"/>
      <c r="I5" s="79"/>
      <c r="J5" s="79"/>
      <c r="K5" s="79"/>
      <c r="L5" s="79"/>
    </row>
    <row r="6" spans="2:13" ht="15">
      <c r="B6" s="45" t="s">
        <v>409</v>
      </c>
      <c r="C6" s="71"/>
      <c r="D6" s="71"/>
      <c r="E6" s="71"/>
      <c r="F6" s="71"/>
      <c r="G6" s="71"/>
      <c r="H6" s="71"/>
      <c r="I6" s="71"/>
      <c r="J6" s="71"/>
      <c r="K6" s="71"/>
      <c r="L6" s="71"/>
      <c r="M6" s="71"/>
    </row>
    <row r="7" spans="2:13" ht="15">
      <c r="B7" s="90" t="s">
        <v>762</v>
      </c>
      <c r="C7" s="71"/>
      <c r="E7" s="71"/>
      <c r="F7" s="71"/>
      <c r="G7" s="71"/>
      <c r="H7" s="71"/>
      <c r="I7" s="71"/>
      <c r="J7" s="71"/>
      <c r="K7" s="71"/>
      <c r="L7" s="71"/>
      <c r="M7" s="71"/>
    </row>
    <row r="8" spans="2:13" ht="15">
      <c r="B8" s="72"/>
      <c r="C8" s="71"/>
      <c r="E8" s="71"/>
      <c r="F8" s="71"/>
      <c r="G8" s="71"/>
      <c r="H8" s="71"/>
      <c r="I8" s="71"/>
      <c r="J8" s="71"/>
      <c r="K8" s="71"/>
      <c r="L8" s="71"/>
    </row>
    <row r="9" spans="2:13" ht="15">
      <c r="B9" s="72" t="s">
        <v>343</v>
      </c>
      <c r="C9" s="71" t="s">
        <v>720</v>
      </c>
      <c r="E9" s="71"/>
      <c r="F9" s="71"/>
      <c r="G9" s="71"/>
      <c r="H9" s="71"/>
      <c r="I9" s="71"/>
      <c r="J9" s="71"/>
      <c r="K9" s="71"/>
      <c r="L9" s="71"/>
    </row>
    <row r="10" spans="2:13" ht="15">
      <c r="B10" s="72"/>
      <c r="C10" s="71" t="s">
        <v>721</v>
      </c>
      <c r="E10" s="71"/>
      <c r="F10" s="71"/>
      <c r="G10" s="71"/>
      <c r="H10" s="71"/>
      <c r="I10" s="71"/>
      <c r="J10" s="71"/>
      <c r="K10" s="71"/>
      <c r="L10" s="71"/>
    </row>
    <row r="11" spans="2:13" ht="15">
      <c r="B11" s="72"/>
      <c r="C11" s="71" t="s">
        <v>722</v>
      </c>
      <c r="E11" s="71"/>
      <c r="F11" s="71"/>
      <c r="G11" s="71"/>
      <c r="H11" s="316"/>
      <c r="J11" s="71"/>
      <c r="K11" s="71"/>
      <c r="L11" s="71"/>
    </row>
    <row r="12" spans="2:13" ht="15">
      <c r="B12" s="72"/>
      <c r="E12" s="71"/>
      <c r="F12" s="71"/>
      <c r="G12" s="71"/>
      <c r="H12" s="316"/>
      <c r="J12" s="71"/>
      <c r="K12" s="71"/>
      <c r="L12" s="71"/>
    </row>
    <row r="13" spans="2:13" ht="15">
      <c r="B13" s="72" t="s">
        <v>723</v>
      </c>
      <c r="C13" s="71" t="s">
        <v>724</v>
      </c>
      <c r="E13" s="71"/>
      <c r="F13" s="71"/>
      <c r="G13" s="71"/>
      <c r="H13" s="316"/>
      <c r="J13" s="71"/>
      <c r="K13" s="71"/>
      <c r="L13" s="71"/>
    </row>
    <row r="14" spans="2:13" ht="15">
      <c r="B14" s="72"/>
      <c r="C14" s="71" t="s">
        <v>725</v>
      </c>
      <c r="E14" s="71"/>
      <c r="F14" s="71"/>
      <c r="G14" s="71"/>
      <c r="H14" s="71"/>
      <c r="I14" s="71"/>
      <c r="J14" s="71"/>
      <c r="K14" s="71"/>
      <c r="L14" s="71"/>
    </row>
    <row r="15" spans="2:13" ht="15">
      <c r="B15" s="72"/>
      <c r="C15" s="71"/>
      <c r="E15" s="71"/>
      <c r="F15" s="71"/>
      <c r="G15" s="71"/>
      <c r="H15" s="71"/>
      <c r="I15" s="71"/>
      <c r="J15" s="71"/>
      <c r="K15" s="71"/>
      <c r="L15" s="71"/>
    </row>
    <row r="16" spans="2:13" ht="15">
      <c r="B16" s="72" t="s">
        <v>726</v>
      </c>
      <c r="C16" s="71" t="s">
        <v>727</v>
      </c>
      <c r="E16" s="71"/>
      <c r="F16" s="71"/>
      <c r="G16" s="71"/>
      <c r="H16" s="71"/>
      <c r="I16" s="71"/>
      <c r="J16" s="71"/>
      <c r="K16" s="71"/>
      <c r="L16" s="71"/>
    </row>
    <row r="17" spans="2:13" ht="15">
      <c r="B17" s="72"/>
      <c r="C17" s="71" t="s">
        <v>728</v>
      </c>
      <c r="E17" s="71"/>
      <c r="F17" s="71"/>
      <c r="G17" s="71"/>
      <c r="H17" s="71"/>
      <c r="I17" s="71"/>
      <c r="J17" s="71"/>
      <c r="K17" s="71"/>
      <c r="L17" s="71"/>
    </row>
    <row r="18" spans="2:13" ht="15">
      <c r="G18" s="71"/>
      <c r="H18" s="71"/>
      <c r="I18" s="71"/>
      <c r="J18" s="71"/>
      <c r="K18" s="71"/>
      <c r="L18" s="71"/>
    </row>
    <row r="19" spans="2:13" ht="15">
      <c r="B19" s="72" t="s">
        <v>729</v>
      </c>
      <c r="C19" s="71" t="s">
        <v>730</v>
      </c>
      <c r="D19" s="71"/>
      <c r="F19" s="71"/>
      <c r="G19" s="71"/>
      <c r="H19" s="71"/>
      <c r="I19" s="71"/>
      <c r="J19" s="71"/>
      <c r="L19" s="71"/>
    </row>
    <row r="20" spans="2:13" ht="15">
      <c r="D20" s="71"/>
      <c r="F20" s="71"/>
      <c r="G20" s="71"/>
      <c r="H20" s="71"/>
      <c r="I20" s="71"/>
      <c r="J20" s="71"/>
      <c r="K20" s="317"/>
      <c r="L20" s="71"/>
    </row>
    <row r="21" spans="2:13" ht="15">
      <c r="C21" s="71" t="s">
        <v>731</v>
      </c>
      <c r="D21" s="72" t="s">
        <v>732</v>
      </c>
      <c r="E21" s="71" t="s">
        <v>733</v>
      </c>
      <c r="F21" s="71"/>
      <c r="G21" s="71"/>
      <c r="H21" s="71"/>
      <c r="I21" s="71"/>
      <c r="J21" s="71"/>
      <c r="K21" s="71"/>
      <c r="L21" s="71"/>
    </row>
    <row r="22" spans="2:13" ht="15">
      <c r="E22" s="71" t="s">
        <v>734</v>
      </c>
      <c r="F22" s="71"/>
      <c r="G22" s="71"/>
      <c r="H22" s="71"/>
      <c r="I22" s="71"/>
      <c r="J22" s="71"/>
      <c r="K22" s="71"/>
      <c r="L22" s="71"/>
    </row>
    <row r="23" spans="2:13" ht="15">
      <c r="E23" s="71" t="s">
        <v>735</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736</v>
      </c>
      <c r="F26" s="71"/>
      <c r="G26" s="71"/>
      <c r="H26" s="71"/>
      <c r="I26" s="71"/>
    </row>
    <row r="27" spans="2:13" ht="16.5">
      <c r="B27" s="320"/>
      <c r="C27" s="71" t="s">
        <v>737</v>
      </c>
      <c r="F27" s="71"/>
      <c r="G27" s="71"/>
      <c r="I27" s="71"/>
    </row>
    <row r="28" spans="2:13" ht="15">
      <c r="B28" s="72"/>
      <c r="C28" s="71" t="s">
        <v>738</v>
      </c>
      <c r="F28" s="71"/>
      <c r="G28" s="71"/>
    </row>
    <row r="29" spans="2:13" ht="15">
      <c r="B29" s="72"/>
      <c r="C29" s="71" t="s">
        <v>739</v>
      </c>
      <c r="F29" s="71"/>
      <c r="G29" s="71"/>
      <c r="M29" s="70"/>
    </row>
    <row r="30" spans="2:13" ht="15">
      <c r="B30" s="72"/>
      <c r="C30" s="71" t="s">
        <v>740</v>
      </c>
    </row>
    <row r="31" spans="2:13" ht="15">
      <c r="B31" s="72"/>
      <c r="C31" s="71" t="s">
        <v>741</v>
      </c>
      <c r="H31" s="71"/>
    </row>
    <row r="32" spans="2:13" ht="15">
      <c r="B32" s="72"/>
    </row>
    <row r="33" spans="1:13" ht="15">
      <c r="H33" s="71"/>
      <c r="I33" s="71"/>
      <c r="J33" s="71"/>
      <c r="K33" s="71"/>
    </row>
    <row r="34" spans="1:13" ht="15">
      <c r="C34" s="71"/>
      <c r="D34" s="72"/>
      <c r="E34" s="71"/>
      <c r="F34" s="71"/>
      <c r="G34" s="71"/>
      <c r="I34" s="72" t="s">
        <v>743</v>
      </c>
      <c r="J34" s="72" t="s">
        <v>744</v>
      </c>
    </row>
    <row r="35" spans="1:13" ht="15">
      <c r="A35" s="541" t="s">
        <v>763</v>
      </c>
      <c r="C35" s="71"/>
      <c r="D35" s="72"/>
      <c r="E35" s="71"/>
      <c r="F35" s="71"/>
      <c r="G35" s="71"/>
      <c r="I35" s="386" t="s">
        <v>745</v>
      </c>
      <c r="J35" s="386" t="s">
        <v>745</v>
      </c>
      <c r="K35" s="442" t="s">
        <v>746</v>
      </c>
    </row>
    <row r="36" spans="1:13" ht="15">
      <c r="A36" s="192">
        <v>1</v>
      </c>
      <c r="B36" s="69" t="s">
        <v>207</v>
      </c>
      <c r="C36" s="71" t="s">
        <v>764</v>
      </c>
      <c r="D36" s="72"/>
      <c r="E36" s="71"/>
      <c r="F36" s="71"/>
      <c r="G36" s="71"/>
      <c r="I36" s="566">
        <v>2695151</v>
      </c>
      <c r="J36" s="35"/>
      <c r="K36" s="71"/>
      <c r="M36" s="195"/>
    </row>
    <row r="37" spans="1:13" ht="15">
      <c r="A37" s="192">
        <f>+A36+1</f>
        <v>2</v>
      </c>
      <c r="B37" s="69" t="s">
        <v>209</v>
      </c>
      <c r="C37" s="71" t="s">
        <v>765</v>
      </c>
      <c r="D37" s="72"/>
      <c r="E37" s="71"/>
      <c r="F37" s="71"/>
      <c r="G37" s="71"/>
      <c r="I37" s="612">
        <v>1776024</v>
      </c>
      <c r="J37" s="441"/>
      <c r="K37" s="71"/>
      <c r="M37" s="70"/>
    </row>
    <row r="38" spans="1:13" ht="15">
      <c r="A38" s="192">
        <f t="shared" ref="A38:A40" si="0">+A37+1</f>
        <v>3</v>
      </c>
      <c r="B38" s="69" t="s">
        <v>211</v>
      </c>
      <c r="C38" s="71" t="s">
        <v>749</v>
      </c>
      <c r="D38" s="72"/>
      <c r="E38" s="71"/>
      <c r="F38" s="71"/>
      <c r="G38" s="71"/>
      <c r="I38" s="91">
        <f>I36-I37</f>
        <v>919127</v>
      </c>
      <c r="J38" s="91">
        <f>+I38</f>
        <v>919127</v>
      </c>
      <c r="K38" s="71"/>
    </row>
    <row r="39" spans="1:13" ht="15">
      <c r="A39" s="192">
        <f t="shared" si="0"/>
        <v>4</v>
      </c>
      <c r="B39" s="69" t="s">
        <v>213</v>
      </c>
      <c r="C39" s="71" t="s">
        <v>750</v>
      </c>
      <c r="D39" s="72"/>
      <c r="E39" s="71"/>
      <c r="F39" s="71"/>
      <c r="G39" s="71"/>
      <c r="I39" s="613">
        <f>(1+E74)^24</f>
        <v>1.0828191422122437</v>
      </c>
      <c r="J39" s="613">
        <f>(1+F74)^24</f>
        <v>1.0828191422122437</v>
      </c>
      <c r="K39" s="71"/>
    </row>
    <row r="40" spans="1:13" ht="15">
      <c r="A40" s="192">
        <f t="shared" si="0"/>
        <v>5</v>
      </c>
      <c r="B40" s="69" t="s">
        <v>215</v>
      </c>
      <c r="C40" s="71" t="s">
        <v>751</v>
      </c>
      <c r="D40" s="72"/>
      <c r="E40" s="71"/>
      <c r="F40" s="71"/>
      <c r="G40" s="71"/>
      <c r="I40" s="91">
        <f>+I38*I39</f>
        <v>995248.30972411297</v>
      </c>
      <c r="J40" s="91">
        <f>+J38*J39</f>
        <v>995248.30972411297</v>
      </c>
      <c r="K40" s="91">
        <f>+J40-I40</f>
        <v>0</v>
      </c>
    </row>
    <row r="41" spans="1:13" ht="15">
      <c r="A41" s="192">
        <f>+A40+1</f>
        <v>6</v>
      </c>
      <c r="B41" s="69" t="s">
        <v>217</v>
      </c>
      <c r="C41" s="71" t="s">
        <v>752</v>
      </c>
      <c r="D41" s="72"/>
      <c r="E41" s="71"/>
      <c r="F41" s="71"/>
      <c r="G41" s="71"/>
      <c r="H41" s="91"/>
      <c r="I41" s="91">
        <f>+I40+K40</f>
        <v>995248.30972411297</v>
      </c>
      <c r="J41" s="71"/>
      <c r="K41" s="71"/>
    </row>
    <row r="42" spans="1:13" ht="15">
      <c r="C42" s="71"/>
      <c r="D42" s="72"/>
      <c r="E42" s="71"/>
      <c r="F42" s="71"/>
      <c r="G42" s="71"/>
      <c r="H42" s="71"/>
      <c r="J42" s="71"/>
      <c r="K42" s="71"/>
    </row>
    <row r="43" spans="1:13" ht="15">
      <c r="C43" s="71" t="s">
        <v>753</v>
      </c>
      <c r="D43" s="71"/>
      <c r="E43" s="71"/>
      <c r="F43" s="71"/>
      <c r="G43" s="71"/>
      <c r="H43" s="20"/>
    </row>
    <row r="44" spans="1:13" ht="15">
      <c r="C44" s="71" t="s">
        <v>754</v>
      </c>
      <c r="D44" s="71"/>
      <c r="E44" s="71"/>
      <c r="F44" s="71"/>
      <c r="G44" s="71"/>
      <c r="H44" s="193"/>
      <c r="I44" s="150"/>
      <c r="J44" s="321"/>
    </row>
    <row r="45" spans="1:13" ht="15">
      <c r="C45" s="71"/>
      <c r="D45" s="71"/>
      <c r="E45" s="71"/>
      <c r="F45" s="71"/>
      <c r="G45" s="71"/>
      <c r="H45" s="147"/>
      <c r="I45" s="191"/>
      <c r="J45" s="191"/>
      <c r="K45" s="191"/>
    </row>
    <row r="46" spans="1:13" ht="15">
      <c r="B46" s="90" t="s">
        <v>755</v>
      </c>
      <c r="C46" s="71"/>
      <c r="D46" s="71"/>
      <c r="E46" s="72" t="s">
        <v>743</v>
      </c>
      <c r="F46" s="72" t="s">
        <v>756</v>
      </c>
      <c r="G46" s="71"/>
      <c r="H46" s="147"/>
      <c r="I46" s="191"/>
      <c r="J46" s="191"/>
      <c r="K46" s="191"/>
    </row>
    <row r="47" spans="1:13" ht="20.25">
      <c r="B47" s="192"/>
      <c r="C47" s="72"/>
      <c r="D47" s="71"/>
      <c r="E47" s="72" t="s">
        <v>757</v>
      </c>
      <c r="F47" s="72" t="s">
        <v>757</v>
      </c>
      <c r="H47" s="47"/>
      <c r="I47" s="147"/>
      <c r="J47" s="20"/>
      <c r="K47" s="322"/>
    </row>
    <row r="48" spans="1:13" ht="17.25">
      <c r="B48" s="539" t="s">
        <v>414</v>
      </c>
      <c r="C48" s="386" t="s">
        <v>354</v>
      </c>
      <c r="D48" s="71"/>
      <c r="E48" s="386" t="s">
        <v>745</v>
      </c>
      <c r="F48" s="386" t="s">
        <v>745</v>
      </c>
      <c r="H48" s="152"/>
      <c r="I48" s="321"/>
      <c r="J48" s="324"/>
      <c r="K48" s="322"/>
    </row>
    <row r="49" spans="1:11" ht="15">
      <c r="A49" s="192">
        <f>+A41+1</f>
        <v>7</v>
      </c>
      <c r="B49" s="90" t="s">
        <v>375</v>
      </c>
      <c r="C49" s="72" t="s">
        <v>758</v>
      </c>
      <c r="D49" s="71"/>
      <c r="E49" s="325">
        <v>2.8E-3</v>
      </c>
      <c r="F49" s="325">
        <v>2.8E-3</v>
      </c>
      <c r="G49" s="90"/>
      <c r="H49" s="92"/>
      <c r="I49" s="341"/>
      <c r="J49" s="342"/>
      <c r="K49" s="322"/>
    </row>
    <row r="50" spans="1:11" ht="15">
      <c r="A50" s="192">
        <f>+A49+1</f>
        <v>8</v>
      </c>
      <c r="B50" s="90" t="s">
        <v>376</v>
      </c>
      <c r="C50" s="72" t="s">
        <v>758</v>
      </c>
      <c r="D50" s="71"/>
      <c r="E50" s="325">
        <v>2.8E-3</v>
      </c>
      <c r="F50" s="325">
        <v>2.8E-3</v>
      </c>
      <c r="G50" s="323"/>
      <c r="H50" s="72"/>
      <c r="I50" s="71"/>
      <c r="J50" s="92"/>
      <c r="K50" s="322"/>
    </row>
    <row r="51" spans="1:11" ht="15">
      <c r="A51" s="192">
        <f t="shared" ref="A51:A72" si="1">+A50+1</f>
        <v>9</v>
      </c>
      <c r="B51" s="90" t="s">
        <v>377</v>
      </c>
      <c r="C51" s="72" t="s">
        <v>758</v>
      </c>
      <c r="D51" s="71"/>
      <c r="E51" s="325">
        <v>2.7000000000000001E-3</v>
      </c>
      <c r="F51" s="325">
        <v>2.7000000000000001E-3</v>
      </c>
      <c r="G51" s="71"/>
      <c r="H51" s="72"/>
      <c r="I51" s="71"/>
      <c r="J51" s="72"/>
      <c r="K51" s="322"/>
    </row>
    <row r="52" spans="1:11" ht="15">
      <c r="A52" s="192">
        <f t="shared" si="1"/>
        <v>10</v>
      </c>
      <c r="B52" s="90" t="s">
        <v>378</v>
      </c>
      <c r="C52" s="72" t="s">
        <v>758</v>
      </c>
      <c r="D52" s="71"/>
      <c r="E52" s="325">
        <v>2.8E-3</v>
      </c>
      <c r="F52" s="325">
        <v>2.8E-3</v>
      </c>
      <c r="G52" s="71"/>
      <c r="H52" s="72"/>
      <c r="I52" s="71"/>
      <c r="J52" s="72"/>
      <c r="K52" s="322"/>
    </row>
    <row r="53" spans="1:11" ht="15">
      <c r="A53" s="192">
        <f t="shared" si="1"/>
        <v>11</v>
      </c>
      <c r="B53" s="90" t="s">
        <v>379</v>
      </c>
      <c r="C53" s="72" t="s">
        <v>758</v>
      </c>
      <c r="D53" s="71"/>
      <c r="E53" s="325">
        <v>2.7000000000000001E-3</v>
      </c>
      <c r="F53" s="325">
        <v>2.7000000000000001E-3</v>
      </c>
      <c r="G53" s="71"/>
      <c r="H53" s="92"/>
      <c r="I53" s="71"/>
      <c r="J53" s="72"/>
      <c r="K53" s="322"/>
    </row>
    <row r="54" spans="1:11" ht="15">
      <c r="A54" s="192">
        <f t="shared" si="1"/>
        <v>12</v>
      </c>
      <c r="B54" s="90" t="s">
        <v>380</v>
      </c>
      <c r="C54" s="72" t="s">
        <v>758</v>
      </c>
      <c r="D54" s="71"/>
      <c r="E54" s="325">
        <v>2.8E-3</v>
      </c>
      <c r="F54" s="325">
        <v>2.8E-3</v>
      </c>
      <c r="G54" s="71"/>
      <c r="H54" s="72"/>
      <c r="I54" s="71"/>
      <c r="J54" s="72"/>
      <c r="K54" s="322"/>
    </row>
    <row r="55" spans="1:11" ht="15">
      <c r="A55" s="192">
        <f t="shared" si="1"/>
        <v>13</v>
      </c>
      <c r="B55" s="90" t="s">
        <v>369</v>
      </c>
      <c r="C55" s="72" t="s">
        <v>759</v>
      </c>
      <c r="D55" s="71"/>
      <c r="E55" s="325">
        <v>2.8E-3</v>
      </c>
      <c r="F55" s="325">
        <v>2.8E-3</v>
      </c>
      <c r="G55" s="71"/>
      <c r="H55" s="72"/>
      <c r="I55" s="71"/>
      <c r="J55" s="72"/>
      <c r="K55" s="322"/>
    </row>
    <row r="56" spans="1:11" ht="15">
      <c r="A56" s="192">
        <f t="shared" si="1"/>
        <v>14</v>
      </c>
      <c r="B56" s="90" t="s">
        <v>370</v>
      </c>
      <c r="C56" s="72" t="s">
        <v>759</v>
      </c>
      <c r="D56" s="71"/>
      <c r="E56" s="325">
        <v>2.5000000000000001E-3</v>
      </c>
      <c r="F56" s="325">
        <v>2.5000000000000001E-3</v>
      </c>
      <c r="G56" s="71"/>
      <c r="H56" s="72"/>
      <c r="I56" s="71"/>
      <c r="J56" s="72"/>
      <c r="K56" s="322"/>
    </row>
    <row r="57" spans="1:11" ht="15">
      <c r="A57" s="192">
        <f t="shared" si="1"/>
        <v>15</v>
      </c>
      <c r="B57" s="90" t="s">
        <v>371</v>
      </c>
      <c r="C57" s="72" t="s">
        <v>759</v>
      </c>
      <c r="D57" s="71"/>
      <c r="E57" s="325">
        <v>2.8E-3</v>
      </c>
      <c r="F57" s="325">
        <v>2.8E-3</v>
      </c>
      <c r="G57" s="71"/>
      <c r="H57" s="72"/>
      <c r="I57" s="71"/>
      <c r="J57" s="72"/>
      <c r="K57" s="322"/>
    </row>
    <row r="58" spans="1:11" ht="15">
      <c r="A58" s="192">
        <f t="shared" si="1"/>
        <v>16</v>
      </c>
      <c r="B58" s="90" t="s">
        <v>372</v>
      </c>
      <c r="C58" s="72" t="s">
        <v>759</v>
      </c>
      <c r="D58" s="71"/>
      <c r="E58" s="325">
        <v>2.7000000000000001E-3</v>
      </c>
      <c r="F58" s="325">
        <v>2.7000000000000001E-3</v>
      </c>
      <c r="G58" s="71"/>
      <c r="H58" s="72"/>
      <c r="I58" s="71"/>
      <c r="J58" s="72"/>
      <c r="K58" s="322"/>
    </row>
    <row r="59" spans="1:11" ht="15">
      <c r="A59" s="192">
        <f t="shared" si="1"/>
        <v>17</v>
      </c>
      <c r="B59" s="90" t="s">
        <v>373</v>
      </c>
      <c r="C59" s="72" t="s">
        <v>759</v>
      </c>
      <c r="D59" s="71"/>
      <c r="E59" s="325">
        <v>2.8E-3</v>
      </c>
      <c r="F59" s="325">
        <v>2.8E-3</v>
      </c>
      <c r="G59" s="71"/>
      <c r="H59" s="72"/>
      <c r="I59" s="71"/>
      <c r="J59" s="72"/>
      <c r="K59" s="322"/>
    </row>
    <row r="60" spans="1:11" ht="15">
      <c r="A60" s="192">
        <f t="shared" si="1"/>
        <v>18</v>
      </c>
      <c r="B60" s="90" t="s">
        <v>374</v>
      </c>
      <c r="C60" s="72" t="s">
        <v>759</v>
      </c>
      <c r="D60" s="71"/>
      <c r="E60" s="325">
        <v>2.7000000000000001E-3</v>
      </c>
      <c r="F60" s="325">
        <v>2.7000000000000001E-3</v>
      </c>
      <c r="G60" s="71"/>
      <c r="H60" s="72"/>
      <c r="I60" s="71"/>
      <c r="J60" s="72"/>
      <c r="K60" s="322"/>
    </row>
    <row r="61" spans="1:11" ht="15">
      <c r="A61" s="192">
        <f t="shared" si="1"/>
        <v>19</v>
      </c>
      <c r="B61" s="90" t="s">
        <v>375</v>
      </c>
      <c r="C61" s="72" t="s">
        <v>759</v>
      </c>
      <c r="D61" s="71"/>
      <c r="E61" s="325">
        <v>3.0999999999999999E-3</v>
      </c>
      <c r="F61" s="325">
        <v>3.0999999999999999E-3</v>
      </c>
      <c r="G61" s="71"/>
      <c r="H61" s="72"/>
      <c r="I61" s="71"/>
      <c r="J61" s="72"/>
      <c r="K61" s="322"/>
    </row>
    <row r="62" spans="1:11" ht="15">
      <c r="A62" s="192">
        <f t="shared" si="1"/>
        <v>20</v>
      </c>
      <c r="B62" s="90" t="s">
        <v>376</v>
      </c>
      <c r="C62" s="72" t="s">
        <v>759</v>
      </c>
      <c r="D62" s="71"/>
      <c r="E62" s="325">
        <v>3.0999999999999999E-3</v>
      </c>
      <c r="F62" s="325">
        <v>3.0999999999999999E-3</v>
      </c>
      <c r="G62" s="71"/>
      <c r="H62" s="72"/>
      <c r="I62" s="71"/>
      <c r="J62" s="72"/>
      <c r="K62" s="322"/>
    </row>
    <row r="63" spans="1:11" ht="15">
      <c r="A63" s="192">
        <f t="shared" si="1"/>
        <v>21</v>
      </c>
      <c r="B63" s="90" t="s">
        <v>377</v>
      </c>
      <c r="C63" s="72" t="s">
        <v>759</v>
      </c>
      <c r="D63" s="71"/>
      <c r="E63" s="325">
        <v>3.0000000000000001E-3</v>
      </c>
      <c r="F63" s="325">
        <v>3.0000000000000001E-3</v>
      </c>
      <c r="G63" s="71"/>
      <c r="H63" s="72"/>
      <c r="I63" s="71"/>
      <c r="J63" s="72"/>
      <c r="K63" s="322"/>
    </row>
    <row r="64" spans="1:11" ht="15">
      <c r="A64" s="192">
        <f t="shared" si="1"/>
        <v>22</v>
      </c>
      <c r="B64" s="90" t="s">
        <v>378</v>
      </c>
      <c r="C64" s="72" t="s">
        <v>759</v>
      </c>
      <c r="D64" s="71"/>
      <c r="E64" s="325">
        <v>4.1999999999999997E-3</v>
      </c>
      <c r="F64" s="325">
        <v>4.1999999999999997E-3</v>
      </c>
      <c r="G64" s="71"/>
      <c r="H64" s="72"/>
      <c r="I64" s="71"/>
      <c r="J64" s="72"/>
      <c r="K64" s="322"/>
    </row>
    <row r="65" spans="1:11" ht="15">
      <c r="A65" s="192">
        <f t="shared" si="1"/>
        <v>23</v>
      </c>
      <c r="B65" s="90" t="s">
        <v>379</v>
      </c>
      <c r="C65" s="72" t="s">
        <v>759</v>
      </c>
      <c r="D65" s="71"/>
      <c r="E65" s="325">
        <v>4.0000000000000001E-3</v>
      </c>
      <c r="F65" s="325">
        <v>4.0000000000000001E-3</v>
      </c>
      <c r="G65" s="71"/>
      <c r="H65" s="72"/>
      <c r="I65" s="71"/>
      <c r="J65" s="72"/>
      <c r="K65" s="322"/>
    </row>
    <row r="66" spans="1:11" ht="15">
      <c r="A66" s="192">
        <f t="shared" si="1"/>
        <v>24</v>
      </c>
      <c r="B66" s="90" t="s">
        <v>380</v>
      </c>
      <c r="C66" s="72" t="s">
        <v>759</v>
      </c>
      <c r="D66" s="71"/>
      <c r="E66" s="325">
        <v>4.1999999999999997E-3</v>
      </c>
      <c r="F66" s="325">
        <v>4.1999999999999997E-3</v>
      </c>
      <c r="G66" s="71"/>
      <c r="H66" s="72"/>
      <c r="I66" s="71"/>
      <c r="J66" s="72"/>
      <c r="K66" s="322"/>
    </row>
    <row r="67" spans="1:11" ht="15">
      <c r="A67" s="192">
        <f t="shared" si="1"/>
        <v>25</v>
      </c>
      <c r="B67" s="90" t="s">
        <v>369</v>
      </c>
      <c r="C67" s="72" t="s">
        <v>760</v>
      </c>
      <c r="D67" s="71"/>
      <c r="E67" s="325">
        <v>4.1999999999999997E-3</v>
      </c>
      <c r="F67" s="325">
        <v>4.1999999999999997E-3</v>
      </c>
      <c r="G67" s="71"/>
      <c r="H67" s="72"/>
      <c r="I67" s="71"/>
      <c r="J67" s="72"/>
      <c r="K67" s="322"/>
    </row>
    <row r="68" spans="1:11" ht="15">
      <c r="A68" s="192">
        <f t="shared" si="1"/>
        <v>26</v>
      </c>
      <c r="B68" s="90" t="s">
        <v>370</v>
      </c>
      <c r="C68" s="72" t="s">
        <v>760</v>
      </c>
      <c r="D68" s="71"/>
      <c r="E68" s="325">
        <v>4.1999999999999997E-3</v>
      </c>
      <c r="F68" s="325">
        <v>4.1999999999999997E-3</v>
      </c>
      <c r="G68" s="71"/>
      <c r="H68" s="72"/>
      <c r="I68" s="71"/>
      <c r="J68" s="72"/>
    </row>
    <row r="69" spans="1:11" ht="15">
      <c r="A69" s="192">
        <f t="shared" si="1"/>
        <v>27</v>
      </c>
      <c r="B69" s="90" t="s">
        <v>371</v>
      </c>
      <c r="C69" s="72" t="s">
        <v>760</v>
      </c>
      <c r="D69" s="71"/>
      <c r="E69" s="325">
        <v>4.1999999999999997E-3</v>
      </c>
      <c r="F69" s="325">
        <v>4.1999999999999997E-3</v>
      </c>
      <c r="G69" s="71"/>
      <c r="H69" s="72"/>
      <c r="I69" s="71"/>
      <c r="J69" s="72"/>
    </row>
    <row r="70" spans="1:11" ht="15">
      <c r="A70" s="192">
        <f t="shared" si="1"/>
        <v>28</v>
      </c>
      <c r="B70" s="90" t="s">
        <v>372</v>
      </c>
      <c r="C70" s="72" t="s">
        <v>760</v>
      </c>
      <c r="D70" s="71"/>
      <c r="E70" s="325">
        <v>4.1999999999999997E-3</v>
      </c>
      <c r="F70" s="325">
        <v>4.1999999999999997E-3</v>
      </c>
      <c r="G70" s="71"/>
      <c r="H70" s="72"/>
      <c r="I70" s="71"/>
      <c r="J70" s="72"/>
    </row>
    <row r="71" spans="1:11" ht="15">
      <c r="A71" s="192">
        <f t="shared" si="1"/>
        <v>29</v>
      </c>
      <c r="B71" s="90" t="s">
        <v>373</v>
      </c>
      <c r="C71" s="72" t="s">
        <v>760</v>
      </c>
      <c r="D71" s="71"/>
      <c r="E71" s="325">
        <v>4.1999999999999997E-3</v>
      </c>
      <c r="F71" s="325">
        <v>4.1999999999999997E-3</v>
      </c>
      <c r="G71" s="71"/>
      <c r="H71" s="72"/>
      <c r="I71" s="71"/>
      <c r="J71" s="72"/>
    </row>
    <row r="72" spans="1:11" ht="15">
      <c r="A72" s="192">
        <f t="shared" si="1"/>
        <v>30</v>
      </c>
      <c r="B72" s="90" t="s">
        <v>374</v>
      </c>
      <c r="C72" s="72" t="s">
        <v>760</v>
      </c>
      <c r="D72" s="71"/>
      <c r="E72" s="325">
        <v>4.1999999999999997E-3</v>
      </c>
      <c r="F72" s="325">
        <v>4.1999999999999997E-3</v>
      </c>
      <c r="G72" s="71"/>
      <c r="H72" s="71"/>
      <c r="I72" s="71"/>
      <c r="J72" s="326"/>
    </row>
    <row r="73" spans="1:11">
      <c r="B73" s="540"/>
    </row>
    <row r="74" spans="1:11" ht="15">
      <c r="A74" s="192">
        <f>+A72+1</f>
        <v>31</v>
      </c>
      <c r="B74" s="90" t="s">
        <v>508</v>
      </c>
      <c r="E74" s="385">
        <f>+SUM(E49:E72)/24</f>
        <v>3.3208333333333323E-3</v>
      </c>
      <c r="F74" s="385">
        <f>+SUM(F49:F72)/24</f>
        <v>3.3208333333333323E-3</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J4" sqref="J4"/>
    </sheetView>
  </sheetViews>
  <sheetFormatPr defaultRowHeight="12.75"/>
  <cols>
    <col min="1" max="1" width="5.28515625" customWidth="1"/>
    <col min="2" max="2" width="31.140625" customWidth="1"/>
    <col min="3" max="3" width="24.7109375" customWidth="1"/>
    <col min="4" max="4" width="5.5703125" customWidth="1"/>
    <col min="5" max="5" width="13.28515625" customWidth="1"/>
    <col min="6" max="6" width="6"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78"/>
      <c r="B1" s="178"/>
      <c r="C1" s="178"/>
      <c r="D1" s="178"/>
      <c r="E1" s="178"/>
      <c r="F1" s="178"/>
      <c r="G1" s="178"/>
      <c r="H1" s="192"/>
      <c r="I1" s="192"/>
      <c r="J1" s="178" t="str">
        <f>+'Appendix A'!A3</f>
        <v>Dayton Power and Light</v>
      </c>
      <c r="K1" s="178"/>
      <c r="L1" s="178"/>
      <c r="M1" s="178"/>
      <c r="N1" s="178"/>
      <c r="O1" s="180"/>
      <c r="P1" s="180"/>
    </row>
    <row r="2" spans="1:28" ht="18">
      <c r="A2" s="69"/>
      <c r="B2" s="178"/>
      <c r="C2" s="178"/>
      <c r="D2" s="178"/>
      <c r="E2" s="178"/>
      <c r="F2" s="178"/>
      <c r="G2" s="178"/>
      <c r="H2" s="192"/>
      <c r="I2" s="192"/>
      <c r="J2" s="178" t="str">
        <f>+'Appendix A'!A4</f>
        <v xml:space="preserve">ATTACHMENT H-15A </v>
      </c>
      <c r="K2" s="178"/>
      <c r="L2" s="178"/>
      <c r="M2" s="178"/>
      <c r="N2" s="178"/>
      <c r="O2" s="180"/>
      <c r="P2" s="180"/>
    </row>
    <row r="3" spans="1:28" ht="18">
      <c r="A3" s="69"/>
      <c r="B3" s="178"/>
      <c r="C3" s="178"/>
      <c r="D3" s="178"/>
      <c r="E3" s="178"/>
      <c r="F3" s="178"/>
      <c r="G3" s="178"/>
      <c r="H3" s="192"/>
      <c r="I3" s="192"/>
      <c r="J3" s="178" t="s">
        <v>1005</v>
      </c>
      <c r="K3" s="178"/>
      <c r="L3" s="178"/>
      <c r="M3" s="178"/>
      <c r="N3" s="178"/>
      <c r="O3" s="180"/>
      <c r="P3" s="180"/>
      <c r="Y3" s="628"/>
    </row>
    <row r="4" spans="1:28" ht="18">
      <c r="A4" s="69"/>
      <c r="B4" s="45" t="s">
        <v>409</v>
      </c>
      <c r="C4" s="327"/>
      <c r="D4" s="178"/>
      <c r="E4" s="178"/>
      <c r="F4" s="178"/>
      <c r="G4" s="178"/>
      <c r="H4" s="178"/>
      <c r="I4" s="178"/>
      <c r="J4" s="178"/>
      <c r="K4" s="178"/>
      <c r="L4" s="178"/>
      <c r="M4" s="178"/>
      <c r="N4" s="178"/>
      <c r="O4" s="178"/>
      <c r="P4" s="178"/>
    </row>
    <row r="5" spans="1:28" ht="18">
      <c r="A5" s="176"/>
      <c r="B5" s="328"/>
      <c r="C5" s="327"/>
      <c r="D5" s="176"/>
      <c r="E5" s="176"/>
      <c r="F5" s="74"/>
      <c r="G5" s="74"/>
      <c r="H5" s="74"/>
      <c r="I5" s="74"/>
      <c r="J5" s="180"/>
      <c r="K5" s="180"/>
      <c r="L5" s="180"/>
      <c r="M5" s="180"/>
      <c r="N5" s="180"/>
      <c r="O5" s="180"/>
      <c r="P5" s="180"/>
    </row>
    <row r="6" spans="1:28" ht="18">
      <c r="A6" s="69"/>
      <c r="B6" s="538" t="s">
        <v>766</v>
      </c>
      <c r="C6" s="192"/>
      <c r="D6" s="69"/>
      <c r="E6" s="192"/>
      <c r="F6" s="356"/>
      <c r="G6" s="192"/>
      <c r="H6" s="192"/>
      <c r="I6" s="192"/>
      <c r="J6" s="502"/>
      <c r="K6" s="503"/>
      <c r="L6" s="192"/>
      <c r="M6" s="192"/>
      <c r="N6" s="180"/>
      <c r="O6" s="180"/>
      <c r="P6" s="180"/>
      <c r="Q6" s="356"/>
      <c r="R6" s="356"/>
      <c r="S6" s="356"/>
      <c r="T6" s="356"/>
      <c r="U6" s="356"/>
      <c r="V6" s="356"/>
      <c r="W6" s="356"/>
      <c r="X6" s="356"/>
      <c r="Y6" s="356"/>
      <c r="Z6" s="356"/>
      <c r="AA6" s="356"/>
      <c r="AB6" s="356"/>
    </row>
    <row r="7" spans="1:28">
      <c r="A7" s="356"/>
      <c r="B7" s="356"/>
      <c r="C7" s="356"/>
      <c r="D7" s="356"/>
      <c r="E7" s="356"/>
      <c r="F7" s="356"/>
      <c r="G7" s="793" t="s">
        <v>767</v>
      </c>
      <c r="H7" s="356"/>
      <c r="I7" s="793" t="s">
        <v>768</v>
      </c>
      <c r="J7" s="356"/>
      <c r="K7" s="793" t="s">
        <v>769</v>
      </c>
      <c r="L7" s="356"/>
      <c r="M7" s="793" t="s">
        <v>770</v>
      </c>
      <c r="N7" s="356"/>
      <c r="O7" s="793" t="s">
        <v>771</v>
      </c>
      <c r="P7" s="356"/>
      <c r="Q7" s="793" t="s">
        <v>772</v>
      </c>
      <c r="R7" s="356"/>
      <c r="S7" s="793" t="s">
        <v>773</v>
      </c>
      <c r="T7" s="356"/>
      <c r="U7" s="793" t="s">
        <v>774</v>
      </c>
      <c r="V7" s="356"/>
      <c r="W7" s="793" t="s">
        <v>775</v>
      </c>
      <c r="X7" s="356"/>
      <c r="Y7" s="793" t="s">
        <v>776</v>
      </c>
      <c r="Z7" s="356"/>
      <c r="AA7" s="356"/>
      <c r="AB7" s="356"/>
    </row>
    <row r="8" spans="1:28">
      <c r="A8" s="457" t="s">
        <v>763</v>
      </c>
      <c r="B8" s="356"/>
      <c r="C8" s="356"/>
      <c r="D8" s="356"/>
      <c r="E8" s="495" t="s">
        <v>68</v>
      </c>
      <c r="F8" s="356"/>
      <c r="G8" s="496" t="s">
        <v>777</v>
      </c>
      <c r="H8" s="356"/>
      <c r="I8" s="496" t="s">
        <v>777</v>
      </c>
      <c r="J8" s="356"/>
      <c r="K8" s="496" t="s">
        <v>777</v>
      </c>
      <c r="L8" s="356"/>
      <c r="M8" s="496" t="s">
        <v>777</v>
      </c>
      <c r="N8" s="356"/>
      <c r="O8" s="496" t="s">
        <v>777</v>
      </c>
      <c r="P8" s="356"/>
      <c r="Q8" s="496" t="s">
        <v>777</v>
      </c>
      <c r="R8" s="356"/>
      <c r="S8" s="496" t="s">
        <v>777</v>
      </c>
      <c r="T8" s="356"/>
      <c r="U8" s="496" t="s">
        <v>777</v>
      </c>
      <c r="V8" s="356"/>
      <c r="W8" s="496" t="s">
        <v>777</v>
      </c>
      <c r="X8" s="356"/>
      <c r="Y8" s="496" t="s">
        <v>777</v>
      </c>
      <c r="Z8" s="356"/>
      <c r="AA8" s="356"/>
      <c r="AB8" s="356"/>
    </row>
    <row r="9" spans="1:28">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row>
    <row r="10" spans="1:28">
      <c r="A10" s="356">
        <v>1</v>
      </c>
      <c r="B10" s="356" t="s">
        <v>23</v>
      </c>
      <c r="C10" s="529" t="str">
        <f>"(Attachment 4, Line "&amp;'4 - Cost Support'!A243&amp;" etc.)"</f>
        <v>(Attachment 4, Line 88 etc.)</v>
      </c>
      <c r="D10" s="356"/>
      <c r="E10" s="459"/>
      <c r="F10" s="459"/>
      <c r="G10" s="614">
        <f>+'4 - Cost Support'!T243</f>
        <v>0</v>
      </c>
      <c r="H10" s="614"/>
      <c r="I10" s="614">
        <f>+'4 - Cost Support'!T248</f>
        <v>0</v>
      </c>
      <c r="J10" s="614"/>
      <c r="K10" s="614">
        <f>+'4 - Cost Support'!T253</f>
        <v>0</v>
      </c>
      <c r="L10" s="614"/>
      <c r="M10" s="614">
        <f>+'4 - Cost Support'!T258</f>
        <v>0</v>
      </c>
      <c r="N10" s="614"/>
      <c r="O10" s="614">
        <f>+'4 - Cost Support'!T263</f>
        <v>0</v>
      </c>
      <c r="P10" s="614"/>
      <c r="Q10" s="614">
        <f>+'4 - Cost Support'!T268</f>
        <v>0</v>
      </c>
      <c r="R10" s="614"/>
      <c r="S10" s="614">
        <f>+'4 - Cost Support'!T273</f>
        <v>0</v>
      </c>
      <c r="T10" s="614"/>
      <c r="U10" s="614">
        <f>+'4 - Cost Support'!T278</f>
        <v>0</v>
      </c>
      <c r="V10" s="614"/>
      <c r="W10" s="614">
        <f>+'4 - Cost Support'!T283</f>
        <v>0</v>
      </c>
      <c r="X10" s="614"/>
      <c r="Y10" s="614">
        <f>+'4 - Cost Support'!T288</f>
        <v>0</v>
      </c>
      <c r="Z10" s="356"/>
      <c r="AA10" s="356"/>
      <c r="AB10" s="356"/>
    </row>
    <row r="11" spans="1:28">
      <c r="A11" s="356">
        <f>+A10+1</f>
        <v>2</v>
      </c>
      <c r="B11" s="356" t="s">
        <v>32</v>
      </c>
      <c r="C11" s="529" t="str">
        <f>"(Attachment 4, Line "&amp;'4 - Cost Support'!A244&amp;" etc.)"</f>
        <v>(Attachment 4, Line 89 etc.)</v>
      </c>
      <c r="D11" s="356"/>
      <c r="E11" s="459"/>
      <c r="F11" s="459"/>
      <c r="G11" s="615">
        <f>+'4 - Cost Support'!T244</f>
        <v>0</v>
      </c>
      <c r="H11" s="615"/>
      <c r="I11" s="615">
        <f>+'4 - Cost Support'!T249</f>
        <v>0</v>
      </c>
      <c r="J11" s="615"/>
      <c r="K11" s="615">
        <f>+'4 - Cost Support'!T254</f>
        <v>0</v>
      </c>
      <c r="L11" s="615"/>
      <c r="M11" s="615">
        <f>+'4 - Cost Support'!T259</f>
        <v>0</v>
      </c>
      <c r="N11" s="615"/>
      <c r="O11" s="615">
        <f>+'4 - Cost Support'!T264</f>
        <v>0</v>
      </c>
      <c r="P11" s="615"/>
      <c r="Q11" s="615">
        <f>+'4 - Cost Support'!T269</f>
        <v>0</v>
      </c>
      <c r="R11" s="615"/>
      <c r="S11" s="615">
        <f>+'4 - Cost Support'!T274</f>
        <v>0</v>
      </c>
      <c r="T11" s="615"/>
      <c r="U11" s="615">
        <f>+'4 - Cost Support'!T279</f>
        <v>0</v>
      </c>
      <c r="V11" s="615"/>
      <c r="W11" s="615">
        <f>+'4 - Cost Support'!T284</f>
        <v>0</v>
      </c>
      <c r="X11" s="615"/>
      <c r="Y11" s="615">
        <f>+'4 - Cost Support'!T289</f>
        <v>0</v>
      </c>
      <c r="Z11" s="356"/>
      <c r="AA11" s="356"/>
      <c r="AB11" s="356"/>
    </row>
    <row r="12" spans="1:28">
      <c r="A12" s="356">
        <f>+A11+1</f>
        <v>3</v>
      </c>
      <c r="B12" s="356" t="s">
        <v>17</v>
      </c>
      <c r="C12" s="356" t="str">
        <f>"(Line "&amp;A10&amp;" + Line "&amp;A11&amp;")"</f>
        <v>(Line 1 + Line 2)</v>
      </c>
      <c r="D12" s="356"/>
      <c r="E12" s="459"/>
      <c r="F12" s="459"/>
      <c r="G12" s="614">
        <f>+G10-G11</f>
        <v>0</v>
      </c>
      <c r="H12" s="614"/>
      <c r="I12" s="614">
        <f>+I10-I11</f>
        <v>0</v>
      </c>
      <c r="J12" s="614"/>
      <c r="K12" s="614">
        <f>+K10-K11</f>
        <v>0</v>
      </c>
      <c r="L12" s="614"/>
      <c r="M12" s="614">
        <f>+M10-M11</f>
        <v>0</v>
      </c>
      <c r="N12" s="614"/>
      <c r="O12" s="614">
        <f>+O10-O11</f>
        <v>0</v>
      </c>
      <c r="P12" s="614"/>
      <c r="Q12" s="614">
        <f>+Q10-Q11</f>
        <v>0</v>
      </c>
      <c r="R12" s="614"/>
      <c r="S12" s="614">
        <f>+S10-S11</f>
        <v>0</v>
      </c>
      <c r="T12" s="614"/>
      <c r="U12" s="614">
        <f>+U10-U11</f>
        <v>0</v>
      </c>
      <c r="V12" s="614"/>
      <c r="W12" s="614">
        <f>+W10-W11</f>
        <v>0</v>
      </c>
      <c r="X12" s="614"/>
      <c r="Y12" s="614">
        <f>+Y10-Y11</f>
        <v>0</v>
      </c>
      <c r="Z12" s="356"/>
      <c r="AA12" s="356"/>
      <c r="AB12" s="356"/>
    </row>
    <row r="13" spans="1:28">
      <c r="A13" s="356">
        <f t="shared" ref="A13:A18" si="0">+A12+1</f>
        <v>4</v>
      </c>
      <c r="B13" s="356" t="s">
        <v>42</v>
      </c>
      <c r="C13" s="529" t="str">
        <f>"(Attachment 4, Line "&amp;'4 - Cost Support'!A245&amp;" etc.)"</f>
        <v>(Attachment 4, Line 90 etc.)</v>
      </c>
      <c r="D13" s="356"/>
      <c r="E13" s="459"/>
      <c r="F13" s="459"/>
      <c r="G13" s="615">
        <f>+'4 - Cost Support'!T245</f>
        <v>0</v>
      </c>
      <c r="H13" s="615"/>
      <c r="I13" s="615">
        <f>+'4 - Cost Support'!T250</f>
        <v>0</v>
      </c>
      <c r="J13" s="615"/>
      <c r="K13" s="615">
        <f>+'4 - Cost Support'!T255</f>
        <v>0</v>
      </c>
      <c r="L13" s="615"/>
      <c r="M13" s="615">
        <f>+'4 - Cost Support'!T260</f>
        <v>0</v>
      </c>
      <c r="N13" s="615"/>
      <c r="O13" s="615">
        <f>+'4 - Cost Support'!T265</f>
        <v>0</v>
      </c>
      <c r="P13" s="615"/>
      <c r="Q13" s="615">
        <f>+'4 - Cost Support'!T270</f>
        <v>0</v>
      </c>
      <c r="R13" s="615"/>
      <c r="S13" s="615">
        <f>+'4 - Cost Support'!T275</f>
        <v>0</v>
      </c>
      <c r="T13" s="615"/>
      <c r="U13" s="615">
        <f>+'4 - Cost Support'!T280</f>
        <v>0</v>
      </c>
      <c r="V13" s="615"/>
      <c r="W13" s="615">
        <f>+'4 - Cost Support'!T285</f>
        <v>0</v>
      </c>
      <c r="X13" s="615"/>
      <c r="Y13" s="615">
        <f>+'4 - Cost Support'!T290</f>
        <v>0</v>
      </c>
      <c r="Z13" s="356"/>
      <c r="AA13" s="356"/>
      <c r="AB13" s="356"/>
    </row>
    <row r="14" spans="1:28">
      <c r="A14" s="356">
        <f t="shared" si="0"/>
        <v>5</v>
      </c>
      <c r="B14" s="356" t="s">
        <v>76</v>
      </c>
      <c r="C14" s="356" t="str">
        <f>"(Line "&amp;A12&amp;" + Line "&amp;A13&amp;")"</f>
        <v>(Line 3 + Line 4)</v>
      </c>
      <c r="D14" s="356"/>
      <c r="E14" s="459"/>
      <c r="F14" s="459"/>
      <c r="G14" s="614">
        <f>+G12-G13</f>
        <v>0</v>
      </c>
      <c r="H14" s="614"/>
      <c r="I14" s="614">
        <f>+I12-I13</f>
        <v>0</v>
      </c>
      <c r="J14" s="614"/>
      <c r="K14" s="614">
        <f>+K12-K13</f>
        <v>0</v>
      </c>
      <c r="L14" s="614"/>
      <c r="M14" s="614">
        <f>+M12-M13</f>
        <v>0</v>
      </c>
      <c r="N14" s="614"/>
      <c r="O14" s="614">
        <f>+O12-O13</f>
        <v>0</v>
      </c>
      <c r="P14" s="614"/>
      <c r="Q14" s="614">
        <f>+Q12-Q13</f>
        <v>0</v>
      </c>
      <c r="R14" s="614"/>
      <c r="S14" s="614">
        <f>+S12-S13</f>
        <v>0</v>
      </c>
      <c r="T14" s="614"/>
      <c r="U14" s="614">
        <f>+U12-U13</f>
        <v>0</v>
      </c>
      <c r="V14" s="614"/>
      <c r="W14" s="614">
        <f>+W12-W13</f>
        <v>0</v>
      </c>
      <c r="X14" s="614"/>
      <c r="Y14" s="614">
        <f>+Y12-Y13</f>
        <v>0</v>
      </c>
      <c r="Z14" s="356"/>
      <c r="AA14" s="356"/>
      <c r="AB14" s="356"/>
    </row>
    <row r="15" spans="1:28">
      <c r="A15" s="356">
        <f t="shared" si="0"/>
        <v>6</v>
      </c>
      <c r="B15" s="356" t="s">
        <v>766</v>
      </c>
      <c r="C15" s="356" t="s">
        <v>778</v>
      </c>
      <c r="D15" s="356"/>
      <c r="E15" s="356"/>
      <c r="F15" s="356"/>
      <c r="G15" s="501">
        <v>0</v>
      </c>
      <c r="H15" s="181"/>
      <c r="I15" s="501">
        <v>0</v>
      </c>
      <c r="J15" s="181"/>
      <c r="K15" s="501">
        <v>0</v>
      </c>
      <c r="L15" s="181"/>
      <c r="M15" s="501">
        <v>0</v>
      </c>
      <c r="N15" s="181"/>
      <c r="O15" s="501">
        <v>0</v>
      </c>
      <c r="P15" s="181"/>
      <c r="Q15" s="501">
        <v>0</v>
      </c>
      <c r="R15" s="181"/>
      <c r="S15" s="501">
        <v>0</v>
      </c>
      <c r="T15" s="181"/>
      <c r="U15" s="501">
        <v>0</v>
      </c>
      <c r="V15" s="181"/>
      <c r="W15" s="501">
        <v>0</v>
      </c>
      <c r="X15" s="181"/>
      <c r="Y15" s="501">
        <v>0</v>
      </c>
      <c r="Z15" s="356"/>
      <c r="AA15" s="356"/>
      <c r="AB15" s="356"/>
    </row>
    <row r="16" spans="1:28">
      <c r="A16" s="356">
        <f t="shared" si="0"/>
        <v>7</v>
      </c>
      <c r="B16" s="356" t="s">
        <v>779</v>
      </c>
      <c r="C16" s="529" t="str">
        <f>"(Appendix A, Line "&amp;'Appendix A'!A196&amp;")"</f>
        <v>(Appendix A, Line 111)</v>
      </c>
      <c r="D16" s="356"/>
      <c r="E16" s="356"/>
      <c r="F16" s="356"/>
      <c r="G16" s="512">
        <f>+'Appendix A'!$H$196</f>
        <v>0.54708556982178735</v>
      </c>
      <c r="H16" s="181"/>
      <c r="I16" s="512">
        <f>+'Appendix A'!$H$196</f>
        <v>0.54708556982178735</v>
      </c>
      <c r="J16" s="181"/>
      <c r="K16" s="512">
        <f>+'Appendix A'!$H$196</f>
        <v>0.54708556982178735</v>
      </c>
      <c r="L16" s="181"/>
      <c r="M16" s="512">
        <f>+'Appendix A'!$H$196</f>
        <v>0.54708556982178735</v>
      </c>
      <c r="N16" s="181"/>
      <c r="O16" s="512">
        <f>+'Appendix A'!$H$196</f>
        <v>0.54708556982178735</v>
      </c>
      <c r="P16" s="181"/>
      <c r="Q16" s="512">
        <f>+'Appendix A'!$H$196</f>
        <v>0.54708556982178735</v>
      </c>
      <c r="R16" s="181"/>
      <c r="S16" s="512">
        <f>+'Appendix A'!$H$196</f>
        <v>0.54708556982178735</v>
      </c>
      <c r="T16" s="181"/>
      <c r="U16" s="512">
        <f>+'Appendix A'!$H$196</f>
        <v>0.54708556982178735</v>
      </c>
      <c r="V16" s="181"/>
      <c r="W16" s="512">
        <f>+'Appendix A'!$H$196</f>
        <v>0.54708556982178735</v>
      </c>
      <c r="X16" s="181"/>
      <c r="Y16" s="512">
        <f>+'Appendix A'!$H$196</f>
        <v>0.54708556982178735</v>
      </c>
      <c r="Z16" s="356"/>
      <c r="AA16" s="356"/>
      <c r="AB16" s="356"/>
    </row>
    <row r="17" spans="1:28">
      <c r="A17" s="356">
        <f t="shared" si="0"/>
        <v>8</v>
      </c>
      <c r="B17" s="356" t="s">
        <v>155</v>
      </c>
      <c r="C17" s="529" t="str">
        <f>"(Appendix A, Line "&amp;'Appendix A'!A216&amp;")"</f>
        <v>(Appendix A, Line 126)</v>
      </c>
      <c r="D17" s="356"/>
      <c r="E17" s="458"/>
      <c r="F17" s="458"/>
      <c r="G17" s="513">
        <f>+'Appendix A'!$H$216</f>
        <v>1.2896818999593751</v>
      </c>
      <c r="H17" s="511"/>
      <c r="I17" s="513">
        <f>+'Appendix A'!$H$216</f>
        <v>1.2896818999593751</v>
      </c>
      <c r="J17" s="511"/>
      <c r="K17" s="513">
        <f>+'Appendix A'!$H$216</f>
        <v>1.2896818999593751</v>
      </c>
      <c r="L17" s="511"/>
      <c r="M17" s="513">
        <f>+'Appendix A'!$H$216</f>
        <v>1.2896818999593751</v>
      </c>
      <c r="N17" s="511"/>
      <c r="O17" s="513">
        <f>+'Appendix A'!$H$216</f>
        <v>1.2896818999593751</v>
      </c>
      <c r="P17" s="511"/>
      <c r="Q17" s="513">
        <f>+'Appendix A'!$H$216</f>
        <v>1.2896818999593751</v>
      </c>
      <c r="R17" s="511"/>
      <c r="S17" s="513">
        <f>+'Appendix A'!$H$216</f>
        <v>1.2896818999593751</v>
      </c>
      <c r="T17" s="511"/>
      <c r="U17" s="513">
        <f>+'Appendix A'!$H$216</f>
        <v>1.2896818999593751</v>
      </c>
      <c r="V17" s="511"/>
      <c r="W17" s="513">
        <f>+'Appendix A'!$H$216</f>
        <v>1.2896818999593751</v>
      </c>
      <c r="X17" s="511"/>
      <c r="Y17" s="513">
        <f>+'Appendix A'!$H$216</f>
        <v>1.2896818999593751</v>
      </c>
      <c r="Z17" s="356"/>
      <c r="AA17" s="356"/>
      <c r="AB17" s="356"/>
    </row>
    <row r="18" spans="1:28" ht="25.5">
      <c r="A18" s="356">
        <f t="shared" si="0"/>
        <v>9</v>
      </c>
      <c r="B18" s="356" t="s">
        <v>780</v>
      </c>
      <c r="C18" s="497" t="str">
        <f>"(Line "&amp;A14&amp;" * Line "&amp;A15&amp;" * Line "&amp;A16&amp;" * Line "&amp;A17&amp;" )"</f>
        <v>(Line 5 * Line 6 * Line 7 * Line 8 )</v>
      </c>
      <c r="D18" s="356"/>
      <c r="E18" s="614">
        <f>+SUM(G18:Y18)</f>
        <v>0</v>
      </c>
      <c r="F18" s="614"/>
      <c r="G18" s="616">
        <f>+G14*G15*G16*G17</f>
        <v>0</v>
      </c>
      <c r="H18" s="617"/>
      <c r="I18" s="616">
        <f>+I14*I15*I16*I17</f>
        <v>0</v>
      </c>
      <c r="J18" s="617"/>
      <c r="K18" s="616">
        <f>+K14*K15*K16*K17</f>
        <v>0</v>
      </c>
      <c r="L18" s="617"/>
      <c r="M18" s="616">
        <f>+M14*M15*M16*M17</f>
        <v>0</v>
      </c>
      <c r="N18" s="617"/>
      <c r="O18" s="616">
        <f>+O14*O15*O16*O17</f>
        <v>0</v>
      </c>
      <c r="P18" s="617"/>
      <c r="Q18" s="616">
        <f>+Q14*Q15*Q16*Q17</f>
        <v>0</v>
      </c>
      <c r="R18" s="617"/>
      <c r="S18" s="616">
        <f>+S14*S15*S16*S17</f>
        <v>0</v>
      </c>
      <c r="T18" s="617"/>
      <c r="U18" s="616">
        <f>+U14*U15*U16*U17</f>
        <v>0</v>
      </c>
      <c r="V18" s="617"/>
      <c r="W18" s="616">
        <f>+W14*W15*W16*W17</f>
        <v>0</v>
      </c>
      <c r="X18" s="617"/>
      <c r="Y18" s="616">
        <f>+Y14*Y15*Y16*Y17</f>
        <v>0</v>
      </c>
      <c r="Z18" s="356"/>
      <c r="AA18" s="356"/>
      <c r="AB18" s="356"/>
    </row>
    <row r="19" spans="1:28">
      <c r="A19" s="356"/>
      <c r="B19" s="356"/>
      <c r="C19" s="356"/>
      <c r="D19" s="356"/>
      <c r="E19" s="356"/>
      <c r="F19" s="356"/>
      <c r="G19" s="512"/>
      <c r="H19" s="181"/>
      <c r="I19" s="512"/>
      <c r="J19" s="181"/>
      <c r="K19" s="512"/>
      <c r="L19" s="181"/>
      <c r="M19" s="512"/>
      <c r="N19" s="181"/>
      <c r="O19" s="512"/>
      <c r="P19" s="181"/>
      <c r="Q19" s="512"/>
      <c r="R19" s="181"/>
      <c r="S19" s="512"/>
      <c r="T19" s="181"/>
      <c r="U19" s="512"/>
      <c r="V19" s="181"/>
      <c r="W19" s="512"/>
      <c r="X19" s="181"/>
      <c r="Y19" s="512"/>
      <c r="Z19" s="356"/>
      <c r="AA19" s="356"/>
      <c r="AB19" s="356"/>
    </row>
    <row r="20" spans="1:28" ht="25.5">
      <c r="A20" s="356"/>
      <c r="B20" s="497" t="s">
        <v>781</v>
      </c>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row>
    <row r="21" spans="1:28">
      <c r="A21" s="356"/>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row>
    <row r="22" spans="1:28">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row>
    <row r="23" spans="1:28">
      <c r="A23" s="356"/>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row>
    <row r="24" spans="1:28">
      <c r="A24" s="356"/>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row>
    <row r="25" spans="1:28">
      <c r="A25" s="356"/>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row>
    <row r="26" spans="1:28">
      <c r="A26" s="356"/>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row>
    <row r="27" spans="1:28">
      <c r="A27" s="356"/>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row>
    <row r="28" spans="1:28">
      <c r="A28" s="356"/>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row>
    <row r="29" spans="1:28">
      <c r="A29" s="356"/>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row>
    <row r="30" spans="1:28">
      <c r="A30" s="356"/>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row>
    <row r="31" spans="1:28">
      <c r="A31" s="356"/>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row>
    <row r="32" spans="1:28">
      <c r="A32" s="356"/>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row>
    <row r="33" spans="1:28">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row>
    <row r="34" spans="1:28">
      <c r="A34" s="356"/>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row>
    <row r="35" spans="1:28">
      <c r="A35" s="356"/>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row>
    <row r="36" spans="1:28">
      <c r="A36" s="356"/>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row>
    <row r="37" spans="1:28">
      <c r="A37" s="356"/>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row>
    <row r="38" spans="1:28">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row>
    <row r="39" spans="1:28">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row>
    <row r="40" spans="1:28">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row>
    <row r="41" spans="1:28">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row>
    <row r="42" spans="1:28">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row>
    <row r="43" spans="1:28">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row>
    <row r="44" spans="1:28">
      <c r="A44" s="356"/>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row>
    <row r="45" spans="1:28">
      <c r="A45" s="356"/>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row>
    <row r="46" spans="1:28">
      <c r="A46" s="356"/>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row>
    <row r="47" spans="1:28">
      <c r="A47" s="356"/>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row>
    <row r="48" spans="1:28">
      <c r="A48" s="356"/>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row>
    <row r="49" spans="1:28">
      <c r="A49" s="356"/>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row>
    <row r="50" spans="1:28">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row>
    <row r="51" spans="1:28">
      <c r="A51" s="356"/>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row>
    <row r="52" spans="1:28">
      <c r="A52" s="356"/>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row>
    <row r="53" spans="1:28">
      <c r="A53" s="356"/>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row>
    <row r="54" spans="1:28">
      <c r="A54" s="356"/>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row>
    <row r="55" spans="1:28">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row>
    <row r="56" spans="1:28">
      <c r="A56" s="356"/>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row>
    <row r="57" spans="1:28">
      <c r="A57" s="356"/>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row>
    <row r="58" spans="1:28">
      <c r="A58" s="356"/>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row>
    <row r="59" spans="1:28">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row>
    <row r="60" spans="1:28">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row>
    <row r="61" spans="1:28">
      <c r="A61" s="356"/>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row>
    <row r="62" spans="1:28">
      <c r="A62" s="356"/>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topLeftCell="A3" zoomScaleNormal="100" zoomScaleSheetLayoutView="80" workbookViewId="0">
      <selection activeCell="F19" sqref="F19"/>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K1" s="178" t="str">
        <f>+'7A - Project ROE Adder'!J1</f>
        <v>Dayton Power and Light</v>
      </c>
    </row>
    <row r="2" spans="1:25" ht="18">
      <c r="K2" s="178" t="str">
        <f>+'7A - Project ROE Adder'!J2</f>
        <v xml:space="preserve">ATTACHMENT H-15A </v>
      </c>
    </row>
    <row r="3" spans="1:25" ht="18">
      <c r="K3" s="178" t="s">
        <v>1006</v>
      </c>
      <c r="Y3" s="628"/>
    </row>
    <row r="5" spans="1:25" ht="15">
      <c r="B5" s="45" t="s">
        <v>409</v>
      </c>
    </row>
    <row r="6" spans="1:25" ht="15.75">
      <c r="A6" s="69"/>
      <c r="B6" s="78" t="s">
        <v>782</v>
      </c>
      <c r="C6" s="192"/>
      <c r="D6" s="69"/>
      <c r="E6" s="192"/>
      <c r="F6" s="356"/>
      <c r="G6" s="192"/>
      <c r="H6" s="192"/>
      <c r="I6" s="192"/>
      <c r="J6" s="502"/>
      <c r="K6" s="503"/>
      <c r="L6" s="192"/>
      <c r="M6" s="192"/>
      <c r="N6" s="180"/>
      <c r="O6" s="180"/>
      <c r="P6" s="180"/>
      <c r="Q6" s="356"/>
      <c r="R6" s="356"/>
      <c r="S6" s="356"/>
      <c r="T6" s="356"/>
      <c r="U6" s="356"/>
      <c r="V6" s="356"/>
      <c r="W6" s="356"/>
      <c r="X6" s="356"/>
      <c r="Y6" s="356"/>
    </row>
    <row r="7" spans="1:25">
      <c r="A7" s="356"/>
      <c r="B7" s="356"/>
      <c r="C7" s="356"/>
      <c r="D7" s="356"/>
      <c r="E7" s="356"/>
      <c r="F7" s="356"/>
      <c r="G7" s="793" t="s">
        <v>767</v>
      </c>
      <c r="H7" s="356"/>
      <c r="I7" s="793" t="s">
        <v>768</v>
      </c>
      <c r="J7" s="356"/>
      <c r="K7" s="793" t="s">
        <v>769</v>
      </c>
      <c r="L7" s="356"/>
      <c r="M7" s="793" t="s">
        <v>770</v>
      </c>
      <c r="N7" s="356"/>
      <c r="O7" s="793" t="s">
        <v>771</v>
      </c>
      <c r="P7" s="356"/>
      <c r="Q7" s="793" t="s">
        <v>772</v>
      </c>
      <c r="R7" s="356"/>
      <c r="S7" s="793" t="s">
        <v>773</v>
      </c>
      <c r="T7" s="356"/>
      <c r="U7" s="793" t="s">
        <v>774</v>
      </c>
      <c r="V7" s="356"/>
      <c r="W7" s="793" t="s">
        <v>775</v>
      </c>
      <c r="X7" s="356"/>
      <c r="Y7" s="793" t="s">
        <v>776</v>
      </c>
    </row>
    <row r="8" spans="1:25" ht="51">
      <c r="A8" s="457" t="s">
        <v>763</v>
      </c>
      <c r="B8" s="356"/>
      <c r="C8" s="356"/>
      <c r="D8" s="356"/>
      <c r="E8" s="495" t="s">
        <v>68</v>
      </c>
      <c r="F8" s="356"/>
      <c r="G8" s="508" t="s">
        <v>783</v>
      </c>
      <c r="H8" s="356"/>
      <c r="I8" s="496" t="s">
        <v>777</v>
      </c>
      <c r="J8" s="356"/>
      <c r="K8" s="496" t="s">
        <v>777</v>
      </c>
      <c r="L8" s="356"/>
      <c r="M8" s="496" t="s">
        <v>777</v>
      </c>
      <c r="N8" s="356"/>
      <c r="O8" s="496" t="s">
        <v>777</v>
      </c>
      <c r="P8" s="356"/>
      <c r="Q8" s="496" t="s">
        <v>777</v>
      </c>
      <c r="R8" s="356"/>
      <c r="S8" s="496" t="s">
        <v>777</v>
      </c>
      <c r="T8" s="356"/>
      <c r="U8" s="496" t="s">
        <v>777</v>
      </c>
      <c r="V8" s="356"/>
      <c r="W8" s="496" t="s">
        <v>777</v>
      </c>
      <c r="X8" s="356"/>
      <c r="Y8" s="496" t="s">
        <v>777</v>
      </c>
    </row>
    <row r="9" spans="1:25">
      <c r="A9" s="356"/>
      <c r="B9" s="356" t="s">
        <v>784</v>
      </c>
      <c r="C9" s="356"/>
      <c r="D9" s="356"/>
      <c r="E9" s="356"/>
      <c r="F9" s="356"/>
      <c r="G9" s="658" t="s">
        <v>785</v>
      </c>
      <c r="H9" s="356"/>
      <c r="I9" s="532"/>
      <c r="J9" s="356"/>
      <c r="K9" s="532"/>
      <c r="L9" s="356"/>
      <c r="M9" s="532"/>
      <c r="N9" s="356"/>
      <c r="O9" s="532"/>
      <c r="P9" s="356"/>
      <c r="Q9" s="532"/>
      <c r="R9" s="356"/>
      <c r="S9" s="532"/>
      <c r="T9" s="356"/>
      <c r="U9" s="532"/>
      <c r="V9" s="356"/>
      <c r="W9" s="532"/>
      <c r="X9" s="356"/>
      <c r="Y9" s="532"/>
    </row>
    <row r="10" spans="1:25">
      <c r="A10" s="356">
        <v>1</v>
      </c>
      <c r="B10" s="356" t="s">
        <v>23</v>
      </c>
      <c r="C10" s="529" t="str">
        <f>"(Attachment 4, Line "&amp;'4 - Cost Support'!A296&amp;" etc.)"</f>
        <v>(Attachment 4, Line 118 etc.)</v>
      </c>
      <c r="D10" s="356"/>
      <c r="E10" s="459"/>
      <c r="F10" s="459"/>
      <c r="G10" s="614">
        <f>+'4 - Cost Support'!T296</f>
        <v>23562405.789999999</v>
      </c>
      <c r="H10" s="614"/>
      <c r="I10" s="614">
        <f>+'4 - Cost Support'!T301</f>
        <v>0</v>
      </c>
      <c r="J10" s="614"/>
      <c r="K10" s="614">
        <f>+'4 - Cost Support'!T306</f>
        <v>0</v>
      </c>
      <c r="L10" s="614"/>
      <c r="M10" s="614">
        <f>+'4 - Cost Support'!T311</f>
        <v>0</v>
      </c>
      <c r="N10" s="614"/>
      <c r="O10" s="614">
        <f>+'4 - Cost Support'!T316</f>
        <v>0</v>
      </c>
      <c r="P10" s="614"/>
      <c r="Q10" s="614">
        <f>+'4 - Cost Support'!T321</f>
        <v>0</v>
      </c>
      <c r="R10" s="614"/>
      <c r="S10" s="614">
        <f>+'4 - Cost Support'!T326</f>
        <v>0</v>
      </c>
      <c r="T10" s="614"/>
      <c r="U10" s="614">
        <f>+'4 - Cost Support'!T331</f>
        <v>0</v>
      </c>
      <c r="V10" s="614"/>
      <c r="W10" s="614">
        <f>+'4 - Cost Support'!T336</f>
        <v>0</v>
      </c>
      <c r="X10" s="614"/>
      <c r="Y10" s="614">
        <f>+'4 - Cost Support'!T341</f>
        <v>0</v>
      </c>
    </row>
    <row r="11" spans="1:25">
      <c r="A11" s="356">
        <f>+A10+1</f>
        <v>2</v>
      </c>
      <c r="B11" s="458" t="s">
        <v>32</v>
      </c>
      <c r="C11" s="530" t="str">
        <f>"(Attachment 4, Line "&amp;'4 - Cost Support'!A297&amp;" etc.)"</f>
        <v>(Attachment 4, Line 119 etc.)</v>
      </c>
      <c r="D11" s="458"/>
      <c r="E11" s="499"/>
      <c r="F11" s="499"/>
      <c r="G11" s="615">
        <f>+'4 - Cost Support'!T297</f>
        <v>398718.32977022923</v>
      </c>
      <c r="H11" s="615"/>
      <c r="I11" s="615">
        <f>+'4 - Cost Support'!T302</f>
        <v>0</v>
      </c>
      <c r="J11" s="615"/>
      <c r="K11" s="615">
        <f>+'4 - Cost Support'!T307</f>
        <v>0</v>
      </c>
      <c r="L11" s="615"/>
      <c r="M11" s="615">
        <f>+'4 - Cost Support'!T312</f>
        <v>0</v>
      </c>
      <c r="N11" s="615"/>
      <c r="O11" s="615">
        <f>+'4 - Cost Support'!T317</f>
        <v>0</v>
      </c>
      <c r="P11" s="615"/>
      <c r="Q11" s="615">
        <f>+'4 - Cost Support'!T322</f>
        <v>0</v>
      </c>
      <c r="R11" s="615"/>
      <c r="S11" s="615">
        <f>+'4 - Cost Support'!T327</f>
        <v>0</v>
      </c>
      <c r="T11" s="615"/>
      <c r="U11" s="615">
        <f>+'4 - Cost Support'!T332</f>
        <v>0</v>
      </c>
      <c r="V11" s="615"/>
      <c r="W11" s="615">
        <f>+'4 - Cost Support'!T337</f>
        <v>0</v>
      </c>
      <c r="X11" s="615"/>
      <c r="Y11" s="615">
        <f>+'4 - Cost Support'!T342</f>
        <v>0</v>
      </c>
    </row>
    <row r="12" spans="1:25">
      <c r="A12" s="356">
        <f>+A11+1</f>
        <v>3</v>
      </c>
      <c r="B12" s="356" t="s">
        <v>17</v>
      </c>
      <c r="C12" s="356" t="str">
        <f>"(Line "&amp;A10&amp;" + "&amp;A11&amp;")"</f>
        <v>(Line 1 + 2)</v>
      </c>
      <c r="D12" s="356"/>
      <c r="E12" s="459"/>
      <c r="F12" s="459"/>
      <c r="G12" s="614">
        <f>+G10-G11</f>
        <v>23163687.460229769</v>
      </c>
      <c r="H12" s="614"/>
      <c r="I12" s="614">
        <f>+I10-I11</f>
        <v>0</v>
      </c>
      <c r="J12" s="614"/>
      <c r="K12" s="614">
        <f>+K10-K11</f>
        <v>0</v>
      </c>
      <c r="L12" s="614"/>
      <c r="M12" s="614">
        <f>+M10-M11</f>
        <v>0</v>
      </c>
      <c r="N12" s="614"/>
      <c r="O12" s="614">
        <f>+O10-O11</f>
        <v>0</v>
      </c>
      <c r="P12" s="614"/>
      <c r="Q12" s="614">
        <f>+Q10-Q11</f>
        <v>0</v>
      </c>
      <c r="R12" s="614"/>
      <c r="S12" s="614">
        <f>+S10-S11</f>
        <v>0</v>
      </c>
      <c r="T12" s="614"/>
      <c r="U12" s="614">
        <f>+U10-U11</f>
        <v>0</v>
      </c>
      <c r="V12" s="614"/>
      <c r="W12" s="614">
        <f>+W10-W11</f>
        <v>0</v>
      </c>
      <c r="X12" s="614"/>
      <c r="Y12" s="614">
        <f>+Y10-Y11</f>
        <v>0</v>
      </c>
    </row>
    <row r="13" spans="1:25">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row>
    <row r="14" spans="1:25" ht="25.5">
      <c r="A14" s="356">
        <f>+A12+1</f>
        <v>4</v>
      </c>
      <c r="B14" s="509" t="s">
        <v>786</v>
      </c>
      <c r="C14" s="530" t="str">
        <f>"(Appendix A, Line "&amp;'Appendix A'!A274&amp;")"</f>
        <v>(Appendix A, Line 163)</v>
      </c>
      <c r="D14" s="458"/>
      <c r="E14" s="458"/>
      <c r="F14" s="458"/>
      <c r="G14" s="545">
        <f>+'Appendix A'!$H$274</f>
        <v>0.17012595741661612</v>
      </c>
      <c r="H14" s="545"/>
      <c r="I14" s="545">
        <f>+'Appendix A'!$H$274</f>
        <v>0.17012595741661612</v>
      </c>
      <c r="J14" s="545"/>
      <c r="K14" s="545">
        <f>+'Appendix A'!$H$274</f>
        <v>0.17012595741661612</v>
      </c>
      <c r="L14" s="545"/>
      <c r="M14" s="545">
        <f>+'Appendix A'!$H$274</f>
        <v>0.17012595741661612</v>
      </c>
      <c r="N14" s="545"/>
      <c r="O14" s="545">
        <f>+'Appendix A'!$H$274</f>
        <v>0.17012595741661612</v>
      </c>
      <c r="P14" s="545"/>
      <c r="Q14" s="545">
        <f>+'Appendix A'!$H$274</f>
        <v>0.17012595741661612</v>
      </c>
      <c r="R14" s="545"/>
      <c r="S14" s="545">
        <f>+'Appendix A'!$H$274</f>
        <v>0.17012595741661612</v>
      </c>
      <c r="T14" s="545"/>
      <c r="U14" s="545">
        <f>+'Appendix A'!$H$274</f>
        <v>0.17012595741661612</v>
      </c>
      <c r="V14" s="545"/>
      <c r="W14" s="545">
        <f>+'Appendix A'!$H$274</f>
        <v>0.17012595741661612</v>
      </c>
      <c r="X14" s="545"/>
      <c r="Y14" s="545">
        <f>+'Appendix A'!$H$274</f>
        <v>0.17012595741661612</v>
      </c>
    </row>
    <row r="15" spans="1:25" ht="25.5">
      <c r="A15" s="356">
        <f>+A14+1</f>
        <v>5</v>
      </c>
      <c r="B15" s="497" t="s">
        <v>787</v>
      </c>
      <c r="C15" s="356" t="str">
        <f>"(Line "&amp;A12&amp;" * Line "&amp;A14&amp;")"</f>
        <v>(Line 3 * Line 4)</v>
      </c>
      <c r="D15" s="356"/>
      <c r="E15" s="614"/>
      <c r="F15" s="614"/>
      <c r="G15" s="614">
        <f>+G12*G14</f>
        <v>3940744.5064708549</v>
      </c>
      <c r="H15" s="614"/>
      <c r="I15" s="614">
        <f>+I12*I14</f>
        <v>0</v>
      </c>
      <c r="J15" s="614"/>
      <c r="K15" s="614">
        <f>+K12*K14</f>
        <v>0</v>
      </c>
      <c r="L15" s="614"/>
      <c r="M15" s="614">
        <f>+M12*M14</f>
        <v>0</v>
      </c>
      <c r="N15" s="614"/>
      <c r="O15" s="614">
        <f>+O12*O14</f>
        <v>0</v>
      </c>
      <c r="P15" s="614"/>
      <c r="Q15" s="614">
        <f>+Q12*Q14</f>
        <v>0</v>
      </c>
      <c r="R15" s="614"/>
      <c r="S15" s="614">
        <f>+S12*S14</f>
        <v>0</v>
      </c>
      <c r="T15" s="614"/>
      <c r="U15" s="614">
        <f>+U12*U14</f>
        <v>0</v>
      </c>
      <c r="V15" s="614"/>
      <c r="W15" s="614">
        <f>+W12*W14</f>
        <v>0</v>
      </c>
      <c r="X15" s="614"/>
      <c r="Y15" s="614">
        <f>+Y12*Y14</f>
        <v>0</v>
      </c>
    </row>
    <row r="16" spans="1:25">
      <c r="A16">
        <f>+A15+1</f>
        <v>6</v>
      </c>
      <c r="B16" s="356" t="s">
        <v>697</v>
      </c>
      <c r="C16" s="529" t="str">
        <f>"(Attachment 4, Line "&amp;'4 - Cost Support'!A298&amp;" etc.)"</f>
        <v>(Attachment 4, Line 120 etc.)</v>
      </c>
      <c r="E16" s="618"/>
      <c r="F16" s="618"/>
      <c r="G16" s="618">
        <f>+'4 - Cost Support'!T298</f>
        <v>504028.48247976525</v>
      </c>
      <c r="H16" s="618"/>
      <c r="I16" s="618">
        <f>+'4 - Cost Support'!T303</f>
        <v>0</v>
      </c>
      <c r="J16" s="618"/>
      <c r="K16" s="618">
        <f>+'4 - Cost Support'!T308</f>
        <v>0</v>
      </c>
      <c r="L16" s="618"/>
      <c r="M16" s="618">
        <f>+'4 - Cost Support'!T313</f>
        <v>0</v>
      </c>
      <c r="N16" s="618"/>
      <c r="O16" s="618">
        <f>+'4 - Cost Support'!T318</f>
        <v>0</v>
      </c>
      <c r="P16" s="618"/>
      <c r="Q16" s="618">
        <f>+'4 - Cost Support'!T323</f>
        <v>0</v>
      </c>
      <c r="R16" s="618"/>
      <c r="S16" s="618">
        <f>+'4 - Cost Support'!T328</f>
        <v>0</v>
      </c>
      <c r="T16" s="618"/>
      <c r="U16" s="618">
        <f>+'4 - Cost Support'!T333</f>
        <v>0</v>
      </c>
      <c r="V16" s="618"/>
      <c r="W16" s="618">
        <f>+'4 - Cost Support'!T338</f>
        <v>0</v>
      </c>
      <c r="X16" s="618"/>
      <c r="Y16" s="618">
        <f>+'4 - Cost Support'!T343</f>
        <v>0</v>
      </c>
    </row>
    <row r="17" spans="1:25">
      <c r="A17">
        <f>+A16+1</f>
        <v>7</v>
      </c>
      <c r="B17" s="458" t="s">
        <v>788</v>
      </c>
      <c r="C17" s="458" t="s">
        <v>789</v>
      </c>
      <c r="D17" s="510"/>
      <c r="E17" s="619"/>
      <c r="F17" s="619"/>
      <c r="G17" s="620">
        <v>0</v>
      </c>
      <c r="H17" s="619"/>
      <c r="I17" s="620">
        <v>0</v>
      </c>
      <c r="J17" s="619"/>
      <c r="K17" s="620">
        <v>0</v>
      </c>
      <c r="L17" s="619"/>
      <c r="M17" s="620">
        <v>0</v>
      </c>
      <c r="N17" s="619"/>
      <c r="O17" s="620">
        <v>0</v>
      </c>
      <c r="P17" s="619"/>
      <c r="Q17" s="620">
        <v>0</v>
      </c>
      <c r="R17" s="619"/>
      <c r="S17" s="620">
        <v>0</v>
      </c>
      <c r="T17" s="619"/>
      <c r="U17" s="620">
        <v>0</v>
      </c>
      <c r="V17" s="619"/>
      <c r="W17" s="620">
        <v>0</v>
      </c>
      <c r="X17" s="619"/>
      <c r="Y17" s="620">
        <v>0</v>
      </c>
    </row>
    <row r="18" spans="1:25">
      <c r="E18" s="618"/>
      <c r="F18" s="618"/>
      <c r="G18" s="618"/>
      <c r="H18" s="618"/>
      <c r="I18" s="618"/>
      <c r="J18" s="618"/>
      <c r="K18" s="618"/>
      <c r="L18" s="618"/>
      <c r="M18" s="618"/>
      <c r="N18" s="618"/>
      <c r="O18" s="618"/>
      <c r="P18" s="618"/>
      <c r="Q18" s="618"/>
      <c r="R18" s="618"/>
      <c r="S18" s="618"/>
      <c r="T18" s="618"/>
      <c r="U18" s="618"/>
      <c r="V18" s="618"/>
      <c r="W18" s="618"/>
      <c r="X18" s="618"/>
      <c r="Y18" s="618"/>
    </row>
    <row r="19" spans="1:25">
      <c r="A19">
        <f>+A17+1</f>
        <v>8</v>
      </c>
      <c r="B19" s="356" t="s">
        <v>790</v>
      </c>
      <c r="C19" s="356" t="str">
        <f>"(Line "&amp;A15&amp;" + Line "&amp;A16&amp;" + Line "&amp;A17&amp;")"</f>
        <v>(Line 5 + Line 6 + Line 7)</v>
      </c>
      <c r="E19" s="621">
        <f>+SUM(G19:Y19)</f>
        <v>4444772.9889506204</v>
      </c>
      <c r="F19" s="618"/>
      <c r="G19" s="618">
        <f>+G15+G16+ G17</f>
        <v>4444772.9889506204</v>
      </c>
      <c r="H19" s="618"/>
      <c r="I19" s="618">
        <f>+I15+I16+ I17</f>
        <v>0</v>
      </c>
      <c r="J19" s="618"/>
      <c r="K19" s="618">
        <f>+K15+K16+ K17</f>
        <v>0</v>
      </c>
      <c r="L19" s="618"/>
      <c r="M19" s="618">
        <f>+M15+M16+ M17</f>
        <v>0</v>
      </c>
      <c r="N19" s="618"/>
      <c r="O19" s="618">
        <f>+O15+O16+ O17</f>
        <v>0</v>
      </c>
      <c r="P19" s="618"/>
      <c r="Q19" s="618">
        <f>+Q15+Q16+ Q17</f>
        <v>0</v>
      </c>
      <c r="R19" s="618"/>
      <c r="S19" s="618">
        <f>+S15+S16+ S17</f>
        <v>0</v>
      </c>
      <c r="T19" s="618"/>
      <c r="U19" s="618">
        <f>+U15+U16+ U17</f>
        <v>0</v>
      </c>
      <c r="V19" s="618"/>
      <c r="W19" s="618">
        <f>+W15+W16+ W17</f>
        <v>0</v>
      </c>
      <c r="X19" s="618"/>
      <c r="Y19" s="618">
        <f>+Y15+Y16+ Y17</f>
        <v>0</v>
      </c>
    </row>
    <row r="20" spans="1:25">
      <c r="E20" s="618"/>
      <c r="F20" s="618"/>
      <c r="G20" s="618"/>
      <c r="H20" s="618"/>
      <c r="I20" s="618"/>
      <c r="J20" s="618"/>
      <c r="K20" s="618"/>
      <c r="L20" s="618"/>
      <c r="M20" s="618"/>
      <c r="N20" s="618"/>
      <c r="O20" s="618"/>
      <c r="P20" s="618"/>
      <c r="Q20" s="618"/>
      <c r="R20" s="618"/>
      <c r="S20" s="618"/>
      <c r="T20" s="618"/>
      <c r="U20" s="618"/>
      <c r="V20" s="618"/>
      <c r="W20" s="618"/>
      <c r="X20" s="618"/>
      <c r="Y20" s="618"/>
    </row>
    <row r="21" spans="1:25">
      <c r="A21">
        <f>+A19+1</f>
        <v>9</v>
      </c>
      <c r="B21" s="356" t="s">
        <v>791</v>
      </c>
      <c r="C21" s="529" t="str">
        <f>"(Attachment 6B, Line "&amp;'6B - Schedule 12 True-Up'!B40&amp;")"</f>
        <v>(Attachment 6B, Line E)</v>
      </c>
      <c r="E21" s="619">
        <f>+'6B - Schedule 12 True-Up'!I40</f>
        <v>995248.30972411297</v>
      </c>
      <c r="F21" s="618"/>
      <c r="G21" s="615">
        <f>+G19/$E$19*$E$21</f>
        <v>995248.30972411297</v>
      </c>
      <c r="H21" s="618"/>
      <c r="I21" s="615">
        <f>+I19/$E$19*$E$21</f>
        <v>0</v>
      </c>
      <c r="J21" s="618"/>
      <c r="K21" s="615">
        <f>+K19/$E$19*$E$21</f>
        <v>0</v>
      </c>
      <c r="L21" s="618"/>
      <c r="M21" s="615">
        <f>+M19/$E$19*$E$21</f>
        <v>0</v>
      </c>
      <c r="N21" s="618"/>
      <c r="O21" s="615">
        <f>+O19/$E$19*$E$21</f>
        <v>0</v>
      </c>
      <c r="P21" s="618"/>
      <c r="Q21" s="615">
        <f>+Q19/$E$19*$E$21</f>
        <v>0</v>
      </c>
      <c r="R21" s="618"/>
      <c r="S21" s="615">
        <f>+S19/$E$19*$E$21</f>
        <v>0</v>
      </c>
      <c r="T21" s="618"/>
      <c r="U21" s="615">
        <f>+U19/$E$19*$E$21</f>
        <v>0</v>
      </c>
      <c r="V21" s="618"/>
      <c r="W21" s="615">
        <f>+W19/$E$19*$E$21</f>
        <v>0</v>
      </c>
      <c r="X21" s="618"/>
      <c r="Y21" s="615">
        <f>+Y19/$E$19*$E$21</f>
        <v>0</v>
      </c>
    </row>
    <row r="22" spans="1:25">
      <c r="B22" s="356" t="s">
        <v>792</v>
      </c>
      <c r="E22" s="618"/>
      <c r="F22" s="618"/>
      <c r="G22" s="618"/>
      <c r="H22" s="618"/>
      <c r="I22" s="618"/>
      <c r="J22" s="618"/>
      <c r="K22" s="618"/>
      <c r="L22" s="618"/>
      <c r="M22" s="618"/>
      <c r="N22" s="618"/>
      <c r="O22" s="618"/>
      <c r="P22" s="618"/>
      <c r="Q22" s="618"/>
      <c r="R22" s="618"/>
      <c r="S22" s="618"/>
      <c r="T22" s="618"/>
      <c r="U22" s="618"/>
      <c r="V22" s="618"/>
      <c r="W22" s="618"/>
      <c r="X22" s="618"/>
      <c r="Y22" s="618"/>
    </row>
    <row r="23" spans="1:25">
      <c r="A23">
        <f>+A21+1</f>
        <v>10</v>
      </c>
      <c r="B23" s="356" t="s">
        <v>793</v>
      </c>
      <c r="C23" s="356" t="str">
        <f>"(Line "&amp;A19&amp;" + Line "&amp;A21&amp;")"</f>
        <v>(Line 8 + Line 9)</v>
      </c>
      <c r="E23" s="621">
        <f>+E19+E21</f>
        <v>5440021.2986747334</v>
      </c>
      <c r="F23" s="618"/>
      <c r="G23" s="618">
        <f>+G19+G21</f>
        <v>5440021.2986747334</v>
      </c>
      <c r="H23" s="618"/>
      <c r="I23" s="618">
        <f>+I19+I21</f>
        <v>0</v>
      </c>
      <c r="J23" s="618"/>
      <c r="K23" s="618">
        <f>+K19+K21</f>
        <v>0</v>
      </c>
      <c r="L23" s="618"/>
      <c r="M23" s="618">
        <f>+M19+M21</f>
        <v>0</v>
      </c>
      <c r="N23" s="618"/>
      <c r="O23" s="618">
        <f>+O19+O21</f>
        <v>0</v>
      </c>
      <c r="P23" s="618"/>
      <c r="Q23" s="618">
        <f>+Q19+Q21</f>
        <v>0</v>
      </c>
      <c r="R23" s="618"/>
      <c r="S23" s="618">
        <f>+S19+S21</f>
        <v>0</v>
      </c>
      <c r="T23" s="618"/>
      <c r="U23" s="618">
        <f>+U19+U21</f>
        <v>0</v>
      </c>
      <c r="V23" s="618"/>
      <c r="W23" s="618">
        <f>+W19+W21</f>
        <v>0</v>
      </c>
      <c r="X23" s="618"/>
      <c r="Y23" s="618">
        <f>+Y19+Y21</f>
        <v>0</v>
      </c>
    </row>
    <row r="24" spans="1:25">
      <c r="B24" s="356" t="s">
        <v>794</v>
      </c>
    </row>
    <row r="25" spans="1:25">
      <c r="B25" s="356"/>
    </row>
    <row r="26" spans="1:25">
      <c r="A26">
        <f>+A23+1</f>
        <v>11</v>
      </c>
      <c r="B26" s="356" t="s">
        <v>795</v>
      </c>
      <c r="G26" s="652">
        <v>9.9299999999999999E-2</v>
      </c>
      <c r="H26" s="653"/>
      <c r="I26" s="652">
        <v>0</v>
      </c>
      <c r="J26" s="653"/>
      <c r="K26" s="652">
        <v>0</v>
      </c>
      <c r="L26" s="653"/>
      <c r="M26" s="652">
        <v>0</v>
      </c>
      <c r="N26" s="653"/>
      <c r="O26" s="652">
        <v>0</v>
      </c>
      <c r="P26" s="653"/>
      <c r="Q26" s="652">
        <v>0</v>
      </c>
      <c r="R26" s="653"/>
      <c r="S26" s="652">
        <v>0</v>
      </c>
      <c r="T26" s="653"/>
      <c r="U26" s="652">
        <v>0</v>
      </c>
      <c r="V26" s="653"/>
      <c r="W26" s="652">
        <v>0</v>
      </c>
      <c r="X26" s="653"/>
      <c r="Y26" s="652">
        <v>0</v>
      </c>
    </row>
    <row r="28" spans="1:25">
      <c r="A28">
        <f>+A26+1</f>
        <v>12</v>
      </c>
      <c r="B28" s="356" t="s">
        <v>796</v>
      </c>
      <c r="C28" s="356" t="str">
        <f>"(Line "&amp;A23&amp;" * Line "&amp;A26&amp;")"</f>
        <v>(Line 10 * Line 11)</v>
      </c>
      <c r="E28" s="621">
        <f>+SUM(G28:Y28)</f>
        <v>540194.11495840107</v>
      </c>
      <c r="G28" s="639">
        <f>+G23*G26</f>
        <v>540194.11495840107</v>
      </c>
      <c r="H28" s="639"/>
      <c r="I28" s="639">
        <f>+I23*I26</f>
        <v>0</v>
      </c>
      <c r="J28" s="639"/>
      <c r="K28" s="639">
        <f>+K23*K26</f>
        <v>0</v>
      </c>
      <c r="L28" s="639"/>
      <c r="M28" s="639">
        <f>+M23*M26</f>
        <v>0</v>
      </c>
      <c r="N28" s="639"/>
      <c r="O28" s="639">
        <f>+O23*O26</f>
        <v>0</v>
      </c>
      <c r="P28" s="639"/>
      <c r="Q28" s="639">
        <f>+Q23*Q26</f>
        <v>0</v>
      </c>
      <c r="R28" s="639"/>
      <c r="S28" s="639">
        <f>+S23*S26</f>
        <v>0</v>
      </c>
      <c r="T28" s="639"/>
      <c r="U28" s="639">
        <f>+U23*U26</f>
        <v>0</v>
      </c>
      <c r="V28" s="639"/>
      <c r="W28" s="639">
        <f>+W23*W26</f>
        <v>0</v>
      </c>
      <c r="X28" s="639"/>
      <c r="Y28" s="639">
        <f>+Y23*Y26</f>
        <v>0</v>
      </c>
    </row>
    <row r="32" spans="1:25">
      <c r="B32" t="s">
        <v>797</v>
      </c>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topLeftCell="A20" zoomScaleNormal="100" zoomScaleSheetLayoutView="80" workbookViewId="0">
      <selection activeCell="B42" sqref="B42"/>
    </sheetView>
  </sheetViews>
  <sheetFormatPr defaultRowHeight="12.75"/>
  <cols>
    <col min="1" max="1" width="40.140625" customWidth="1"/>
    <col min="2" max="2" width="41.7109375" customWidth="1"/>
    <col min="3" max="3" width="17.140625" customWidth="1"/>
    <col min="4" max="4" width="9" style="679" bestFit="1" customWidth="1"/>
    <col min="5" max="5" width="7.140625" bestFit="1" customWidth="1"/>
    <col min="6" max="6" width="19.42578125" customWidth="1"/>
  </cols>
  <sheetData>
    <row r="1" spans="1:7" ht="18">
      <c r="B1" s="796" t="s">
        <v>0</v>
      </c>
    </row>
    <row r="2" spans="1:7" ht="18">
      <c r="B2" s="796" t="str">
        <f>+'Appendix A'!A4</f>
        <v xml:space="preserve">ATTACHMENT H-15A </v>
      </c>
    </row>
    <row r="3" spans="1:7" ht="18">
      <c r="B3" s="796" t="s">
        <v>798</v>
      </c>
    </row>
    <row r="4" spans="1:7" ht="21.75" customHeight="1">
      <c r="B4" s="666">
        <v>45291</v>
      </c>
      <c r="F4" s="628"/>
    </row>
    <row r="6" spans="1:7">
      <c r="A6" s="901"/>
      <c r="B6" s="901"/>
      <c r="C6" s="901"/>
      <c r="D6" s="901"/>
      <c r="E6" s="901"/>
      <c r="F6" s="901"/>
      <c r="G6" s="901"/>
    </row>
    <row r="7" spans="1:7">
      <c r="A7" s="902"/>
      <c r="B7" s="902"/>
      <c r="C7" s="902"/>
      <c r="D7" s="902"/>
      <c r="E7" s="902"/>
      <c r="F7" s="902"/>
      <c r="G7" s="902"/>
    </row>
    <row r="8" spans="1:7">
      <c r="A8" s="356"/>
      <c r="B8" s="356"/>
      <c r="C8" s="181"/>
      <c r="D8" s="680"/>
      <c r="E8" s="356"/>
      <c r="F8" s="356"/>
      <c r="G8" s="356"/>
    </row>
    <row r="9" spans="1:7" ht="15">
      <c r="A9" s="368" t="s">
        <v>495</v>
      </c>
      <c r="B9" s="369" t="s">
        <v>799</v>
      </c>
      <c r="C9" s="369" t="s">
        <v>800</v>
      </c>
      <c r="D9" s="681"/>
      <c r="E9" s="45"/>
      <c r="F9" s="356"/>
      <c r="G9" s="356"/>
    </row>
    <row r="10" spans="1:7" ht="15">
      <c r="A10" s="370"/>
      <c r="B10" s="370"/>
      <c r="C10" s="370"/>
      <c r="D10" s="681"/>
      <c r="E10" s="45"/>
      <c r="F10" s="356"/>
      <c r="G10" s="356"/>
    </row>
    <row r="11" spans="1:7" ht="15.75">
      <c r="A11" s="368" t="s">
        <v>801</v>
      </c>
      <c r="B11" s="371"/>
      <c r="C11" s="372"/>
      <c r="D11" s="681"/>
      <c r="E11" s="45"/>
      <c r="F11" s="356"/>
      <c r="G11" s="356"/>
    </row>
    <row r="12" spans="1:7" ht="15">
      <c r="A12" s="373">
        <v>350</v>
      </c>
      <c r="B12" s="371" t="s">
        <v>802</v>
      </c>
      <c r="C12" s="374" t="s">
        <v>803</v>
      </c>
      <c r="D12" s="681"/>
      <c r="E12" s="45"/>
      <c r="F12" s="356"/>
      <c r="G12" s="356"/>
    </row>
    <row r="13" spans="1:7" ht="15">
      <c r="A13" s="373">
        <v>352</v>
      </c>
      <c r="B13" s="371" t="s">
        <v>804</v>
      </c>
      <c r="C13" s="852">
        <v>1.9199999999999998E-2</v>
      </c>
      <c r="E13" s="45"/>
      <c r="F13" s="356"/>
      <c r="G13" s="356"/>
    </row>
    <row r="14" spans="1:7" ht="15">
      <c r="A14" s="373">
        <v>353</v>
      </c>
      <c r="B14" s="371" t="s">
        <v>805</v>
      </c>
      <c r="C14" s="852">
        <v>2.0899999999999998E-2</v>
      </c>
      <c r="E14" s="375"/>
      <c r="F14" s="356"/>
      <c r="G14" s="356"/>
    </row>
    <row r="15" spans="1:7" ht="15">
      <c r="A15" s="373">
        <v>354</v>
      </c>
      <c r="B15" s="371" t="s">
        <v>806</v>
      </c>
      <c r="C15" s="852">
        <v>1.9199999999999998E-2</v>
      </c>
      <c r="E15" s="375"/>
      <c r="F15" s="356"/>
      <c r="G15" s="356"/>
    </row>
    <row r="16" spans="1:7" ht="15">
      <c r="A16" s="373">
        <v>355</v>
      </c>
      <c r="B16" s="371" t="s">
        <v>807</v>
      </c>
      <c r="C16" s="852">
        <v>2.4500000000000001E-2</v>
      </c>
      <c r="E16" s="375"/>
      <c r="F16" s="356"/>
      <c r="G16" s="356"/>
    </row>
    <row r="17" spans="1:7" ht="15">
      <c r="A17" s="373">
        <v>356</v>
      </c>
      <c r="B17" s="371" t="s">
        <v>808</v>
      </c>
      <c r="C17" s="852">
        <v>2.4500000000000001E-2</v>
      </c>
      <c r="E17" s="375"/>
      <c r="F17" s="356"/>
      <c r="G17" s="356"/>
    </row>
    <row r="18" spans="1:7" ht="15">
      <c r="A18" s="373">
        <v>357</v>
      </c>
      <c r="B18" s="371" t="s">
        <v>809</v>
      </c>
      <c r="C18" s="852">
        <v>1.3299999999999999E-2</v>
      </c>
      <c r="E18" s="375"/>
      <c r="F18" s="356"/>
      <c r="G18" s="356"/>
    </row>
    <row r="19" spans="1:7" ht="15">
      <c r="A19" s="373">
        <v>358</v>
      </c>
      <c r="B19" s="371" t="s">
        <v>810</v>
      </c>
      <c r="C19" s="852">
        <v>1.8200000000000001E-2</v>
      </c>
      <c r="E19" s="375"/>
      <c r="F19" s="356"/>
      <c r="G19" s="356"/>
    </row>
    <row r="20" spans="1:7" ht="15">
      <c r="A20" s="373">
        <v>359</v>
      </c>
      <c r="B20" s="371" t="s">
        <v>811</v>
      </c>
      <c r="C20" s="852">
        <v>1.2500000000000001E-2</v>
      </c>
      <c r="E20" s="375"/>
      <c r="F20" s="356"/>
      <c r="G20" s="356"/>
    </row>
    <row r="21" spans="1:7" ht="15">
      <c r="A21" s="373"/>
      <c r="B21" s="371"/>
      <c r="C21" s="374"/>
      <c r="D21" s="43"/>
      <c r="E21" s="375"/>
      <c r="F21" s="356"/>
      <c r="G21" s="356"/>
    </row>
    <row r="22" spans="1:7" ht="15">
      <c r="A22" s="376" t="s">
        <v>812</v>
      </c>
      <c r="B22" s="371"/>
      <c r="C22" s="377"/>
      <c r="D22" s="43"/>
      <c r="E22" s="375"/>
      <c r="F22" s="356"/>
      <c r="G22" s="356"/>
    </row>
    <row r="23" spans="1:7" ht="15">
      <c r="A23" s="373">
        <v>302</v>
      </c>
      <c r="B23" s="371" t="s">
        <v>813</v>
      </c>
      <c r="C23" s="374" t="s">
        <v>803</v>
      </c>
      <c r="D23" s="43"/>
      <c r="E23" s="375"/>
      <c r="F23" s="356"/>
      <c r="G23" s="356"/>
    </row>
    <row r="24" spans="1:7" ht="15">
      <c r="A24" s="373">
        <v>303</v>
      </c>
      <c r="B24" s="371" t="s">
        <v>814</v>
      </c>
      <c r="C24" s="852">
        <v>0.1429</v>
      </c>
      <c r="D24" s="43"/>
      <c r="E24" s="375"/>
      <c r="F24" s="356"/>
      <c r="G24" s="356"/>
    </row>
    <row r="25" spans="1:7" ht="15">
      <c r="A25" s="373">
        <v>390</v>
      </c>
      <c r="B25" s="378" t="s">
        <v>804</v>
      </c>
      <c r="C25" s="852">
        <v>3.3300000000000003E-2</v>
      </c>
      <c r="D25" s="43"/>
      <c r="E25" s="375"/>
      <c r="F25" s="356"/>
      <c r="G25" s="356"/>
    </row>
    <row r="26" spans="1:7" ht="15">
      <c r="A26" s="704">
        <v>362.1</v>
      </c>
      <c r="B26" s="378" t="s">
        <v>815</v>
      </c>
      <c r="C26" s="852">
        <v>0.04</v>
      </c>
      <c r="D26" s="43"/>
      <c r="E26" s="375"/>
      <c r="F26" s="356"/>
      <c r="G26" s="356"/>
    </row>
    <row r="27" spans="1:7" ht="15">
      <c r="A27" s="704">
        <v>362.1</v>
      </c>
      <c r="B27" s="378" t="s">
        <v>816</v>
      </c>
      <c r="C27" s="852">
        <v>0.1429</v>
      </c>
      <c r="D27" s="43"/>
      <c r="E27" s="375"/>
      <c r="F27" s="356"/>
      <c r="G27" s="356"/>
    </row>
    <row r="28" spans="1:7" ht="15">
      <c r="A28" s="704">
        <v>362.2</v>
      </c>
      <c r="B28" s="378" t="s">
        <v>817</v>
      </c>
      <c r="C28" s="852">
        <v>0.12</v>
      </c>
      <c r="D28" s="43"/>
      <c r="E28" s="375"/>
      <c r="F28" s="356"/>
      <c r="G28" s="356"/>
    </row>
    <row r="29" spans="1:7" ht="15">
      <c r="A29" s="704">
        <v>362.2</v>
      </c>
      <c r="B29" s="378" t="s">
        <v>818</v>
      </c>
      <c r="C29" s="852">
        <v>0.12</v>
      </c>
      <c r="D29" s="43"/>
      <c r="E29" s="375"/>
      <c r="F29" s="356"/>
      <c r="G29" s="356"/>
    </row>
    <row r="30" spans="1:7" ht="15">
      <c r="A30" s="704">
        <v>362.2</v>
      </c>
      <c r="B30" s="378" t="s">
        <v>819</v>
      </c>
      <c r="C30" s="852">
        <v>0.12</v>
      </c>
      <c r="D30" s="43"/>
      <c r="E30" s="375"/>
      <c r="F30" s="356"/>
      <c r="G30" s="356"/>
    </row>
    <row r="31" spans="1:7" ht="15">
      <c r="A31" s="704">
        <v>362.2</v>
      </c>
      <c r="B31" s="378" t="s">
        <v>820</v>
      </c>
      <c r="C31" s="852">
        <v>0.12</v>
      </c>
      <c r="D31" s="43"/>
      <c r="E31" s="375"/>
      <c r="F31" s="356"/>
      <c r="G31" s="356"/>
    </row>
    <row r="32" spans="1:7" ht="15">
      <c r="A32" s="373">
        <v>393</v>
      </c>
      <c r="B32" s="378" t="s">
        <v>821</v>
      </c>
      <c r="C32" s="852">
        <v>3.85E-2</v>
      </c>
      <c r="D32" s="681"/>
      <c r="E32" s="45"/>
      <c r="F32" s="356"/>
      <c r="G32" s="356"/>
    </row>
    <row r="33" spans="1:7" ht="15">
      <c r="A33" s="373">
        <v>394</v>
      </c>
      <c r="B33" s="378" t="s">
        <v>822</v>
      </c>
      <c r="C33" s="852">
        <v>3.6499999999999998E-2</v>
      </c>
      <c r="D33" s="681"/>
      <c r="E33" s="45"/>
      <c r="F33" s="356"/>
      <c r="G33" s="356"/>
    </row>
    <row r="34" spans="1:7" ht="15">
      <c r="A34" s="373">
        <v>395</v>
      </c>
      <c r="B34" s="378" t="s">
        <v>823</v>
      </c>
      <c r="C34" s="852">
        <v>0.04</v>
      </c>
      <c r="D34" s="681"/>
      <c r="E34" s="45"/>
      <c r="F34" s="356"/>
      <c r="G34" s="356"/>
    </row>
    <row r="35" spans="1:7" ht="15">
      <c r="A35" s="373">
        <v>396</v>
      </c>
      <c r="B35" s="378" t="s">
        <v>824</v>
      </c>
      <c r="C35" s="852">
        <v>0.05</v>
      </c>
      <c r="D35" s="681"/>
      <c r="E35" s="45"/>
      <c r="F35" s="356"/>
      <c r="G35" s="356"/>
    </row>
    <row r="36" spans="1:7" ht="15">
      <c r="A36" s="704">
        <v>362.7</v>
      </c>
      <c r="B36" s="371" t="s">
        <v>825</v>
      </c>
      <c r="C36" s="852">
        <v>0.05</v>
      </c>
      <c r="D36" s="681"/>
      <c r="E36" s="45"/>
      <c r="F36" s="356"/>
      <c r="G36" s="356"/>
    </row>
    <row r="37" spans="1:7" ht="15">
      <c r="A37" s="373">
        <v>398</v>
      </c>
      <c r="B37" s="378" t="s">
        <v>826</v>
      </c>
      <c r="C37" s="852">
        <v>6.25E-2</v>
      </c>
      <c r="D37" s="681"/>
      <c r="E37" s="45"/>
      <c r="F37" s="356"/>
      <c r="G37" s="356"/>
    </row>
    <row r="38" spans="1:7" ht="15">
      <c r="A38" s="371"/>
      <c r="B38" s="371"/>
      <c r="C38" s="371"/>
      <c r="D38" s="682"/>
      <c r="E38" s="379"/>
      <c r="F38" s="356"/>
      <c r="G38" s="356"/>
    </row>
    <row r="39" spans="1:7" ht="15">
      <c r="A39" s="380" t="s">
        <v>827</v>
      </c>
      <c r="B39" s="371"/>
      <c r="C39" s="371"/>
      <c r="D39" s="682"/>
      <c r="E39" s="371"/>
      <c r="F39" s="45"/>
      <c r="G39" s="45"/>
    </row>
    <row r="40" spans="1:7" ht="15">
      <c r="A40" s="371" t="s">
        <v>828</v>
      </c>
      <c r="B40" s="371"/>
      <c r="C40" s="371"/>
      <c r="D40" s="682"/>
      <c r="E40" s="371"/>
      <c r="F40" s="45"/>
      <c r="G40" s="45"/>
    </row>
    <row r="41" spans="1:7" ht="14.25">
      <c r="A41" s="362"/>
      <c r="B41" s="360"/>
      <c r="C41" s="361"/>
      <c r="D41" s="683"/>
      <c r="E41" s="363"/>
      <c r="F41" s="356"/>
      <c r="G41" s="356"/>
    </row>
    <row r="42" spans="1:7" ht="14.25">
      <c r="A42" s="362"/>
      <c r="B42" s="364"/>
      <c r="C42" s="360"/>
      <c r="D42" s="684"/>
      <c r="E42" s="363"/>
      <c r="F42" s="356"/>
      <c r="G42" s="356"/>
    </row>
    <row r="43" spans="1:7" ht="14.25">
      <c r="A43" s="903"/>
      <c r="B43" s="904"/>
      <c r="C43" s="904"/>
      <c r="D43" s="680"/>
      <c r="E43" s="356"/>
      <c r="F43" s="356"/>
      <c r="G43" s="356"/>
    </row>
    <row r="44" spans="1:7" ht="14.25">
      <c r="A44" s="365"/>
      <c r="B44" s="794"/>
      <c r="C44" s="366"/>
      <c r="D44" s="680"/>
      <c r="E44" s="356"/>
      <c r="F44" s="356"/>
      <c r="G44" s="356"/>
    </row>
  </sheetData>
  <mergeCells count="3">
    <mergeCell ref="A6:G6"/>
    <mergeCell ref="A7:G7"/>
    <mergeCell ref="A43:C43"/>
  </mergeCells>
  <phoneticPr fontId="189"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C11" activePane="bottomRight" state="frozen"/>
      <selection pane="topRight" activeCell="C1" sqref="C1"/>
      <selection pane="bottomLeft" activeCell="A11" sqref="A11"/>
      <selection pane="bottomRight" activeCell="E8" sqref="E8"/>
    </sheetView>
  </sheetViews>
  <sheetFormatPr defaultRowHeight="12.75"/>
  <cols>
    <col min="1" max="1" width="5.140625"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B2" s="785" t="s">
        <v>997</v>
      </c>
      <c r="I2" s="227" t="str">
        <f>+'Appendix A'!A3</f>
        <v>Dayton Power and Light</v>
      </c>
    </row>
    <row r="3" spans="1:26" ht="20.25">
      <c r="I3" s="227" t="str">
        <f>+'Appendix A'!A4</f>
        <v xml:space="preserve">ATTACHMENT H-15A </v>
      </c>
      <c r="P3" s="628"/>
    </row>
    <row r="4" spans="1:26" ht="30" customHeight="1">
      <c r="B4" s="906"/>
      <c r="C4" s="906"/>
      <c r="I4" s="227" t="s">
        <v>1007</v>
      </c>
    </row>
    <row r="5" spans="1:26" ht="20.25">
      <c r="I5" s="227" t="s">
        <v>829</v>
      </c>
    </row>
    <row r="6" spans="1:26" ht="20.25">
      <c r="A6" s="71" t="s">
        <v>409</v>
      </c>
      <c r="I6" s="227"/>
    </row>
    <row r="7" spans="1:26">
      <c r="A7" s="400"/>
      <c r="B7" s="793" t="s">
        <v>830</v>
      </c>
      <c r="C7" s="793" t="s">
        <v>831</v>
      </c>
      <c r="D7" s="793" t="s">
        <v>832</v>
      </c>
      <c r="E7" s="793" t="s">
        <v>833</v>
      </c>
      <c r="F7" s="793" t="s">
        <v>834</v>
      </c>
      <c r="G7" s="793" t="s">
        <v>835</v>
      </c>
      <c r="H7" s="793" t="s">
        <v>836</v>
      </c>
      <c r="I7" s="793" t="s">
        <v>837</v>
      </c>
      <c r="J7" s="793" t="s">
        <v>838</v>
      </c>
      <c r="K7" s="793" t="s">
        <v>839</v>
      </c>
      <c r="L7" s="793" t="s">
        <v>840</v>
      </c>
      <c r="M7" s="793" t="s">
        <v>841</v>
      </c>
      <c r="N7" s="793" t="s">
        <v>842</v>
      </c>
      <c r="O7" s="793" t="s">
        <v>843</v>
      </c>
      <c r="P7" s="793" t="s">
        <v>844</v>
      </c>
      <c r="Q7" s="793" t="s">
        <v>845</v>
      </c>
      <c r="R7" s="793" t="s">
        <v>846</v>
      </c>
      <c r="S7" s="793" t="s">
        <v>847</v>
      </c>
      <c r="T7" s="793" t="s">
        <v>848</v>
      </c>
      <c r="U7" s="793" t="s">
        <v>849</v>
      </c>
      <c r="V7" s="793" t="s">
        <v>850</v>
      </c>
      <c r="W7" s="793" t="s">
        <v>851</v>
      </c>
      <c r="X7" s="793" t="s">
        <v>852</v>
      </c>
      <c r="Y7" s="793" t="s">
        <v>853</v>
      </c>
      <c r="Z7" s="793" t="s">
        <v>854</v>
      </c>
    </row>
    <row r="8" spans="1:26" ht="90">
      <c r="A8" s="52" t="s">
        <v>855</v>
      </c>
      <c r="B8" s="52" t="s">
        <v>799</v>
      </c>
      <c r="C8" s="443" t="s">
        <v>856</v>
      </c>
      <c r="D8" s="443" t="s">
        <v>857</v>
      </c>
      <c r="E8" s="443" t="s">
        <v>858</v>
      </c>
      <c r="F8" s="443" t="s">
        <v>859</v>
      </c>
      <c r="G8" s="443" t="s">
        <v>860</v>
      </c>
      <c r="H8" s="443" t="s">
        <v>861</v>
      </c>
      <c r="I8" s="443" t="s">
        <v>862</v>
      </c>
      <c r="J8" s="443" t="s">
        <v>863</v>
      </c>
      <c r="K8" s="443" t="s">
        <v>864</v>
      </c>
      <c r="L8" s="443" t="s">
        <v>865</v>
      </c>
      <c r="M8" s="443" t="s">
        <v>866</v>
      </c>
      <c r="N8" s="443" t="s">
        <v>867</v>
      </c>
      <c r="O8" s="443" t="s">
        <v>868</v>
      </c>
      <c r="P8" s="443" t="s">
        <v>869</v>
      </c>
      <c r="Q8" s="443" t="s">
        <v>870</v>
      </c>
      <c r="R8" s="443" t="s">
        <v>871</v>
      </c>
      <c r="S8" s="443" t="s">
        <v>872</v>
      </c>
      <c r="T8" s="443" t="s">
        <v>873</v>
      </c>
      <c r="U8" s="443" t="s">
        <v>874</v>
      </c>
      <c r="V8" s="443" t="s">
        <v>875</v>
      </c>
      <c r="W8" s="443" t="s">
        <v>876</v>
      </c>
      <c r="X8" s="443" t="s">
        <v>877</v>
      </c>
      <c r="Y8" s="443" t="s">
        <v>878</v>
      </c>
      <c r="Z8" s="443" t="s">
        <v>879</v>
      </c>
    </row>
    <row r="9" spans="1:26" ht="31.5">
      <c r="A9" s="45"/>
      <c r="B9" s="401" t="s">
        <v>880</v>
      </c>
      <c r="C9" s="58"/>
      <c r="D9" s="58"/>
      <c r="E9" s="689"/>
      <c r="F9" s="689"/>
      <c r="G9" s="689"/>
      <c r="H9" s="689"/>
      <c r="I9" s="689"/>
      <c r="J9" s="689"/>
      <c r="K9" s="689"/>
      <c r="L9" s="689"/>
      <c r="M9" s="689"/>
      <c r="N9" s="689"/>
      <c r="O9" s="689"/>
      <c r="P9" s="689"/>
      <c r="Q9" s="689"/>
      <c r="R9" s="689"/>
      <c r="S9" s="689"/>
      <c r="T9" s="689"/>
      <c r="U9" s="689"/>
      <c r="V9" s="689"/>
      <c r="W9" s="689"/>
      <c r="X9" s="689"/>
      <c r="Y9" s="689"/>
      <c r="Z9" s="689"/>
    </row>
    <row r="10" spans="1:26" ht="15">
      <c r="A10" s="45"/>
      <c r="B10" s="45"/>
      <c r="C10" s="45"/>
      <c r="D10" s="45"/>
      <c r="E10" s="689"/>
      <c r="F10" s="689"/>
      <c r="G10" s="689"/>
      <c r="H10" s="689"/>
      <c r="I10" s="689"/>
      <c r="J10" s="689"/>
      <c r="K10" s="689"/>
      <c r="L10" s="689"/>
      <c r="M10" s="689"/>
      <c r="N10" s="689"/>
      <c r="O10" s="689"/>
      <c r="P10" s="689"/>
      <c r="Q10" s="689"/>
      <c r="R10" s="689"/>
      <c r="S10" s="689"/>
      <c r="T10" s="689"/>
      <c r="U10" s="689"/>
      <c r="V10" s="689"/>
      <c r="W10" s="689"/>
      <c r="X10" s="689"/>
      <c r="Y10" s="689"/>
      <c r="Z10" s="689"/>
    </row>
    <row r="11" spans="1:26" ht="15">
      <c r="A11" s="45"/>
      <c r="B11" s="45" t="s">
        <v>881</v>
      </c>
      <c r="C11" s="45"/>
      <c r="D11" s="45"/>
      <c r="E11" s="689"/>
      <c r="F11" s="689"/>
      <c r="G11" s="689"/>
      <c r="H11" s="689"/>
      <c r="I11" s="689"/>
      <c r="J11" s="689"/>
      <c r="K11" s="689"/>
      <c r="L11" s="689"/>
      <c r="M11" s="689"/>
      <c r="N11" s="689"/>
      <c r="O11" s="689"/>
      <c r="P11" s="689"/>
      <c r="Q11" s="689"/>
      <c r="R11" s="689"/>
      <c r="S11" s="689"/>
      <c r="T11" s="689"/>
      <c r="U11" s="689"/>
      <c r="V11" s="689"/>
      <c r="W11" s="689"/>
      <c r="X11" s="689"/>
      <c r="Y11" s="689"/>
      <c r="Z11" s="689"/>
    </row>
    <row r="12" spans="1:26" ht="15">
      <c r="A12" s="45">
        <v>1</v>
      </c>
      <c r="B12" s="728" t="s">
        <v>882</v>
      </c>
      <c r="C12" s="686">
        <v>639062.5</v>
      </c>
      <c r="D12" s="637">
        <f>+C12*$I$80</f>
        <v>383437.5</v>
      </c>
      <c r="E12" s="637">
        <f>+C12-D12</f>
        <v>255625</v>
      </c>
      <c r="F12" s="686">
        <v>0</v>
      </c>
      <c r="G12" s="637">
        <v>255625</v>
      </c>
      <c r="H12" s="36">
        <v>0.14549999999999999</v>
      </c>
      <c r="I12" s="637">
        <f>+G12*H12</f>
        <v>37193.4375</v>
      </c>
      <c r="J12" s="729" t="s">
        <v>883</v>
      </c>
      <c r="K12" s="637">
        <v>0</v>
      </c>
      <c r="L12" s="637">
        <f>+I12-K12</f>
        <v>37193.4375</v>
      </c>
      <c r="M12" s="637">
        <f>+I12/10</f>
        <v>3719.34375</v>
      </c>
      <c r="N12" s="637">
        <f>+L12-M12</f>
        <v>33474.09375</v>
      </c>
      <c r="O12" s="637">
        <f>+I12/10</f>
        <v>3719.34375</v>
      </c>
      <c r="P12" s="637">
        <f>+N12-O12</f>
        <v>29754.75</v>
      </c>
      <c r="Q12" s="637">
        <f>+P12/5</f>
        <v>5950.95</v>
      </c>
      <c r="R12" s="637">
        <f>+P12-Q12</f>
        <v>23803.8</v>
      </c>
      <c r="S12" s="637">
        <f>+$P12/5</f>
        <v>5950.95</v>
      </c>
      <c r="T12" s="637">
        <f>+R12-S12</f>
        <v>17852.849999999999</v>
      </c>
      <c r="U12" s="637">
        <f>+$P12/5</f>
        <v>5950.95</v>
      </c>
      <c r="V12" s="637">
        <f>+T12-U12</f>
        <v>11901.899999999998</v>
      </c>
      <c r="W12" s="637">
        <f>+$P12/5</f>
        <v>5950.95</v>
      </c>
      <c r="X12" s="637">
        <f>+V12-W12</f>
        <v>5950.949999999998</v>
      </c>
      <c r="Y12" s="637">
        <f>+$P12/5</f>
        <v>5950.95</v>
      </c>
      <c r="Z12" s="637">
        <f>+X12-Y12</f>
        <v>0</v>
      </c>
    </row>
    <row r="13" spans="1:26" ht="15">
      <c r="A13" s="45">
        <f>+A12+1</f>
        <v>2</v>
      </c>
      <c r="B13" s="728" t="s">
        <v>884</v>
      </c>
      <c r="C13" s="687">
        <v>4709475</v>
      </c>
      <c r="D13" s="637">
        <f t="shared" ref="D13:D23" si="0">+C13*$I$80</f>
        <v>2825685</v>
      </c>
      <c r="E13" s="637">
        <f t="shared" ref="E13:E23" si="1">+C13-D13</f>
        <v>1883790</v>
      </c>
      <c r="F13" s="687">
        <v>0</v>
      </c>
      <c r="G13" s="638">
        <v>1883790</v>
      </c>
      <c r="H13" s="36">
        <v>0.14549999999999999</v>
      </c>
      <c r="I13" s="637">
        <f t="shared" ref="I13:I22" si="2">+G13*H13</f>
        <v>274091.44500000001</v>
      </c>
      <c r="J13" s="730" t="s">
        <v>883</v>
      </c>
      <c r="K13" s="638">
        <v>0</v>
      </c>
      <c r="L13" s="343">
        <f t="shared" ref="L13:L23" si="3">+I13-K13</f>
        <v>274091.44500000001</v>
      </c>
      <c r="M13" s="637">
        <f t="shared" ref="M13:M23" si="4">+I13/10</f>
        <v>27409.144500000002</v>
      </c>
      <c r="N13" s="343">
        <f t="shared" ref="N13:N23" si="5">+L13-M13</f>
        <v>246682.30050000001</v>
      </c>
      <c r="O13" s="637">
        <f t="shared" ref="O13:O23" si="6">+I13/10</f>
        <v>27409.144500000002</v>
      </c>
      <c r="P13" s="343">
        <f t="shared" ref="P13:P23" si="7">+N13-O13</f>
        <v>219273.15600000002</v>
      </c>
      <c r="Q13" s="637">
        <f>+P13/5</f>
        <v>43854.631200000003</v>
      </c>
      <c r="R13" s="343">
        <f t="shared" ref="R13:R23" si="8">+P13-Q13</f>
        <v>175418.52480000001</v>
      </c>
      <c r="S13" s="637">
        <f t="shared" ref="S13:Y23" si="9">+$P13/5</f>
        <v>43854.631200000003</v>
      </c>
      <c r="T13" s="343">
        <f t="shared" ref="T13:T23" si="10">+R13-S13</f>
        <v>131563.89360000001</v>
      </c>
      <c r="U13" s="637">
        <f t="shared" si="9"/>
        <v>43854.631200000003</v>
      </c>
      <c r="V13" s="343">
        <f t="shared" ref="V13:V23" si="11">+T13-U13</f>
        <v>87709.262400000007</v>
      </c>
      <c r="W13" s="637">
        <f t="shared" si="9"/>
        <v>43854.631200000003</v>
      </c>
      <c r="X13" s="343">
        <f t="shared" ref="X13:X23" si="12">+V13-W13</f>
        <v>43854.631200000003</v>
      </c>
      <c r="Y13" s="637">
        <f t="shared" si="9"/>
        <v>43854.631200000003</v>
      </c>
      <c r="Z13" s="343">
        <f t="shared" ref="Z13:Z23" si="13">+X13-Y13</f>
        <v>0</v>
      </c>
    </row>
    <row r="14" spans="1:26" ht="15">
      <c r="A14" s="45">
        <f t="shared" ref="A14:A23" si="14">+A13+1</f>
        <v>3</v>
      </c>
      <c r="B14" s="728" t="s">
        <v>885</v>
      </c>
      <c r="C14" s="687">
        <v>936285</v>
      </c>
      <c r="D14" s="637">
        <f t="shared" si="0"/>
        <v>561771</v>
      </c>
      <c r="E14" s="637">
        <f t="shared" si="1"/>
        <v>374514</v>
      </c>
      <c r="F14" s="687">
        <v>0</v>
      </c>
      <c r="G14" s="638">
        <v>374514</v>
      </c>
      <c r="H14" s="36">
        <v>0.14549999999999999</v>
      </c>
      <c r="I14" s="637">
        <f t="shared" si="2"/>
        <v>54491.786999999997</v>
      </c>
      <c r="J14" s="729" t="s">
        <v>883</v>
      </c>
      <c r="K14" s="638">
        <v>0</v>
      </c>
      <c r="L14" s="343">
        <f t="shared" si="3"/>
        <v>54491.786999999997</v>
      </c>
      <c r="M14" s="637">
        <f t="shared" si="4"/>
        <v>5449.1786999999995</v>
      </c>
      <c r="N14" s="343">
        <f t="shared" si="5"/>
        <v>49042.6083</v>
      </c>
      <c r="O14" s="637">
        <f t="shared" si="6"/>
        <v>5449.1786999999995</v>
      </c>
      <c r="P14" s="343">
        <f t="shared" si="7"/>
        <v>43593.429600000003</v>
      </c>
      <c r="Q14" s="637">
        <f t="shared" ref="Q14:Q23" si="15">+P14/5</f>
        <v>8718.6859199999999</v>
      </c>
      <c r="R14" s="343">
        <f t="shared" si="8"/>
        <v>34874.74368</v>
      </c>
      <c r="S14" s="637">
        <f t="shared" si="9"/>
        <v>8718.6859199999999</v>
      </c>
      <c r="T14" s="343">
        <f t="shared" si="10"/>
        <v>26156.05776</v>
      </c>
      <c r="U14" s="637">
        <f t="shared" si="9"/>
        <v>8718.6859199999999</v>
      </c>
      <c r="V14" s="343">
        <f t="shared" si="11"/>
        <v>17437.37184</v>
      </c>
      <c r="W14" s="637">
        <f t="shared" si="9"/>
        <v>8718.6859199999999</v>
      </c>
      <c r="X14" s="343">
        <f t="shared" si="12"/>
        <v>8718.6859199999999</v>
      </c>
      <c r="Y14" s="637">
        <f t="shared" si="9"/>
        <v>8718.6859199999999</v>
      </c>
      <c r="Z14" s="343">
        <f t="shared" si="13"/>
        <v>0</v>
      </c>
    </row>
    <row r="15" spans="1:26" ht="15">
      <c r="A15" s="45">
        <f t="shared" si="14"/>
        <v>4</v>
      </c>
      <c r="B15" s="728" t="s">
        <v>886</v>
      </c>
      <c r="C15" s="687">
        <v>-1766545</v>
      </c>
      <c r="D15" s="637">
        <f t="shared" si="0"/>
        <v>-1059927</v>
      </c>
      <c r="E15" s="637">
        <f t="shared" si="1"/>
        <v>-706618</v>
      </c>
      <c r="F15" s="687">
        <v>0</v>
      </c>
      <c r="G15" s="638">
        <v>-706618</v>
      </c>
      <c r="H15" s="36">
        <v>0.14549999999999999</v>
      </c>
      <c r="I15" s="637">
        <f t="shared" si="2"/>
        <v>-102812.91899999999</v>
      </c>
      <c r="J15" s="730" t="s">
        <v>883</v>
      </c>
      <c r="K15" s="638">
        <v>0</v>
      </c>
      <c r="L15" s="343">
        <f t="shared" si="3"/>
        <v>-102812.91899999999</v>
      </c>
      <c r="M15" s="637">
        <f t="shared" si="4"/>
        <v>-10281.2919</v>
      </c>
      <c r="N15" s="343">
        <f t="shared" si="5"/>
        <v>-92531.627099999998</v>
      </c>
      <c r="O15" s="637">
        <f t="shared" si="6"/>
        <v>-10281.2919</v>
      </c>
      <c r="P15" s="343">
        <f t="shared" si="7"/>
        <v>-82250.335200000001</v>
      </c>
      <c r="Q15" s="637">
        <f t="shared" si="15"/>
        <v>-16450.067040000002</v>
      </c>
      <c r="R15" s="343">
        <f t="shared" si="8"/>
        <v>-65800.268160000007</v>
      </c>
      <c r="S15" s="637">
        <f t="shared" si="9"/>
        <v>-16450.067040000002</v>
      </c>
      <c r="T15" s="343">
        <f t="shared" si="10"/>
        <v>-49350.201120000005</v>
      </c>
      <c r="U15" s="637">
        <f t="shared" si="9"/>
        <v>-16450.067040000002</v>
      </c>
      <c r="V15" s="343">
        <f t="shared" si="11"/>
        <v>-32900.134080000003</v>
      </c>
      <c r="W15" s="637">
        <f t="shared" si="9"/>
        <v>-16450.067040000002</v>
      </c>
      <c r="X15" s="343">
        <f t="shared" si="12"/>
        <v>-16450.067040000002</v>
      </c>
      <c r="Y15" s="637">
        <f t="shared" si="9"/>
        <v>-16450.067040000002</v>
      </c>
      <c r="Z15" s="343">
        <f t="shared" si="13"/>
        <v>0</v>
      </c>
    </row>
    <row r="16" spans="1:26" ht="15">
      <c r="A16" s="45">
        <f t="shared" si="14"/>
        <v>5</v>
      </c>
      <c r="B16" s="728" t="s">
        <v>887</v>
      </c>
      <c r="C16" s="687">
        <v>1458445</v>
      </c>
      <c r="D16" s="637">
        <f t="shared" si="0"/>
        <v>875067</v>
      </c>
      <c r="E16" s="637">
        <f t="shared" si="1"/>
        <v>583378</v>
      </c>
      <c r="F16" s="687">
        <v>0</v>
      </c>
      <c r="G16" s="638">
        <v>583378</v>
      </c>
      <c r="H16" s="36">
        <v>0.14549999999999999</v>
      </c>
      <c r="I16" s="637">
        <f t="shared" si="2"/>
        <v>84881.498999999996</v>
      </c>
      <c r="J16" s="729" t="s">
        <v>883</v>
      </c>
      <c r="K16" s="638">
        <v>0</v>
      </c>
      <c r="L16" s="343">
        <f t="shared" si="3"/>
        <v>84881.498999999996</v>
      </c>
      <c r="M16" s="637">
        <f t="shared" si="4"/>
        <v>8488.1499000000003</v>
      </c>
      <c r="N16" s="343">
        <f t="shared" si="5"/>
        <v>76393.349099999992</v>
      </c>
      <c r="O16" s="637">
        <f t="shared" si="6"/>
        <v>8488.1499000000003</v>
      </c>
      <c r="P16" s="343">
        <f t="shared" si="7"/>
        <v>67905.199199999988</v>
      </c>
      <c r="Q16" s="637">
        <f t="shared" si="15"/>
        <v>13581.039839999998</v>
      </c>
      <c r="R16" s="343">
        <f t="shared" si="8"/>
        <v>54324.159359999991</v>
      </c>
      <c r="S16" s="637">
        <f t="shared" si="9"/>
        <v>13581.039839999998</v>
      </c>
      <c r="T16" s="343">
        <f t="shared" si="10"/>
        <v>40743.119519999993</v>
      </c>
      <c r="U16" s="637">
        <f t="shared" si="9"/>
        <v>13581.039839999998</v>
      </c>
      <c r="V16" s="343">
        <f t="shared" si="11"/>
        <v>27162.079679999995</v>
      </c>
      <c r="W16" s="637">
        <f t="shared" si="9"/>
        <v>13581.039839999998</v>
      </c>
      <c r="X16" s="343">
        <f t="shared" si="12"/>
        <v>13581.039839999998</v>
      </c>
      <c r="Y16" s="637">
        <f t="shared" si="9"/>
        <v>13581.039839999998</v>
      </c>
      <c r="Z16" s="343">
        <f t="shared" si="13"/>
        <v>0</v>
      </c>
    </row>
    <row r="17" spans="1:26" ht="15">
      <c r="A17" s="45">
        <f t="shared" si="14"/>
        <v>6</v>
      </c>
      <c r="B17" s="728" t="s">
        <v>888</v>
      </c>
      <c r="C17" s="687">
        <v>937980</v>
      </c>
      <c r="D17" s="637">
        <f t="shared" si="0"/>
        <v>562788</v>
      </c>
      <c r="E17" s="637">
        <f t="shared" si="1"/>
        <v>375192</v>
      </c>
      <c r="F17" s="687">
        <v>0</v>
      </c>
      <c r="G17" s="638">
        <v>375192</v>
      </c>
      <c r="H17" s="36">
        <v>0.14549999999999999</v>
      </c>
      <c r="I17" s="637">
        <f t="shared" si="2"/>
        <v>54590.435999999994</v>
      </c>
      <c r="J17" s="730" t="s">
        <v>883</v>
      </c>
      <c r="K17" s="638">
        <v>0</v>
      </c>
      <c r="L17" s="343">
        <f t="shared" si="3"/>
        <v>54590.435999999994</v>
      </c>
      <c r="M17" s="637">
        <f t="shared" si="4"/>
        <v>5459.0435999999991</v>
      </c>
      <c r="N17" s="343">
        <f t="shared" si="5"/>
        <v>49131.392399999997</v>
      </c>
      <c r="O17" s="637">
        <f t="shared" si="6"/>
        <v>5459.0435999999991</v>
      </c>
      <c r="P17" s="343">
        <f t="shared" si="7"/>
        <v>43672.3488</v>
      </c>
      <c r="Q17" s="637">
        <f t="shared" si="15"/>
        <v>8734.46976</v>
      </c>
      <c r="R17" s="343">
        <f t="shared" si="8"/>
        <v>34937.87904</v>
      </c>
      <c r="S17" s="637">
        <f t="shared" si="9"/>
        <v>8734.46976</v>
      </c>
      <c r="T17" s="343">
        <f t="shared" si="10"/>
        <v>26203.40928</v>
      </c>
      <c r="U17" s="637">
        <f t="shared" si="9"/>
        <v>8734.46976</v>
      </c>
      <c r="V17" s="343">
        <f t="shared" si="11"/>
        <v>17468.93952</v>
      </c>
      <c r="W17" s="637">
        <f t="shared" si="9"/>
        <v>8734.46976</v>
      </c>
      <c r="X17" s="343">
        <f t="shared" si="12"/>
        <v>8734.46976</v>
      </c>
      <c r="Y17" s="637">
        <f t="shared" si="9"/>
        <v>8734.46976</v>
      </c>
      <c r="Z17" s="343">
        <f t="shared" si="13"/>
        <v>0</v>
      </c>
    </row>
    <row r="18" spans="1:26" ht="15">
      <c r="A18" s="45">
        <f t="shared" si="14"/>
        <v>7</v>
      </c>
      <c r="B18" s="728" t="s">
        <v>889</v>
      </c>
      <c r="C18" s="687">
        <v>1166550</v>
      </c>
      <c r="D18" s="637">
        <f t="shared" si="0"/>
        <v>699930</v>
      </c>
      <c r="E18" s="637">
        <f t="shared" si="1"/>
        <v>466620</v>
      </c>
      <c r="F18" s="687">
        <v>0</v>
      </c>
      <c r="G18" s="638">
        <v>466620</v>
      </c>
      <c r="H18" s="36">
        <v>0.14549999999999999</v>
      </c>
      <c r="I18" s="637">
        <f t="shared" si="2"/>
        <v>67893.209999999992</v>
      </c>
      <c r="J18" s="729" t="s">
        <v>883</v>
      </c>
      <c r="K18" s="638">
        <v>0</v>
      </c>
      <c r="L18" s="343">
        <f t="shared" si="3"/>
        <v>67893.209999999992</v>
      </c>
      <c r="M18" s="637">
        <f t="shared" si="4"/>
        <v>6789.320999999999</v>
      </c>
      <c r="N18" s="343">
        <f t="shared" si="5"/>
        <v>61103.888999999996</v>
      </c>
      <c r="O18" s="637">
        <f t="shared" si="6"/>
        <v>6789.320999999999</v>
      </c>
      <c r="P18" s="343">
        <f t="shared" si="7"/>
        <v>54314.567999999999</v>
      </c>
      <c r="Q18" s="637">
        <f t="shared" si="15"/>
        <v>10862.9136</v>
      </c>
      <c r="R18" s="343">
        <f t="shared" si="8"/>
        <v>43451.654399999999</v>
      </c>
      <c r="S18" s="637">
        <f t="shared" si="9"/>
        <v>10862.9136</v>
      </c>
      <c r="T18" s="343">
        <f t="shared" si="10"/>
        <v>32588.7408</v>
      </c>
      <c r="U18" s="637">
        <f t="shared" si="9"/>
        <v>10862.9136</v>
      </c>
      <c r="V18" s="343">
        <f t="shared" si="11"/>
        <v>21725.8272</v>
      </c>
      <c r="W18" s="637">
        <f t="shared" si="9"/>
        <v>10862.9136</v>
      </c>
      <c r="X18" s="343">
        <f t="shared" si="12"/>
        <v>10862.9136</v>
      </c>
      <c r="Y18" s="637">
        <f t="shared" si="9"/>
        <v>10862.9136</v>
      </c>
      <c r="Z18" s="343">
        <f t="shared" si="13"/>
        <v>0</v>
      </c>
    </row>
    <row r="19" spans="1:26" ht="15">
      <c r="A19" s="45">
        <f t="shared" si="14"/>
        <v>8</v>
      </c>
      <c r="B19" s="728" t="s">
        <v>890</v>
      </c>
      <c r="C19" s="687">
        <v>369007.5</v>
      </c>
      <c r="D19" s="637">
        <f t="shared" si="0"/>
        <v>221404.5</v>
      </c>
      <c r="E19" s="637">
        <f t="shared" si="1"/>
        <v>147603</v>
      </c>
      <c r="F19" s="687">
        <v>0</v>
      </c>
      <c r="G19" s="638">
        <v>147603</v>
      </c>
      <c r="H19" s="36">
        <v>0.14180000000000001</v>
      </c>
      <c r="I19" s="637">
        <f t="shared" si="2"/>
        <v>20930.1054</v>
      </c>
      <c r="J19" s="730" t="s">
        <v>883</v>
      </c>
      <c r="K19" s="638">
        <v>0</v>
      </c>
      <c r="L19" s="343">
        <f t="shared" si="3"/>
        <v>20930.1054</v>
      </c>
      <c r="M19" s="637">
        <f t="shared" si="4"/>
        <v>2093.0105400000002</v>
      </c>
      <c r="N19" s="343">
        <f t="shared" si="5"/>
        <v>18837.094860000001</v>
      </c>
      <c r="O19" s="637">
        <f t="shared" si="6"/>
        <v>2093.0105400000002</v>
      </c>
      <c r="P19" s="343">
        <f t="shared" si="7"/>
        <v>16744.084320000002</v>
      </c>
      <c r="Q19" s="637">
        <f t="shared" si="15"/>
        <v>3348.8168640000004</v>
      </c>
      <c r="R19" s="343">
        <f t="shared" si="8"/>
        <v>13395.267456000001</v>
      </c>
      <c r="S19" s="637">
        <f t="shared" si="9"/>
        <v>3348.8168640000004</v>
      </c>
      <c r="T19" s="343">
        <f t="shared" si="10"/>
        <v>10046.450592000001</v>
      </c>
      <c r="U19" s="637">
        <f t="shared" si="9"/>
        <v>3348.8168640000004</v>
      </c>
      <c r="V19" s="343">
        <f t="shared" si="11"/>
        <v>6697.6337280000007</v>
      </c>
      <c r="W19" s="637">
        <f t="shared" si="9"/>
        <v>3348.8168640000004</v>
      </c>
      <c r="X19" s="343">
        <f t="shared" si="12"/>
        <v>3348.8168640000004</v>
      </c>
      <c r="Y19" s="637">
        <f t="shared" si="9"/>
        <v>3348.8168640000004</v>
      </c>
      <c r="Z19" s="343">
        <f t="shared" si="13"/>
        <v>0</v>
      </c>
    </row>
    <row r="20" spans="1:26" ht="15">
      <c r="A20" s="45">
        <f t="shared" si="14"/>
        <v>9</v>
      </c>
      <c r="B20" s="728" t="s">
        <v>891</v>
      </c>
      <c r="C20" s="687">
        <v>0</v>
      </c>
      <c r="D20" s="637">
        <f t="shared" si="0"/>
        <v>0</v>
      </c>
      <c r="E20" s="637">
        <f t="shared" si="1"/>
        <v>0</v>
      </c>
      <c r="F20" s="687">
        <v>0</v>
      </c>
      <c r="G20" s="638">
        <v>0</v>
      </c>
      <c r="H20" s="36">
        <v>0</v>
      </c>
      <c r="I20" s="637">
        <f t="shared" si="2"/>
        <v>0</v>
      </c>
      <c r="J20" s="729" t="s">
        <v>883</v>
      </c>
      <c r="K20" s="638">
        <v>0</v>
      </c>
      <c r="L20" s="343">
        <f t="shared" si="3"/>
        <v>0</v>
      </c>
      <c r="M20" s="637">
        <f t="shared" si="4"/>
        <v>0</v>
      </c>
      <c r="N20" s="343">
        <f t="shared" si="5"/>
        <v>0</v>
      </c>
      <c r="O20" s="637">
        <f t="shared" si="6"/>
        <v>0</v>
      </c>
      <c r="P20" s="343">
        <f t="shared" si="7"/>
        <v>0</v>
      </c>
      <c r="Q20" s="637">
        <f t="shared" si="15"/>
        <v>0</v>
      </c>
      <c r="R20" s="343">
        <f t="shared" si="8"/>
        <v>0</v>
      </c>
      <c r="S20" s="637">
        <f t="shared" si="9"/>
        <v>0</v>
      </c>
      <c r="T20" s="343">
        <f t="shared" si="10"/>
        <v>0</v>
      </c>
      <c r="U20" s="637">
        <f t="shared" si="9"/>
        <v>0</v>
      </c>
      <c r="V20" s="343">
        <f t="shared" si="11"/>
        <v>0</v>
      </c>
      <c r="W20" s="637">
        <f t="shared" si="9"/>
        <v>0</v>
      </c>
      <c r="X20" s="343">
        <f t="shared" si="12"/>
        <v>0</v>
      </c>
      <c r="Y20" s="637">
        <f t="shared" si="9"/>
        <v>0</v>
      </c>
      <c r="Z20" s="343">
        <f t="shared" si="13"/>
        <v>0</v>
      </c>
    </row>
    <row r="21" spans="1:26" ht="17.45" customHeight="1">
      <c r="A21" s="45">
        <f t="shared" si="14"/>
        <v>10</v>
      </c>
      <c r="B21" s="728" t="s">
        <v>892</v>
      </c>
      <c r="C21" s="687">
        <v>1288335</v>
      </c>
      <c r="D21" s="637">
        <f t="shared" si="0"/>
        <v>773001</v>
      </c>
      <c r="E21" s="637">
        <f t="shared" si="1"/>
        <v>515334</v>
      </c>
      <c r="F21" s="687">
        <v>0</v>
      </c>
      <c r="G21" s="638">
        <v>515334</v>
      </c>
      <c r="H21" s="36">
        <v>0</v>
      </c>
      <c r="I21" s="637">
        <f t="shared" si="2"/>
        <v>0</v>
      </c>
      <c r="J21" s="730" t="s">
        <v>883</v>
      </c>
      <c r="K21" s="638">
        <v>0</v>
      </c>
      <c r="L21" s="343">
        <f t="shared" si="3"/>
        <v>0</v>
      </c>
      <c r="M21" s="637">
        <f t="shared" si="4"/>
        <v>0</v>
      </c>
      <c r="N21" s="343">
        <f t="shared" si="5"/>
        <v>0</v>
      </c>
      <c r="O21" s="637">
        <f t="shared" si="6"/>
        <v>0</v>
      </c>
      <c r="P21" s="343">
        <f t="shared" si="7"/>
        <v>0</v>
      </c>
      <c r="Q21" s="637">
        <f t="shared" si="15"/>
        <v>0</v>
      </c>
      <c r="R21" s="343">
        <f t="shared" si="8"/>
        <v>0</v>
      </c>
      <c r="S21" s="637">
        <f t="shared" si="9"/>
        <v>0</v>
      </c>
      <c r="T21" s="343">
        <f t="shared" si="10"/>
        <v>0</v>
      </c>
      <c r="U21" s="637">
        <f t="shared" si="9"/>
        <v>0</v>
      </c>
      <c r="V21" s="343">
        <f t="shared" si="11"/>
        <v>0</v>
      </c>
      <c r="W21" s="637">
        <f t="shared" si="9"/>
        <v>0</v>
      </c>
      <c r="X21" s="343">
        <f t="shared" si="12"/>
        <v>0</v>
      </c>
      <c r="Y21" s="637">
        <f t="shared" si="9"/>
        <v>0</v>
      </c>
      <c r="Z21" s="343">
        <f t="shared" si="13"/>
        <v>0</v>
      </c>
    </row>
    <row r="22" spans="1:26" ht="15">
      <c r="A22" s="45">
        <f t="shared" si="14"/>
        <v>11</v>
      </c>
      <c r="B22" s="728" t="s">
        <v>893</v>
      </c>
      <c r="C22" s="687">
        <v>-224000</v>
      </c>
      <c r="D22" s="637">
        <f t="shared" si="0"/>
        <v>-134400</v>
      </c>
      <c r="E22" s="637">
        <f t="shared" si="1"/>
        <v>-89600</v>
      </c>
      <c r="F22" s="687">
        <v>0</v>
      </c>
      <c r="G22" s="638">
        <v>-89600</v>
      </c>
      <c r="H22" s="36">
        <v>0.14549999999999999</v>
      </c>
      <c r="I22" s="637">
        <f t="shared" si="2"/>
        <v>-13036.8</v>
      </c>
      <c r="J22" s="729" t="s">
        <v>883</v>
      </c>
      <c r="K22" s="638">
        <v>0</v>
      </c>
      <c r="L22" s="343">
        <f t="shared" si="3"/>
        <v>-13036.8</v>
      </c>
      <c r="M22" s="637">
        <f t="shared" si="4"/>
        <v>-1303.6799999999998</v>
      </c>
      <c r="N22" s="343">
        <f t="shared" si="5"/>
        <v>-11733.119999999999</v>
      </c>
      <c r="O22" s="637">
        <f t="shared" si="6"/>
        <v>-1303.6799999999998</v>
      </c>
      <c r="P22" s="343">
        <f t="shared" si="7"/>
        <v>-10429.439999999999</v>
      </c>
      <c r="Q22" s="637">
        <f t="shared" si="15"/>
        <v>-2085.8879999999999</v>
      </c>
      <c r="R22" s="343">
        <f t="shared" si="8"/>
        <v>-8343.5519999999997</v>
      </c>
      <c r="S22" s="637">
        <f t="shared" si="9"/>
        <v>-2085.8879999999999</v>
      </c>
      <c r="T22" s="343">
        <f t="shared" si="10"/>
        <v>-6257.6639999999998</v>
      </c>
      <c r="U22" s="637">
        <f t="shared" si="9"/>
        <v>-2085.8879999999999</v>
      </c>
      <c r="V22" s="343">
        <f t="shared" si="11"/>
        <v>-4171.7759999999998</v>
      </c>
      <c r="W22" s="637">
        <f t="shared" si="9"/>
        <v>-2085.8879999999999</v>
      </c>
      <c r="X22" s="343">
        <f t="shared" si="12"/>
        <v>-2085.8879999999999</v>
      </c>
      <c r="Y22" s="637">
        <f t="shared" si="9"/>
        <v>-2085.8879999999999</v>
      </c>
      <c r="Z22" s="343">
        <f t="shared" si="13"/>
        <v>0</v>
      </c>
    </row>
    <row r="23" spans="1:26" ht="15">
      <c r="A23" s="45">
        <f t="shared" si="14"/>
        <v>12</v>
      </c>
      <c r="B23" s="728" t="s">
        <v>894</v>
      </c>
      <c r="C23" s="688">
        <v>245590</v>
      </c>
      <c r="D23" s="660">
        <f t="shared" si="0"/>
        <v>147354</v>
      </c>
      <c r="E23" s="660">
        <f t="shared" si="1"/>
        <v>98236</v>
      </c>
      <c r="F23" s="688">
        <v>0</v>
      </c>
      <c r="G23" s="659">
        <v>98236</v>
      </c>
      <c r="H23" s="36" t="s">
        <v>895</v>
      </c>
      <c r="I23" s="688">
        <v>15523</v>
      </c>
      <c r="J23" s="730" t="s">
        <v>883</v>
      </c>
      <c r="K23" s="659">
        <v>0</v>
      </c>
      <c r="L23" s="731">
        <f t="shared" si="3"/>
        <v>15523</v>
      </c>
      <c r="M23" s="660">
        <f t="shared" si="4"/>
        <v>1552.3</v>
      </c>
      <c r="N23" s="731">
        <f t="shared" si="5"/>
        <v>13970.7</v>
      </c>
      <c r="O23" s="660">
        <f t="shared" si="6"/>
        <v>1552.3</v>
      </c>
      <c r="P23" s="731">
        <f t="shared" si="7"/>
        <v>12418.400000000001</v>
      </c>
      <c r="Q23" s="660">
        <f t="shared" si="15"/>
        <v>2483.6800000000003</v>
      </c>
      <c r="R23" s="731">
        <f t="shared" si="8"/>
        <v>9934.7200000000012</v>
      </c>
      <c r="S23" s="660">
        <f t="shared" si="9"/>
        <v>2483.6800000000003</v>
      </c>
      <c r="T23" s="731">
        <f t="shared" si="10"/>
        <v>7451.0400000000009</v>
      </c>
      <c r="U23" s="660">
        <f t="shared" si="9"/>
        <v>2483.6800000000003</v>
      </c>
      <c r="V23" s="731">
        <f t="shared" si="11"/>
        <v>4967.3600000000006</v>
      </c>
      <c r="W23" s="660">
        <f t="shared" si="9"/>
        <v>2483.6800000000003</v>
      </c>
      <c r="X23" s="731">
        <f t="shared" si="12"/>
        <v>2483.6800000000003</v>
      </c>
      <c r="Y23" s="660">
        <f t="shared" si="9"/>
        <v>2483.6800000000003</v>
      </c>
      <c r="Z23" s="731">
        <f t="shared" si="13"/>
        <v>0</v>
      </c>
    </row>
    <row r="24" spans="1:26" ht="15">
      <c r="A24" s="45">
        <f>+A23+1</f>
        <v>13</v>
      </c>
      <c r="B24" s="444" t="s">
        <v>896</v>
      </c>
      <c r="C24" s="622">
        <f>+SUM(C12:C23)</f>
        <v>9760185</v>
      </c>
      <c r="D24" s="622">
        <f>+SUM(D12:D23)</f>
        <v>5856111</v>
      </c>
      <c r="E24" s="622">
        <f>+SUM(E12:E23)</f>
        <v>3904074</v>
      </c>
      <c r="F24" s="622">
        <f>+SUM(F12:F23)</f>
        <v>0</v>
      </c>
      <c r="G24" s="622">
        <f>+SUM(G12:G23)</f>
        <v>3904074</v>
      </c>
      <c r="H24" s="445"/>
      <c r="I24" s="622">
        <f t="shared" ref="I24:Z24" si="16">+SUM(I12:I23)</f>
        <v>493745.2009</v>
      </c>
      <c r="J24" s="622"/>
      <c r="K24" s="622">
        <f t="shared" si="16"/>
        <v>0</v>
      </c>
      <c r="L24" s="622">
        <f t="shared" si="16"/>
        <v>493745.2009</v>
      </c>
      <c r="M24" s="622">
        <f t="shared" si="16"/>
        <v>49374.520089999998</v>
      </c>
      <c r="N24" s="622">
        <f t="shared" si="16"/>
        <v>444370.68081000005</v>
      </c>
      <c r="O24" s="638">
        <f t="shared" si="16"/>
        <v>49374.520089999998</v>
      </c>
      <c r="P24" s="622">
        <f t="shared" si="16"/>
        <v>394996.16071999999</v>
      </c>
      <c r="Q24" s="638">
        <f t="shared" si="16"/>
        <v>78999.23214399998</v>
      </c>
      <c r="R24" s="622">
        <f t="shared" si="16"/>
        <v>315996.92857599992</v>
      </c>
      <c r="S24" s="638">
        <f t="shared" si="16"/>
        <v>78999.23214399998</v>
      </c>
      <c r="T24" s="622">
        <f t="shared" si="16"/>
        <v>236997.69643200003</v>
      </c>
      <c r="U24" s="638">
        <f t="shared" si="16"/>
        <v>78999.23214399998</v>
      </c>
      <c r="V24" s="622">
        <f t="shared" si="16"/>
        <v>157998.46428799996</v>
      </c>
      <c r="W24" s="638">
        <f t="shared" si="16"/>
        <v>78999.23214399998</v>
      </c>
      <c r="X24" s="622">
        <f t="shared" si="16"/>
        <v>78999.23214399998</v>
      </c>
      <c r="Y24" s="638">
        <f t="shared" si="16"/>
        <v>78999.23214399998</v>
      </c>
      <c r="Z24" s="622">
        <f t="shared" si="16"/>
        <v>0</v>
      </c>
    </row>
    <row r="25" spans="1:26" ht="17.25">
      <c r="A25" s="45"/>
      <c r="B25" s="446"/>
      <c r="C25" s="623"/>
      <c r="D25" s="623"/>
      <c r="E25" s="623"/>
      <c r="F25" s="623"/>
      <c r="G25" s="623"/>
      <c r="H25" s="445"/>
      <c r="I25" s="662"/>
      <c r="J25" s="662"/>
      <c r="K25" s="662"/>
      <c r="L25" s="662"/>
      <c r="M25" s="662"/>
      <c r="N25" s="662"/>
      <c r="O25" s="659"/>
      <c r="P25" s="662"/>
      <c r="Q25" s="659"/>
      <c r="R25" s="662"/>
      <c r="S25" s="659"/>
      <c r="T25" s="662"/>
      <c r="U25" s="659"/>
      <c r="V25" s="662"/>
      <c r="W25" s="659"/>
      <c r="X25" s="662"/>
      <c r="Y25" s="659"/>
      <c r="Z25" s="662"/>
    </row>
    <row r="26" spans="1:26" ht="17.25">
      <c r="A26" s="45"/>
      <c r="B26" s="444" t="s">
        <v>897</v>
      </c>
      <c r="C26" s="623"/>
      <c r="D26" s="623"/>
      <c r="E26" s="623"/>
      <c r="F26" s="623"/>
      <c r="G26" s="623"/>
      <c r="H26" s="445"/>
      <c r="I26" s="662"/>
      <c r="J26" s="662"/>
      <c r="K26" s="662"/>
      <c r="L26" s="662"/>
      <c r="M26" s="662"/>
      <c r="N26" s="662"/>
      <c r="O26" s="659"/>
      <c r="P26" s="662"/>
      <c r="Q26" s="659"/>
      <c r="R26" s="662"/>
      <c r="S26" s="659"/>
      <c r="T26" s="662"/>
      <c r="U26" s="659"/>
      <c r="V26" s="662"/>
      <c r="W26" s="659"/>
      <c r="X26" s="662"/>
      <c r="Y26" s="659"/>
      <c r="Z26" s="662"/>
    </row>
    <row r="27" spans="1:26" ht="15">
      <c r="A27" s="45">
        <f>+A24+1</f>
        <v>14</v>
      </c>
      <c r="B27" s="732" t="s">
        <v>898</v>
      </c>
      <c r="C27" s="687">
        <v>0</v>
      </c>
      <c r="D27" s="637">
        <f t="shared" ref="D27:D28" si="17">+C27*$I$80</f>
        <v>0</v>
      </c>
      <c r="E27" s="637">
        <f t="shared" ref="E27:E28" si="18">+C27-D27</f>
        <v>0</v>
      </c>
      <c r="F27" s="687">
        <v>0</v>
      </c>
      <c r="G27" s="637">
        <f t="shared" ref="G27:G28" si="19">+E27+F27</f>
        <v>0</v>
      </c>
      <c r="H27" s="733">
        <v>0</v>
      </c>
      <c r="I27" s="637">
        <f t="shared" ref="I27" si="20">+G27*H27</f>
        <v>0</v>
      </c>
      <c r="J27" s="687"/>
      <c r="K27" s="622">
        <v>0</v>
      </c>
      <c r="L27" s="343">
        <f>+I27-K27</f>
        <v>0</v>
      </c>
      <c r="M27" s="582">
        <v>0</v>
      </c>
      <c r="N27" s="343">
        <f>+K27-M27</f>
        <v>0</v>
      </c>
      <c r="O27" s="582">
        <v>0</v>
      </c>
      <c r="P27" s="343">
        <f>+M27-O27</f>
        <v>0</v>
      </c>
      <c r="Q27" s="582">
        <v>0</v>
      </c>
      <c r="R27" s="343">
        <f>+O27-Q27</f>
        <v>0</v>
      </c>
      <c r="S27" s="686">
        <v>0</v>
      </c>
      <c r="T27" s="343">
        <f>+Q27-S27</f>
        <v>0</v>
      </c>
      <c r="U27" s="686">
        <v>0</v>
      </c>
      <c r="V27" s="343">
        <f t="shared" ref="V27:V28" si="21">+T27-U27</f>
        <v>0</v>
      </c>
      <c r="W27" s="686">
        <v>0</v>
      </c>
      <c r="X27" s="343">
        <f>+U27-W27</f>
        <v>0</v>
      </c>
      <c r="Y27" s="637">
        <f t="shared" ref="Y27:Y28" si="22">+$P27/5</f>
        <v>0</v>
      </c>
      <c r="Z27" s="343">
        <f>+W27-Y27</f>
        <v>0</v>
      </c>
    </row>
    <row r="28" spans="1:26" ht="15">
      <c r="A28" s="45">
        <f>+A27+1</f>
        <v>15</v>
      </c>
      <c r="B28" s="732" t="s">
        <v>898</v>
      </c>
      <c r="C28" s="688">
        <v>0</v>
      </c>
      <c r="D28" s="660">
        <f t="shared" si="17"/>
        <v>0</v>
      </c>
      <c r="E28" s="660">
        <f t="shared" si="18"/>
        <v>0</v>
      </c>
      <c r="F28" s="688">
        <v>0</v>
      </c>
      <c r="G28" s="660">
        <f t="shared" si="19"/>
        <v>0</v>
      </c>
      <c r="H28" s="734" t="s">
        <v>895</v>
      </c>
      <c r="I28" s="688">
        <v>0</v>
      </c>
      <c r="J28" s="687"/>
      <c r="K28" s="662">
        <v>0</v>
      </c>
      <c r="L28" s="731">
        <f>+I28-K28</f>
        <v>0</v>
      </c>
      <c r="M28" s="735">
        <v>0</v>
      </c>
      <c r="N28" s="731">
        <f>+K28-M28</f>
        <v>0</v>
      </c>
      <c r="O28" s="735">
        <v>0</v>
      </c>
      <c r="P28" s="731">
        <f>+M28-O28</f>
        <v>0</v>
      </c>
      <c r="Q28" s="735">
        <v>0</v>
      </c>
      <c r="R28" s="731">
        <f>+O28-Q28</f>
        <v>0</v>
      </c>
      <c r="S28" s="736">
        <v>0</v>
      </c>
      <c r="T28" s="731">
        <f>+Q28-S28</f>
        <v>0</v>
      </c>
      <c r="U28" s="736">
        <v>0</v>
      </c>
      <c r="V28" s="731">
        <f t="shared" si="21"/>
        <v>0</v>
      </c>
      <c r="W28" s="736">
        <v>0</v>
      </c>
      <c r="X28" s="731">
        <f>+U28-W28</f>
        <v>0</v>
      </c>
      <c r="Y28" s="660">
        <f t="shared" si="22"/>
        <v>0</v>
      </c>
      <c r="Z28" s="731">
        <f>+W28-Y28</f>
        <v>0</v>
      </c>
    </row>
    <row r="29" spans="1:26" ht="15">
      <c r="A29" s="45">
        <f>+A28+1</f>
        <v>16</v>
      </c>
      <c r="B29" s="447" t="s">
        <v>899</v>
      </c>
      <c r="C29" s="622">
        <f>+C27+C28</f>
        <v>0</v>
      </c>
      <c r="D29" s="622">
        <f>+D27+D28</f>
        <v>0</v>
      </c>
      <c r="E29" s="622">
        <f>+E27+E28</f>
        <v>0</v>
      </c>
      <c r="F29" s="622">
        <f>+F27+F28</f>
        <v>0</v>
      </c>
      <c r="G29" s="622">
        <f>+G27+G28</f>
        <v>0</v>
      </c>
      <c r="H29" s="36"/>
      <c r="I29" s="622">
        <f>+I27+I28</f>
        <v>0</v>
      </c>
      <c r="J29" s="622"/>
      <c r="K29" s="622">
        <f t="shared" ref="K29:U29" si="23">+K27+K28</f>
        <v>0</v>
      </c>
      <c r="L29" s="343">
        <f t="shared" si="23"/>
        <v>0</v>
      </c>
      <c r="M29" s="343">
        <f t="shared" si="23"/>
        <v>0</v>
      </c>
      <c r="N29" s="343">
        <f t="shared" si="23"/>
        <v>0</v>
      </c>
      <c r="O29" s="343">
        <f t="shared" si="23"/>
        <v>0</v>
      </c>
      <c r="P29" s="343">
        <f t="shared" si="23"/>
        <v>0</v>
      </c>
      <c r="Q29" s="343">
        <f t="shared" si="23"/>
        <v>0</v>
      </c>
      <c r="R29" s="343">
        <f t="shared" si="23"/>
        <v>0</v>
      </c>
      <c r="S29" s="343">
        <f t="shared" si="23"/>
        <v>0</v>
      </c>
      <c r="T29" s="343">
        <f t="shared" si="23"/>
        <v>0</v>
      </c>
      <c r="U29" s="343">
        <f t="shared" si="23"/>
        <v>0</v>
      </c>
      <c r="V29" s="622">
        <f t="shared" ref="V29" si="24">+SUM(V17:V28)</f>
        <v>204686.44873599996</v>
      </c>
      <c r="W29" s="343">
        <f>+W27+W28</f>
        <v>0</v>
      </c>
      <c r="X29" s="343">
        <f>+X27+X28</f>
        <v>0</v>
      </c>
      <c r="Y29" s="343">
        <f>+Y27+Y28</f>
        <v>0</v>
      </c>
      <c r="Z29" s="343">
        <f>+Z27+Z28</f>
        <v>0</v>
      </c>
    </row>
    <row r="30" spans="1:26" ht="15">
      <c r="A30" s="45"/>
      <c r="B30" s="447"/>
      <c r="C30" s="622"/>
      <c r="D30" s="622"/>
      <c r="E30" s="622"/>
      <c r="F30" s="622"/>
      <c r="G30" s="622"/>
      <c r="H30" s="36"/>
      <c r="I30" s="622"/>
      <c r="J30" s="622"/>
      <c r="K30" s="622"/>
      <c r="L30" s="343"/>
      <c r="M30" s="343"/>
      <c r="N30" s="343"/>
      <c r="O30" s="343"/>
      <c r="P30" s="343"/>
      <c r="Q30" s="343"/>
      <c r="R30" s="343"/>
      <c r="S30" s="343"/>
      <c r="T30" s="343"/>
      <c r="U30" s="343"/>
      <c r="V30" s="343"/>
      <c r="W30" s="343"/>
      <c r="X30" s="343"/>
      <c r="Y30" s="343"/>
      <c r="Z30" s="343"/>
    </row>
    <row r="31" spans="1:26" ht="15">
      <c r="A31" s="45"/>
      <c r="B31" s="447" t="s">
        <v>900</v>
      </c>
      <c r="C31" s="622"/>
      <c r="D31" s="622"/>
      <c r="E31" s="622"/>
      <c r="F31" s="622"/>
      <c r="G31" s="622"/>
      <c r="H31" s="36"/>
      <c r="I31" s="622"/>
      <c r="J31" s="622"/>
      <c r="K31" s="622"/>
      <c r="L31" s="343"/>
      <c r="M31" s="343"/>
      <c r="N31" s="343"/>
      <c r="O31" s="343"/>
      <c r="P31" s="343"/>
      <c r="Q31" s="343"/>
      <c r="R31" s="343"/>
      <c r="S31" s="343"/>
      <c r="T31" s="343"/>
      <c r="U31" s="343"/>
      <c r="V31" s="343"/>
      <c r="W31" s="343"/>
      <c r="X31" s="343"/>
      <c r="Y31" s="343"/>
      <c r="Z31" s="343"/>
    </row>
    <row r="32" spans="1:26" ht="15">
      <c r="A32" s="45">
        <f>+A29+1</f>
        <v>17</v>
      </c>
      <c r="B32" s="732" t="s">
        <v>898</v>
      </c>
      <c r="C32" s="687">
        <v>0</v>
      </c>
      <c r="D32" s="637">
        <f t="shared" ref="D32:D35" si="25">+C32*$I$80</f>
        <v>0</v>
      </c>
      <c r="E32" s="637">
        <f t="shared" ref="E32:E35" si="26">+C32-D32</f>
        <v>0</v>
      </c>
      <c r="F32" s="687">
        <v>0</v>
      </c>
      <c r="G32" s="638">
        <v>0</v>
      </c>
      <c r="H32" s="733">
        <v>0</v>
      </c>
      <c r="I32" s="637">
        <f t="shared" ref="I32:I34" si="27">+G32*H32</f>
        <v>0</v>
      </c>
      <c r="J32" s="687"/>
      <c r="K32" s="622">
        <v>0</v>
      </c>
      <c r="L32" s="343">
        <f t="shared" ref="L32:L35" si="28">+I32-K32</f>
        <v>0</v>
      </c>
      <c r="M32" s="582">
        <v>0</v>
      </c>
      <c r="N32" s="343">
        <f t="shared" ref="N32:N35" si="29">+L32-M32</f>
        <v>0</v>
      </c>
      <c r="O32" s="582">
        <v>0</v>
      </c>
      <c r="P32" s="343">
        <f t="shared" ref="P32:P35" si="30">+N32-O32</f>
        <v>0</v>
      </c>
      <c r="Q32" s="582">
        <v>0</v>
      </c>
      <c r="R32" s="343">
        <f t="shared" ref="R32:R35" si="31">+P32-Q32</f>
        <v>0</v>
      </c>
      <c r="S32" s="582">
        <v>0</v>
      </c>
      <c r="T32" s="343">
        <f t="shared" ref="T32:T35" si="32">+R32-S32</f>
        <v>0</v>
      </c>
      <c r="U32" s="582">
        <v>0</v>
      </c>
      <c r="V32" s="343">
        <f t="shared" ref="V32:V35" si="33">+T32-U32</f>
        <v>0</v>
      </c>
      <c r="W32" s="582">
        <v>0</v>
      </c>
      <c r="X32" s="343">
        <f t="shared" ref="X32:X35" si="34">+V32-W32</f>
        <v>0</v>
      </c>
      <c r="Y32" s="637">
        <f>+$P32/5</f>
        <v>0</v>
      </c>
      <c r="Z32" s="343">
        <f t="shared" ref="Z32:Z35" si="35">+X32-Y32</f>
        <v>0</v>
      </c>
    </row>
    <row r="33" spans="1:26" ht="15">
      <c r="A33" s="45">
        <f>+A32+1</f>
        <v>18</v>
      </c>
      <c r="B33" s="732" t="s">
        <v>898</v>
      </c>
      <c r="C33" s="687">
        <v>0</v>
      </c>
      <c r="D33" s="637">
        <f t="shared" si="25"/>
        <v>0</v>
      </c>
      <c r="E33" s="637">
        <f t="shared" si="26"/>
        <v>0</v>
      </c>
      <c r="F33" s="687">
        <v>0</v>
      </c>
      <c r="G33" s="638">
        <v>0</v>
      </c>
      <c r="H33" s="733">
        <v>0</v>
      </c>
      <c r="I33" s="637">
        <f t="shared" si="27"/>
        <v>0</v>
      </c>
      <c r="J33" s="687"/>
      <c r="K33" s="622">
        <v>0</v>
      </c>
      <c r="L33" s="343">
        <f t="shared" si="28"/>
        <v>0</v>
      </c>
      <c r="M33" s="582">
        <v>0</v>
      </c>
      <c r="N33" s="343">
        <f t="shared" si="29"/>
        <v>0</v>
      </c>
      <c r="O33" s="582">
        <v>0</v>
      </c>
      <c r="P33" s="343">
        <f t="shared" si="30"/>
        <v>0</v>
      </c>
      <c r="Q33" s="582">
        <v>0</v>
      </c>
      <c r="R33" s="343">
        <f t="shared" si="31"/>
        <v>0</v>
      </c>
      <c r="S33" s="582">
        <v>0</v>
      </c>
      <c r="T33" s="343">
        <f t="shared" si="32"/>
        <v>0</v>
      </c>
      <c r="U33" s="582">
        <v>0</v>
      </c>
      <c r="V33" s="343">
        <f t="shared" si="33"/>
        <v>0</v>
      </c>
      <c r="W33" s="582">
        <v>0</v>
      </c>
      <c r="X33" s="343">
        <f t="shared" si="34"/>
        <v>0</v>
      </c>
      <c r="Y33" s="637">
        <f t="shared" ref="Y33:Y35" si="36">+$P33/5</f>
        <v>0</v>
      </c>
      <c r="Z33" s="343">
        <f t="shared" si="35"/>
        <v>0</v>
      </c>
    </row>
    <row r="34" spans="1:26" ht="15">
      <c r="A34" s="45">
        <f>+A33+1</f>
        <v>19</v>
      </c>
      <c r="B34" s="732" t="s">
        <v>898</v>
      </c>
      <c r="C34" s="687">
        <v>0</v>
      </c>
      <c r="D34" s="637">
        <f t="shared" si="25"/>
        <v>0</v>
      </c>
      <c r="E34" s="637">
        <f t="shared" si="26"/>
        <v>0</v>
      </c>
      <c r="F34" s="687">
        <v>0</v>
      </c>
      <c r="G34" s="638">
        <v>0</v>
      </c>
      <c r="H34" s="733">
        <v>0</v>
      </c>
      <c r="I34" s="637">
        <f t="shared" si="27"/>
        <v>0</v>
      </c>
      <c r="J34" s="687"/>
      <c r="K34" s="622">
        <v>0</v>
      </c>
      <c r="L34" s="343">
        <f t="shared" si="28"/>
        <v>0</v>
      </c>
      <c r="M34" s="582">
        <v>0</v>
      </c>
      <c r="N34" s="343">
        <f t="shared" si="29"/>
        <v>0</v>
      </c>
      <c r="O34" s="582">
        <v>0</v>
      </c>
      <c r="P34" s="343">
        <f t="shared" si="30"/>
        <v>0</v>
      </c>
      <c r="Q34" s="582">
        <v>0</v>
      </c>
      <c r="R34" s="343">
        <f t="shared" si="31"/>
        <v>0</v>
      </c>
      <c r="S34" s="582">
        <v>0</v>
      </c>
      <c r="T34" s="343">
        <f t="shared" si="32"/>
        <v>0</v>
      </c>
      <c r="U34" s="582">
        <v>0</v>
      </c>
      <c r="V34" s="343">
        <f t="shared" si="33"/>
        <v>0</v>
      </c>
      <c r="W34" s="582">
        <v>0</v>
      </c>
      <c r="X34" s="343">
        <f t="shared" si="34"/>
        <v>0</v>
      </c>
      <c r="Y34" s="637">
        <f t="shared" si="36"/>
        <v>0</v>
      </c>
      <c r="Z34" s="343">
        <f t="shared" si="35"/>
        <v>0</v>
      </c>
    </row>
    <row r="35" spans="1:26" ht="15">
      <c r="A35" s="45">
        <f>+A34+1</f>
        <v>20</v>
      </c>
      <c r="B35" s="732" t="s">
        <v>898</v>
      </c>
      <c r="C35" s="688">
        <v>0</v>
      </c>
      <c r="D35" s="660">
        <f t="shared" si="25"/>
        <v>0</v>
      </c>
      <c r="E35" s="660">
        <f t="shared" si="26"/>
        <v>0</v>
      </c>
      <c r="F35" s="688">
        <v>0</v>
      </c>
      <c r="G35" s="659">
        <v>0</v>
      </c>
      <c r="H35" s="734" t="s">
        <v>895</v>
      </c>
      <c r="I35" s="688">
        <v>0</v>
      </c>
      <c r="J35" s="687"/>
      <c r="K35" s="662">
        <v>0</v>
      </c>
      <c r="L35" s="731">
        <f t="shared" si="28"/>
        <v>0</v>
      </c>
      <c r="M35" s="735">
        <v>0</v>
      </c>
      <c r="N35" s="731">
        <f t="shared" si="29"/>
        <v>0</v>
      </c>
      <c r="O35" s="735">
        <v>0</v>
      </c>
      <c r="P35" s="731">
        <f t="shared" si="30"/>
        <v>0</v>
      </c>
      <c r="Q35" s="735">
        <v>0</v>
      </c>
      <c r="R35" s="731">
        <f t="shared" si="31"/>
        <v>0</v>
      </c>
      <c r="S35" s="735">
        <v>0</v>
      </c>
      <c r="T35" s="731">
        <f t="shared" si="32"/>
        <v>0</v>
      </c>
      <c r="U35" s="735">
        <v>0</v>
      </c>
      <c r="V35" s="731">
        <f t="shared" si="33"/>
        <v>0</v>
      </c>
      <c r="W35" s="735">
        <v>0</v>
      </c>
      <c r="X35" s="731">
        <f t="shared" si="34"/>
        <v>0</v>
      </c>
      <c r="Y35" s="660">
        <f t="shared" si="36"/>
        <v>0</v>
      </c>
      <c r="Z35" s="731">
        <f t="shared" si="35"/>
        <v>0</v>
      </c>
    </row>
    <row r="36" spans="1:26" ht="15">
      <c r="A36" s="45">
        <f>+A35+1</f>
        <v>21</v>
      </c>
      <c r="B36" s="447" t="s">
        <v>901</v>
      </c>
      <c r="C36" s="622">
        <f>+C34+C35</f>
        <v>0</v>
      </c>
      <c r="D36" s="622">
        <f>+D34+D35</f>
        <v>0</v>
      </c>
      <c r="E36" s="622">
        <f>+SUM(E32:E35)</f>
        <v>0</v>
      </c>
      <c r="F36" s="622">
        <f>+SUM(F32:F35)</f>
        <v>0</v>
      </c>
      <c r="G36" s="622">
        <f>+SUM(G32:G35)</f>
        <v>0</v>
      </c>
      <c r="H36" s="445"/>
      <c r="I36" s="622">
        <f>+SUM(I32:I35)</f>
        <v>0</v>
      </c>
      <c r="J36" s="622"/>
      <c r="K36" s="622">
        <f t="shared" ref="K36:Z36" si="37">+SUM(K32:K35)</f>
        <v>0</v>
      </c>
      <c r="L36" s="622">
        <f t="shared" si="37"/>
        <v>0</v>
      </c>
      <c r="M36" s="622">
        <f t="shared" si="37"/>
        <v>0</v>
      </c>
      <c r="N36" s="622">
        <f t="shared" si="37"/>
        <v>0</v>
      </c>
      <c r="O36" s="622">
        <f t="shared" si="37"/>
        <v>0</v>
      </c>
      <c r="P36" s="622">
        <f t="shared" si="37"/>
        <v>0</v>
      </c>
      <c r="Q36" s="622">
        <f t="shared" si="37"/>
        <v>0</v>
      </c>
      <c r="R36" s="622">
        <f t="shared" si="37"/>
        <v>0</v>
      </c>
      <c r="S36" s="622">
        <f t="shared" si="37"/>
        <v>0</v>
      </c>
      <c r="T36" s="622">
        <f t="shared" si="37"/>
        <v>0</v>
      </c>
      <c r="U36" s="622">
        <f t="shared" si="37"/>
        <v>0</v>
      </c>
      <c r="V36" s="622">
        <f t="shared" si="37"/>
        <v>0</v>
      </c>
      <c r="W36" s="622">
        <f t="shared" si="37"/>
        <v>0</v>
      </c>
      <c r="X36" s="622">
        <f t="shared" si="37"/>
        <v>0</v>
      </c>
      <c r="Y36" s="622">
        <f t="shared" si="37"/>
        <v>0</v>
      </c>
      <c r="Z36" s="622">
        <f t="shared" si="37"/>
        <v>0</v>
      </c>
    </row>
    <row r="37" spans="1:26" ht="15">
      <c r="A37" s="45"/>
      <c r="B37" s="447"/>
      <c r="C37" s="447"/>
      <c r="D37" s="447"/>
      <c r="E37" s="622"/>
      <c r="F37" s="622"/>
      <c r="G37" s="622"/>
      <c r="H37" s="445"/>
      <c r="I37" s="622"/>
      <c r="J37" s="622"/>
      <c r="K37" s="622"/>
      <c r="L37" s="343"/>
      <c r="M37" s="343"/>
      <c r="N37" s="343"/>
      <c r="O37" s="343"/>
      <c r="P37" s="343"/>
      <c r="Q37" s="343"/>
      <c r="R37" s="343"/>
      <c r="S37" s="343"/>
      <c r="T37" s="343"/>
      <c r="U37" s="343"/>
      <c r="V37" s="343"/>
      <c r="W37" s="343"/>
      <c r="X37" s="343"/>
      <c r="Y37" s="343"/>
      <c r="Z37" s="343"/>
    </row>
    <row r="38" spans="1:26" ht="30">
      <c r="A38" s="45">
        <f>+A36+1</f>
        <v>22</v>
      </c>
      <c r="B38" s="447" t="s">
        <v>902</v>
      </c>
      <c r="C38" s="447"/>
      <c r="D38" s="447"/>
      <c r="E38" s="622">
        <f>+E24+E29+E36</f>
        <v>3904074</v>
      </c>
      <c r="F38" s="622"/>
      <c r="G38" s="622">
        <f>+G24+G29+G36</f>
        <v>3904074</v>
      </c>
      <c r="H38" s="445"/>
      <c r="I38" s="622">
        <f>+I24+I29+I36</f>
        <v>493745.2009</v>
      </c>
      <c r="J38" s="622"/>
      <c r="K38" s="622">
        <f>+K24+K29+K36</f>
        <v>0</v>
      </c>
      <c r="L38" s="622">
        <f t="shared" ref="L38:Z38" si="38">+L24+L29+L36</f>
        <v>493745.2009</v>
      </c>
      <c r="M38" s="622">
        <f t="shared" si="38"/>
        <v>49374.520089999998</v>
      </c>
      <c r="N38" s="622">
        <f t="shared" si="38"/>
        <v>444370.68081000005</v>
      </c>
      <c r="O38" s="622">
        <f t="shared" si="38"/>
        <v>49374.520089999998</v>
      </c>
      <c r="P38" s="622">
        <f t="shared" si="38"/>
        <v>394996.16071999999</v>
      </c>
      <c r="Q38" s="622">
        <f t="shared" si="38"/>
        <v>78999.23214399998</v>
      </c>
      <c r="R38" s="622">
        <f t="shared" si="38"/>
        <v>315996.92857599992</v>
      </c>
      <c r="S38" s="622">
        <f t="shared" si="38"/>
        <v>78999.23214399998</v>
      </c>
      <c r="T38" s="622">
        <f t="shared" si="38"/>
        <v>236997.69643200003</v>
      </c>
      <c r="U38" s="622">
        <f t="shared" si="38"/>
        <v>78999.23214399998</v>
      </c>
      <c r="V38" s="622">
        <f t="shared" si="38"/>
        <v>362684.91302399989</v>
      </c>
      <c r="W38" s="622">
        <f t="shared" si="38"/>
        <v>78999.23214399998</v>
      </c>
      <c r="X38" s="622">
        <f t="shared" si="38"/>
        <v>78999.23214399998</v>
      </c>
      <c r="Y38" s="622">
        <f t="shared" si="38"/>
        <v>78999.23214399998</v>
      </c>
      <c r="Z38" s="622">
        <f t="shared" si="38"/>
        <v>0</v>
      </c>
    </row>
    <row r="39" spans="1:26" ht="15">
      <c r="A39" s="45">
        <f>+A38+1</f>
        <v>23</v>
      </c>
      <c r="B39" s="447" t="s">
        <v>903</v>
      </c>
      <c r="C39" s="447"/>
      <c r="D39" s="447"/>
      <c r="E39" s="662">
        <v>0</v>
      </c>
      <c r="F39" s="662"/>
      <c r="G39" s="662">
        <v>1037791.82278481</v>
      </c>
      <c r="H39" s="445"/>
      <c r="I39" s="662">
        <v>131248.72428987341</v>
      </c>
      <c r="J39" s="622"/>
      <c r="K39" s="662"/>
      <c r="L39" s="662">
        <v>131248.72428987341</v>
      </c>
      <c r="M39" s="343"/>
      <c r="N39" s="662">
        <v>118123.85186088608</v>
      </c>
      <c r="O39" s="343"/>
      <c r="P39" s="662">
        <v>104998.97943189873</v>
      </c>
      <c r="Q39" s="343"/>
      <c r="R39" s="662">
        <v>83999.183545518958</v>
      </c>
      <c r="S39" s="343"/>
      <c r="T39" s="662">
        <v>62999.38765913924</v>
      </c>
      <c r="U39" s="343"/>
      <c r="V39" s="662">
        <v>96409.913588658193</v>
      </c>
      <c r="W39" s="343"/>
      <c r="X39" s="662">
        <v>20999.795886379739</v>
      </c>
      <c r="Y39" s="343"/>
      <c r="Z39" s="662">
        <v>0</v>
      </c>
    </row>
    <row r="40" spans="1:26" ht="30">
      <c r="A40" s="45">
        <f>+A39+1</f>
        <v>24</v>
      </c>
      <c r="B40" s="447" t="s">
        <v>904</v>
      </c>
      <c r="C40" s="447"/>
      <c r="D40" s="447"/>
      <c r="E40" s="622">
        <f>+E38+E39</f>
        <v>3904074</v>
      </c>
      <c r="F40" s="662"/>
      <c r="G40" s="622">
        <f>+G38+G39</f>
        <v>4941865.8227848103</v>
      </c>
      <c r="H40" s="445"/>
      <c r="I40" s="622">
        <f>+I38+I39</f>
        <v>624993.92518987344</v>
      </c>
      <c r="J40" s="622"/>
      <c r="K40" s="622"/>
      <c r="L40" s="622">
        <f>+L38+L39</f>
        <v>624993.92518987344</v>
      </c>
      <c r="M40" s="343"/>
      <c r="N40" s="622">
        <f>+N38+N39</f>
        <v>562494.53267088614</v>
      </c>
      <c r="O40" s="343"/>
      <c r="P40" s="622">
        <f>+P38+P39</f>
        <v>499995.14015189873</v>
      </c>
      <c r="Q40" s="343"/>
      <c r="R40" s="622">
        <f>+R38+R39</f>
        <v>399996.11212151888</v>
      </c>
      <c r="S40" s="343"/>
      <c r="T40" s="622">
        <f>+T38+T39</f>
        <v>299997.08409113926</v>
      </c>
      <c r="U40" s="343"/>
      <c r="V40" s="622">
        <f>+V38+V39</f>
        <v>459094.8266126581</v>
      </c>
      <c r="W40" s="343"/>
      <c r="X40" s="622">
        <f>+X38+X39</f>
        <v>99999.028030379719</v>
      </c>
      <c r="Y40" s="343"/>
      <c r="Z40" s="622">
        <f>+Z38+Z39</f>
        <v>0</v>
      </c>
    </row>
    <row r="41" spans="1:26" ht="15">
      <c r="A41" s="45"/>
      <c r="B41" s="447"/>
      <c r="C41" s="447"/>
      <c r="D41" s="447"/>
      <c r="E41" s="622"/>
      <c r="F41" s="622"/>
      <c r="G41" s="622"/>
      <c r="H41" s="445"/>
      <c r="I41" s="622"/>
      <c r="J41" s="622"/>
      <c r="K41" s="622"/>
      <c r="L41" s="343"/>
      <c r="M41" s="343"/>
      <c r="N41" s="343"/>
      <c r="O41" s="343"/>
      <c r="P41" s="343"/>
      <c r="Q41" s="343"/>
      <c r="R41" s="343"/>
      <c r="S41" s="343"/>
      <c r="T41" s="343"/>
      <c r="U41" s="343"/>
      <c r="V41" s="343"/>
      <c r="W41" s="343"/>
      <c r="X41" s="343"/>
      <c r="Y41" s="343"/>
      <c r="Z41" s="343"/>
    </row>
    <row r="42" spans="1:26" ht="15">
      <c r="A42" s="45"/>
      <c r="B42" s="447"/>
      <c r="C42" s="447"/>
      <c r="D42" s="447"/>
      <c r="E42" s="622"/>
      <c r="F42" s="622"/>
      <c r="G42" s="622"/>
      <c r="H42" s="445"/>
      <c r="I42" s="622"/>
      <c r="J42" s="622"/>
      <c r="K42" s="622"/>
      <c r="L42" s="343"/>
      <c r="M42" s="343"/>
      <c r="N42" s="343"/>
      <c r="O42" s="343"/>
      <c r="P42" s="343"/>
      <c r="Q42" s="343"/>
      <c r="R42" s="343"/>
      <c r="S42" s="343"/>
      <c r="T42" s="343"/>
      <c r="U42" s="343"/>
      <c r="V42" s="343"/>
      <c r="W42" s="343"/>
      <c r="X42" s="343"/>
      <c r="Y42" s="343"/>
      <c r="Z42" s="343"/>
    </row>
    <row r="43" spans="1:26" ht="31.5">
      <c r="A43" s="45"/>
      <c r="B43" s="401" t="s">
        <v>905</v>
      </c>
      <c r="C43" s="401"/>
      <c r="D43" s="401"/>
      <c r="E43" s="622"/>
      <c r="F43" s="622"/>
      <c r="G43" s="622"/>
      <c r="H43" s="445"/>
      <c r="I43" s="622"/>
      <c r="J43" s="622"/>
      <c r="K43" s="622"/>
      <c r="L43" s="343"/>
      <c r="M43" s="343"/>
      <c r="N43" s="343"/>
      <c r="O43" s="343"/>
      <c r="P43" s="343"/>
      <c r="Q43" s="343"/>
      <c r="R43" s="343"/>
      <c r="S43" s="343"/>
      <c r="T43" s="343"/>
      <c r="U43" s="343"/>
      <c r="V43" s="343"/>
      <c r="W43" s="343"/>
      <c r="X43" s="343"/>
      <c r="Y43" s="343"/>
      <c r="Z43" s="343"/>
    </row>
    <row r="44" spans="1:26" ht="15">
      <c r="A44" s="45"/>
      <c r="B44" s="447"/>
      <c r="C44" s="447"/>
      <c r="D44" s="447"/>
      <c r="E44" s="622"/>
      <c r="F44" s="622"/>
      <c r="G44" s="622"/>
      <c r="H44" s="445"/>
      <c r="I44" s="622"/>
      <c r="J44" s="622"/>
      <c r="K44" s="622"/>
      <c r="L44" s="343"/>
      <c r="M44" s="343"/>
      <c r="N44" s="343"/>
      <c r="O44" s="343"/>
      <c r="P44" s="343"/>
      <c r="Q44" s="343"/>
      <c r="R44" s="343"/>
      <c r="S44" s="343"/>
      <c r="T44" s="343"/>
      <c r="U44" s="343"/>
      <c r="V44" s="343"/>
      <c r="W44" s="343"/>
      <c r="X44" s="343"/>
      <c r="Y44" s="343"/>
      <c r="Z44" s="343"/>
    </row>
    <row r="45" spans="1:26" ht="17.25">
      <c r="A45" s="45"/>
      <c r="B45" s="444" t="s">
        <v>881</v>
      </c>
      <c r="C45" s="444"/>
      <c r="D45" s="444"/>
      <c r="E45" s="623"/>
      <c r="F45" s="623"/>
      <c r="G45" s="623"/>
      <c r="H45" s="445"/>
      <c r="I45" s="622"/>
      <c r="J45" s="622"/>
      <c r="K45" s="622"/>
      <c r="L45" s="343"/>
      <c r="M45" s="343"/>
      <c r="N45" s="343"/>
      <c r="O45" s="343"/>
      <c r="P45" s="343"/>
      <c r="Q45" s="343"/>
      <c r="R45" s="343"/>
      <c r="S45" s="343"/>
      <c r="T45" s="343"/>
      <c r="U45" s="343"/>
      <c r="V45" s="343"/>
      <c r="W45" s="343"/>
      <c r="X45" s="343"/>
      <c r="Y45" s="343"/>
      <c r="Z45" s="343"/>
    </row>
    <row r="46" spans="1:26" ht="15">
      <c r="A46" s="45">
        <f>+A40+1</f>
        <v>25</v>
      </c>
      <c r="B46" s="732" t="s">
        <v>898</v>
      </c>
      <c r="C46" s="687">
        <v>0</v>
      </c>
      <c r="D46" s="637">
        <f t="shared" ref="D46:D47" si="39">+C46*$I$80</f>
        <v>0</v>
      </c>
      <c r="E46" s="637">
        <f t="shared" ref="E46:E47" si="40">+C46-D46</f>
        <v>0</v>
      </c>
      <c r="F46" s="687">
        <v>0</v>
      </c>
      <c r="G46" s="687">
        <v>0</v>
      </c>
      <c r="H46" s="733">
        <v>0</v>
      </c>
      <c r="I46" s="637">
        <f t="shared" ref="I46" si="41">+G46*H46</f>
        <v>0</v>
      </c>
      <c r="J46" s="687"/>
      <c r="K46" s="622">
        <v>0</v>
      </c>
      <c r="L46" s="343">
        <f>+I46-K46</f>
        <v>0</v>
      </c>
      <c r="M46" s="687">
        <v>0</v>
      </c>
      <c r="N46" s="343">
        <f>+L46-M46</f>
        <v>0</v>
      </c>
      <c r="O46" s="687">
        <v>0</v>
      </c>
      <c r="P46" s="343">
        <f>+N46-O46</f>
        <v>0</v>
      </c>
      <c r="Q46" s="687">
        <v>0</v>
      </c>
      <c r="R46" s="343">
        <f>+P46-Q46</f>
        <v>0</v>
      </c>
      <c r="S46" s="687">
        <v>0</v>
      </c>
      <c r="T46" s="343">
        <f>+R46-S46</f>
        <v>0</v>
      </c>
      <c r="U46" s="687">
        <v>0</v>
      </c>
      <c r="V46" s="343">
        <f>+T46-U46</f>
        <v>0</v>
      </c>
      <c r="W46" s="687">
        <v>0</v>
      </c>
      <c r="X46" s="343">
        <f>+V46-W46</f>
        <v>0</v>
      </c>
      <c r="Y46" s="687">
        <v>0</v>
      </c>
      <c r="Z46" s="343">
        <f>+X46-Y46</f>
        <v>0</v>
      </c>
    </row>
    <row r="47" spans="1:26" ht="15">
      <c r="A47" s="45">
        <f>+A46+1</f>
        <v>26</v>
      </c>
      <c r="B47" s="732" t="s">
        <v>898</v>
      </c>
      <c r="C47" s="688">
        <v>0</v>
      </c>
      <c r="D47" s="660">
        <f t="shared" si="39"/>
        <v>0</v>
      </c>
      <c r="E47" s="660">
        <f t="shared" si="40"/>
        <v>0</v>
      </c>
      <c r="F47" s="688">
        <v>0</v>
      </c>
      <c r="G47" s="688">
        <v>0</v>
      </c>
      <c r="H47" s="734" t="s">
        <v>895</v>
      </c>
      <c r="I47" s="688">
        <v>0</v>
      </c>
      <c r="J47" s="687"/>
      <c r="K47" s="662">
        <v>0</v>
      </c>
      <c r="L47" s="731">
        <f>+I47-K47</f>
        <v>0</v>
      </c>
      <c r="M47" s="688">
        <v>0</v>
      </c>
      <c r="N47" s="731">
        <f>+L47-M47</f>
        <v>0</v>
      </c>
      <c r="O47" s="688">
        <v>0</v>
      </c>
      <c r="P47" s="731">
        <f>+N47-O47</f>
        <v>0</v>
      </c>
      <c r="Q47" s="688">
        <v>0</v>
      </c>
      <c r="R47" s="731">
        <f>+P47-Q47</f>
        <v>0</v>
      </c>
      <c r="S47" s="688">
        <v>0</v>
      </c>
      <c r="T47" s="731">
        <f>+R47-S47</f>
        <v>0</v>
      </c>
      <c r="U47" s="688">
        <v>0</v>
      </c>
      <c r="V47" s="731">
        <f>+T47-U47</f>
        <v>0</v>
      </c>
      <c r="W47" s="688">
        <v>0</v>
      </c>
      <c r="X47" s="731">
        <f>+V47-W47</f>
        <v>0</v>
      </c>
      <c r="Y47" s="688">
        <v>0</v>
      </c>
      <c r="Z47" s="731">
        <f>+X47-Y47</f>
        <v>0</v>
      </c>
    </row>
    <row r="48" spans="1:26" ht="15">
      <c r="A48" s="45">
        <f>+A47+1</f>
        <v>27</v>
      </c>
      <c r="B48" s="447" t="s">
        <v>906</v>
      </c>
      <c r="C48" s="622">
        <f>+C46+C47</f>
        <v>0</v>
      </c>
      <c r="D48" s="622">
        <f>+D46+D47</f>
        <v>0</v>
      </c>
      <c r="E48" s="622">
        <f>+E46+E47</f>
        <v>0</v>
      </c>
      <c r="F48" s="622">
        <f>+F46+F47</f>
        <v>0</v>
      </c>
      <c r="G48" s="622">
        <f>+G46+G47</f>
        <v>0</v>
      </c>
      <c r="H48" s="445"/>
      <c r="I48" s="622">
        <v>0</v>
      </c>
      <c r="J48" s="622"/>
      <c r="K48" s="622">
        <v>0</v>
      </c>
      <c r="L48" s="622">
        <v>0</v>
      </c>
      <c r="M48" s="622">
        <v>0</v>
      </c>
      <c r="N48" s="622">
        <v>0</v>
      </c>
      <c r="O48" s="622">
        <v>0</v>
      </c>
      <c r="P48" s="622">
        <v>0</v>
      </c>
      <c r="Q48" s="622">
        <v>0</v>
      </c>
      <c r="R48" s="622">
        <v>0</v>
      </c>
      <c r="S48" s="622">
        <v>0</v>
      </c>
      <c r="T48" s="622">
        <v>0</v>
      </c>
      <c r="U48" s="622">
        <v>0</v>
      </c>
      <c r="V48" s="622">
        <v>0</v>
      </c>
      <c r="W48" s="622">
        <v>0</v>
      </c>
      <c r="X48" s="622">
        <v>0</v>
      </c>
      <c r="Y48" s="622">
        <v>0</v>
      </c>
      <c r="Z48" s="622">
        <v>0</v>
      </c>
    </row>
    <row r="49" spans="1:26" ht="15">
      <c r="A49" s="45"/>
      <c r="B49" s="447"/>
      <c r="C49" s="622"/>
      <c r="D49" s="622"/>
      <c r="E49" s="622"/>
      <c r="F49" s="622"/>
      <c r="G49" s="622"/>
      <c r="H49" s="445"/>
      <c r="I49" s="622"/>
      <c r="J49" s="622"/>
      <c r="K49" s="622"/>
      <c r="L49" s="343"/>
      <c r="M49" s="343"/>
      <c r="N49" s="343"/>
      <c r="O49" s="343"/>
      <c r="P49" s="343"/>
      <c r="Q49" s="343"/>
      <c r="R49" s="343"/>
      <c r="S49" s="343"/>
      <c r="T49" s="343"/>
      <c r="U49" s="343"/>
      <c r="V49" s="343"/>
      <c r="W49" s="343"/>
      <c r="X49" s="343"/>
      <c r="Y49" s="343"/>
      <c r="Z49" s="343"/>
    </row>
    <row r="50" spans="1:26" ht="15">
      <c r="A50" s="45"/>
      <c r="B50" s="444" t="s">
        <v>897</v>
      </c>
      <c r="C50" s="622"/>
      <c r="D50" s="622"/>
      <c r="E50" s="622"/>
      <c r="F50" s="622"/>
      <c r="G50" s="622"/>
      <c r="H50" s="445"/>
      <c r="I50" s="622"/>
      <c r="J50" s="622"/>
      <c r="K50" s="622"/>
      <c r="L50" s="343"/>
      <c r="M50" s="343"/>
      <c r="N50" s="343"/>
      <c r="O50" s="343"/>
      <c r="P50" s="343"/>
      <c r="Q50" s="343"/>
      <c r="R50" s="343"/>
      <c r="S50" s="343"/>
      <c r="T50" s="343"/>
      <c r="U50" s="343"/>
      <c r="V50" s="343"/>
      <c r="W50" s="343"/>
      <c r="X50" s="343"/>
      <c r="Y50" s="343"/>
      <c r="Z50" s="343"/>
    </row>
    <row r="51" spans="1:26" ht="15">
      <c r="A51" s="45">
        <f>+A48+1</f>
        <v>28</v>
      </c>
      <c r="B51" s="737" t="s">
        <v>907</v>
      </c>
      <c r="C51" s="687">
        <v>-174316942.5</v>
      </c>
      <c r="D51" s="637">
        <f t="shared" ref="D51:D52" si="42">+C51*$I$80</f>
        <v>-104590165.5</v>
      </c>
      <c r="E51" s="637">
        <f t="shared" ref="E51:E52" si="43">+C51-D51</f>
        <v>-69726777</v>
      </c>
      <c r="F51" s="687">
        <v>0</v>
      </c>
      <c r="G51" s="687">
        <v>-69726777</v>
      </c>
      <c r="H51" s="36">
        <v>0.30148496415831438</v>
      </c>
      <c r="I51" s="637">
        <v>-21021574.864719778</v>
      </c>
      <c r="J51" s="730" t="s">
        <v>237</v>
      </c>
      <c r="K51" s="638">
        <v>0</v>
      </c>
      <c r="L51" s="343">
        <f t="shared" ref="L51:L52" si="44">+I51-K51</f>
        <v>-21021574.864719778</v>
      </c>
      <c r="M51" s="854">
        <v>-1589075</v>
      </c>
      <c r="N51" s="343">
        <f t="shared" ref="N51:N52" si="45">+L51-M51</f>
        <v>-19432499.864719778</v>
      </c>
      <c r="O51" s="854">
        <v>-842411</v>
      </c>
      <c r="P51" s="343">
        <f t="shared" ref="P51:P52" si="46">+N51-O51</f>
        <v>-18590088.864719778</v>
      </c>
      <c r="Q51" s="854">
        <v>-626469</v>
      </c>
      <c r="R51" s="343">
        <f t="shared" ref="R51:R52" si="47">+P51-Q51</f>
        <v>-17963619.864719778</v>
      </c>
      <c r="S51" s="687">
        <v>-791550</v>
      </c>
      <c r="T51" s="343">
        <f t="shared" ref="T51:T52" si="48">+R51-S51</f>
        <v>-17172069.864719778</v>
      </c>
      <c r="U51" s="687">
        <v>0</v>
      </c>
      <c r="V51" s="343">
        <f t="shared" ref="V51:V52" si="49">+T51-U51</f>
        <v>-17172069.864719778</v>
      </c>
      <c r="W51" s="687">
        <v>0</v>
      </c>
      <c r="X51" s="343">
        <f t="shared" ref="X51:X52" si="50">+V51-W51</f>
        <v>-17172069.864719778</v>
      </c>
      <c r="Y51" s="687">
        <v>0</v>
      </c>
      <c r="Z51" s="343">
        <f t="shared" ref="Z51:Z52" si="51">+X51-Y51</f>
        <v>-17172069.864719778</v>
      </c>
    </row>
    <row r="52" spans="1:26" ht="15">
      <c r="A52" s="45">
        <f>+A51+1</f>
        <v>29</v>
      </c>
      <c r="B52" s="737" t="s">
        <v>908</v>
      </c>
      <c r="C52" s="688">
        <v>-84074115.473193392</v>
      </c>
      <c r="D52" s="660">
        <f t="shared" si="42"/>
        <v>-50444469.283916034</v>
      </c>
      <c r="E52" s="660">
        <f t="shared" si="43"/>
        <v>-33629646.189277358</v>
      </c>
      <c r="F52" s="688">
        <v>0</v>
      </c>
      <c r="G52" s="688">
        <v>-33629646.189277358</v>
      </c>
      <c r="H52" s="36" t="s">
        <v>895</v>
      </c>
      <c r="I52" s="853">
        <v>-10130697</v>
      </c>
      <c r="J52" s="738" t="s">
        <v>909</v>
      </c>
      <c r="K52" s="661">
        <v>0</v>
      </c>
      <c r="L52" s="731">
        <f t="shared" si="44"/>
        <v>-10130697</v>
      </c>
      <c r="M52" s="731">
        <f>+I52/10</f>
        <v>-1013069.7</v>
      </c>
      <c r="N52" s="731">
        <f t="shared" si="45"/>
        <v>-9117627.3000000007</v>
      </c>
      <c r="O52" s="731">
        <f>+I52/10</f>
        <v>-1013069.7</v>
      </c>
      <c r="P52" s="731">
        <f t="shared" si="46"/>
        <v>-8104557.6000000006</v>
      </c>
      <c r="Q52" s="731">
        <f>+P52/5</f>
        <v>-1620911.52</v>
      </c>
      <c r="R52" s="731">
        <f t="shared" si="47"/>
        <v>-6483646.0800000001</v>
      </c>
      <c r="S52" s="660">
        <f t="shared" ref="S52:Y52" si="52">+$P52/5</f>
        <v>-1620911.52</v>
      </c>
      <c r="T52" s="731">
        <f t="shared" si="48"/>
        <v>-4862734.5600000005</v>
      </c>
      <c r="U52" s="660">
        <f t="shared" si="52"/>
        <v>-1620911.52</v>
      </c>
      <c r="V52" s="731">
        <f t="shared" si="49"/>
        <v>-3241823.0400000005</v>
      </c>
      <c r="W52" s="660">
        <f t="shared" si="52"/>
        <v>-1620911.52</v>
      </c>
      <c r="X52" s="731">
        <f t="shared" si="50"/>
        <v>-1620911.5200000005</v>
      </c>
      <c r="Y52" s="660">
        <f t="shared" si="52"/>
        <v>-1620911.52</v>
      </c>
      <c r="Z52" s="731">
        <f t="shared" si="51"/>
        <v>0</v>
      </c>
    </row>
    <row r="53" spans="1:26" ht="17.25">
      <c r="A53" s="45">
        <f>+A52+1</f>
        <v>30</v>
      </c>
      <c r="B53" s="447" t="s">
        <v>899</v>
      </c>
      <c r="C53" s="623">
        <f>+SUM(C51:C52)</f>
        <v>-258391057.97319341</v>
      </c>
      <c r="D53" s="622">
        <f>+D51+D52</f>
        <v>-155034634.78391603</v>
      </c>
      <c r="E53" s="622">
        <f>+SUM(E51:E52)</f>
        <v>-103356423.18927735</v>
      </c>
      <c r="F53" s="622">
        <f>+SUM(F51:F52)</f>
        <v>0</v>
      </c>
      <c r="G53" s="622">
        <f>+SUM(G51:G52)</f>
        <v>-103356423.18927735</v>
      </c>
      <c r="H53" s="445"/>
      <c r="I53" s="739">
        <f t="shared" ref="I53:Z53" si="53">+SUM(I51:I52)</f>
        <v>-31152271.864719778</v>
      </c>
      <c r="J53" s="739"/>
      <c r="K53" s="739">
        <f t="shared" si="53"/>
        <v>0</v>
      </c>
      <c r="L53" s="739">
        <f t="shared" si="53"/>
        <v>-31152271.864719778</v>
      </c>
      <c r="M53" s="739">
        <f t="shared" si="53"/>
        <v>-2602144.7000000002</v>
      </c>
      <c r="N53" s="739">
        <f t="shared" si="53"/>
        <v>-28550127.164719779</v>
      </c>
      <c r="O53" s="740">
        <f t="shared" si="53"/>
        <v>-1855480.7</v>
      </c>
      <c r="P53" s="739">
        <f t="shared" si="53"/>
        <v>-26694646.46471978</v>
      </c>
      <c r="Q53" s="740">
        <f t="shared" si="53"/>
        <v>-2247380.52</v>
      </c>
      <c r="R53" s="739">
        <f t="shared" si="53"/>
        <v>-24447265.944719777</v>
      </c>
      <c r="S53" s="740">
        <f t="shared" si="53"/>
        <v>-2412461.52</v>
      </c>
      <c r="T53" s="739">
        <f t="shared" si="53"/>
        <v>-22034804.424719781</v>
      </c>
      <c r="U53" s="740">
        <f t="shared" si="53"/>
        <v>-1620911.52</v>
      </c>
      <c r="V53" s="739">
        <f t="shared" si="53"/>
        <v>-20413892.904719777</v>
      </c>
      <c r="W53" s="740">
        <f t="shared" si="53"/>
        <v>-1620911.52</v>
      </c>
      <c r="X53" s="739">
        <f t="shared" si="53"/>
        <v>-18792981.384719778</v>
      </c>
      <c r="Y53" s="740">
        <f t="shared" si="53"/>
        <v>-1620911.52</v>
      </c>
      <c r="Z53" s="739">
        <f t="shared" si="53"/>
        <v>-17172069.864719778</v>
      </c>
    </row>
    <row r="54" spans="1:26" ht="15">
      <c r="A54" s="45"/>
      <c r="B54" s="447"/>
      <c r="C54" s="622"/>
      <c r="D54" s="622"/>
      <c r="E54" s="622"/>
      <c r="F54" s="622"/>
      <c r="G54" s="622"/>
      <c r="H54" s="445"/>
      <c r="I54" s="622"/>
      <c r="J54" s="622"/>
      <c r="K54" s="622"/>
      <c r="L54" s="343"/>
      <c r="M54" s="343"/>
      <c r="N54" s="343"/>
      <c r="O54" s="343"/>
      <c r="P54" s="343"/>
      <c r="Q54" s="343"/>
      <c r="R54" s="343"/>
      <c r="S54" s="343"/>
      <c r="T54" s="343"/>
      <c r="U54" s="343"/>
      <c r="V54" s="343"/>
      <c r="W54" s="343"/>
      <c r="X54" s="343"/>
      <c r="Y54" s="343"/>
      <c r="Z54" s="343"/>
    </row>
    <row r="55" spans="1:26" ht="15">
      <c r="A55" s="45"/>
      <c r="B55" s="447" t="s">
        <v>900</v>
      </c>
      <c r="C55" s="622"/>
      <c r="D55" s="622"/>
      <c r="E55" s="622"/>
      <c r="F55" s="622"/>
      <c r="G55" s="622"/>
      <c r="H55" s="445"/>
      <c r="I55" s="622"/>
      <c r="J55" s="622"/>
      <c r="K55" s="622"/>
      <c r="L55" s="343"/>
      <c r="M55" s="343"/>
      <c r="N55" s="343"/>
      <c r="O55" s="343"/>
      <c r="P55" s="343"/>
      <c r="Q55" s="343"/>
      <c r="R55" s="343"/>
      <c r="S55" s="343"/>
      <c r="T55" s="343"/>
      <c r="U55" s="343"/>
      <c r="V55" s="343"/>
      <c r="W55" s="343"/>
      <c r="X55" s="343"/>
      <c r="Y55" s="343"/>
      <c r="Z55" s="343"/>
    </row>
    <row r="56" spans="1:26" ht="15">
      <c r="A56" s="45">
        <f>+A53+1</f>
        <v>31</v>
      </c>
      <c r="B56" s="737" t="s">
        <v>316</v>
      </c>
      <c r="C56" s="687">
        <v>-5722360</v>
      </c>
      <c r="D56" s="637">
        <f t="shared" ref="D56:D61" si="54">+C56*$I$80</f>
        <v>-3433416</v>
      </c>
      <c r="E56" s="637">
        <f t="shared" ref="E56:E61" si="55">+C56-D56</f>
        <v>-2288944</v>
      </c>
      <c r="F56" s="687">
        <v>0</v>
      </c>
      <c r="G56" s="687">
        <v>-2288944</v>
      </c>
      <c r="H56" s="36">
        <v>0.30148000000000003</v>
      </c>
      <c r="I56" s="637">
        <f t="shared" ref="I56:I60" si="56">+G56*H56</f>
        <v>-690070.83712000004</v>
      </c>
      <c r="J56" s="730" t="s">
        <v>883</v>
      </c>
      <c r="K56" s="638">
        <v>0</v>
      </c>
      <c r="L56" s="343">
        <f t="shared" ref="L56:L61" si="57">+I56-K56</f>
        <v>-690070.83712000004</v>
      </c>
      <c r="M56" s="343">
        <f>+I56/10</f>
        <v>-69007.083712000007</v>
      </c>
      <c r="N56" s="343">
        <f t="shared" ref="N56:N61" si="58">+L56-M56</f>
        <v>-621063.75340799999</v>
      </c>
      <c r="O56" s="343">
        <f>+I56/10</f>
        <v>-69007.083712000007</v>
      </c>
      <c r="P56" s="343">
        <f t="shared" ref="P56:P61" si="59">+N56-O56</f>
        <v>-552056.66969599994</v>
      </c>
      <c r="Q56" s="343">
        <f>+P56/5</f>
        <v>-110411.33393919999</v>
      </c>
      <c r="R56" s="343">
        <f t="shared" ref="R56:R61" si="60">+P56-Q56</f>
        <v>-441645.33575679996</v>
      </c>
      <c r="S56" s="637">
        <f t="shared" ref="S56:Y61" si="61">+$P56/5</f>
        <v>-110411.33393919999</v>
      </c>
      <c r="T56" s="343">
        <f t="shared" ref="T56:T61" si="62">+R56-S56</f>
        <v>-331234.00181759999</v>
      </c>
      <c r="U56" s="637">
        <f t="shared" si="61"/>
        <v>-110411.33393919999</v>
      </c>
      <c r="V56" s="343">
        <f t="shared" ref="V56:V61" si="63">+T56-U56</f>
        <v>-220822.66787840001</v>
      </c>
      <c r="W56" s="637">
        <f t="shared" si="61"/>
        <v>-110411.33393919999</v>
      </c>
      <c r="X56" s="343">
        <f t="shared" ref="X56:X61" si="64">+V56-W56</f>
        <v>-110411.33393920002</v>
      </c>
      <c r="Y56" s="637">
        <f t="shared" si="61"/>
        <v>-110411.33393919999</v>
      </c>
      <c r="Z56" s="343">
        <f t="shared" ref="Z56:Z61" si="65">+X56-Y56</f>
        <v>0</v>
      </c>
    </row>
    <row r="57" spans="1:26" ht="15">
      <c r="A57" s="45">
        <f>+A56+1</f>
        <v>32</v>
      </c>
      <c r="B57" s="737" t="s">
        <v>910</v>
      </c>
      <c r="C57" s="687">
        <v>-2442970</v>
      </c>
      <c r="D57" s="637">
        <f t="shared" si="54"/>
        <v>-1465782</v>
      </c>
      <c r="E57" s="637">
        <f t="shared" si="55"/>
        <v>-977188</v>
      </c>
      <c r="F57" s="687">
        <v>0</v>
      </c>
      <c r="G57" s="687">
        <v>-977188</v>
      </c>
      <c r="H57" s="36">
        <v>0.14549999999999999</v>
      </c>
      <c r="I57" s="637">
        <f t="shared" si="56"/>
        <v>-142180.85399999999</v>
      </c>
      <c r="J57" s="730" t="s">
        <v>883</v>
      </c>
      <c r="K57" s="638">
        <v>0</v>
      </c>
      <c r="L57" s="343">
        <f t="shared" si="57"/>
        <v>-142180.85399999999</v>
      </c>
      <c r="M57" s="343">
        <f t="shared" ref="M57:M61" si="66">+I57/10</f>
        <v>-14218.0854</v>
      </c>
      <c r="N57" s="343">
        <f t="shared" si="58"/>
        <v>-127962.7686</v>
      </c>
      <c r="O57" s="343">
        <f t="shared" ref="O57:O61" si="67">+I57/10</f>
        <v>-14218.0854</v>
      </c>
      <c r="P57" s="343">
        <f t="shared" si="59"/>
        <v>-113744.6832</v>
      </c>
      <c r="Q57" s="343">
        <f t="shared" ref="Q57:Q61" si="68">+P57/5</f>
        <v>-22748.93664</v>
      </c>
      <c r="R57" s="343">
        <f t="shared" si="60"/>
        <v>-90995.74656</v>
      </c>
      <c r="S57" s="637">
        <f t="shared" si="61"/>
        <v>-22748.93664</v>
      </c>
      <c r="T57" s="343">
        <f t="shared" si="62"/>
        <v>-68246.80992</v>
      </c>
      <c r="U57" s="637">
        <f t="shared" si="61"/>
        <v>-22748.93664</v>
      </c>
      <c r="V57" s="343">
        <f t="shared" si="63"/>
        <v>-45497.87328</v>
      </c>
      <c r="W57" s="637">
        <f t="shared" si="61"/>
        <v>-22748.93664</v>
      </c>
      <c r="X57" s="343">
        <f t="shared" si="64"/>
        <v>-22748.93664</v>
      </c>
      <c r="Y57" s="637">
        <f t="shared" si="61"/>
        <v>-22748.93664</v>
      </c>
      <c r="Z57" s="343">
        <f t="shared" si="65"/>
        <v>0</v>
      </c>
    </row>
    <row r="58" spans="1:26" ht="15">
      <c r="A58" s="45">
        <f t="shared" ref="A58:A61" si="69">+A57+1</f>
        <v>33</v>
      </c>
      <c r="B58" s="737" t="s">
        <v>911</v>
      </c>
      <c r="C58" s="687">
        <v>-26686865</v>
      </c>
      <c r="D58" s="637">
        <f t="shared" si="54"/>
        <v>-16012119</v>
      </c>
      <c r="E58" s="637">
        <f t="shared" si="55"/>
        <v>-10674746</v>
      </c>
      <c r="F58" s="687">
        <v>0</v>
      </c>
      <c r="G58" s="687">
        <v>-10674746</v>
      </c>
      <c r="H58" s="36">
        <v>0.14549999999999999</v>
      </c>
      <c r="I58" s="637">
        <f t="shared" si="56"/>
        <v>-1553175.5429999998</v>
      </c>
      <c r="J58" s="730" t="s">
        <v>883</v>
      </c>
      <c r="K58" s="638">
        <v>0</v>
      </c>
      <c r="L58" s="343">
        <f t="shared" si="57"/>
        <v>-1553175.5429999998</v>
      </c>
      <c r="M58" s="343">
        <f t="shared" si="66"/>
        <v>-155317.55429999999</v>
      </c>
      <c r="N58" s="343">
        <f t="shared" si="58"/>
        <v>-1397857.9886999999</v>
      </c>
      <c r="O58" s="343">
        <f t="shared" si="67"/>
        <v>-155317.55429999999</v>
      </c>
      <c r="P58" s="343">
        <f t="shared" si="59"/>
        <v>-1242540.4343999999</v>
      </c>
      <c r="Q58" s="343">
        <f t="shared" si="68"/>
        <v>-248508.08687999999</v>
      </c>
      <c r="R58" s="343">
        <f t="shared" si="60"/>
        <v>-994032.34751999995</v>
      </c>
      <c r="S58" s="637">
        <f t="shared" si="61"/>
        <v>-248508.08687999999</v>
      </c>
      <c r="T58" s="343">
        <f t="shared" si="62"/>
        <v>-745524.26063999999</v>
      </c>
      <c r="U58" s="637">
        <f t="shared" si="61"/>
        <v>-248508.08687999999</v>
      </c>
      <c r="V58" s="343">
        <f t="shared" si="63"/>
        <v>-497016.17376000003</v>
      </c>
      <c r="W58" s="637">
        <f t="shared" si="61"/>
        <v>-248508.08687999999</v>
      </c>
      <c r="X58" s="343">
        <f t="shared" si="64"/>
        <v>-248508.08688000005</v>
      </c>
      <c r="Y58" s="637">
        <f t="shared" si="61"/>
        <v>-248508.08687999999</v>
      </c>
      <c r="Z58" s="343">
        <f t="shared" si="65"/>
        <v>0</v>
      </c>
    </row>
    <row r="59" spans="1:26" ht="15">
      <c r="A59" s="45">
        <f t="shared" si="69"/>
        <v>34</v>
      </c>
      <c r="B59" s="737" t="s">
        <v>324</v>
      </c>
      <c r="C59" s="687">
        <v>-17226040</v>
      </c>
      <c r="D59" s="637">
        <f t="shared" si="54"/>
        <v>-10335624</v>
      </c>
      <c r="E59" s="637">
        <f t="shared" si="55"/>
        <v>-6890416</v>
      </c>
      <c r="F59" s="687">
        <v>0</v>
      </c>
      <c r="G59" s="687">
        <v>-6890416</v>
      </c>
      <c r="H59" s="36">
        <v>0.14549999999999999</v>
      </c>
      <c r="I59" s="637">
        <f t="shared" si="56"/>
        <v>-1002555.5279999999</v>
      </c>
      <c r="J59" s="730" t="s">
        <v>883</v>
      </c>
      <c r="K59" s="638">
        <v>0</v>
      </c>
      <c r="L59" s="343">
        <f t="shared" si="57"/>
        <v>-1002555.5279999999</v>
      </c>
      <c r="M59" s="343">
        <f t="shared" si="66"/>
        <v>-100255.55279999999</v>
      </c>
      <c r="N59" s="343">
        <f t="shared" si="58"/>
        <v>-902299.97519999999</v>
      </c>
      <c r="O59" s="343">
        <f t="shared" si="67"/>
        <v>-100255.55279999999</v>
      </c>
      <c r="P59" s="343">
        <f t="shared" si="59"/>
        <v>-802044.42240000004</v>
      </c>
      <c r="Q59" s="343">
        <f t="shared" si="68"/>
        <v>-160408.88448000001</v>
      </c>
      <c r="R59" s="343">
        <f t="shared" si="60"/>
        <v>-641635.53792000003</v>
      </c>
      <c r="S59" s="637">
        <f t="shared" si="61"/>
        <v>-160408.88448000001</v>
      </c>
      <c r="T59" s="343">
        <f t="shared" si="62"/>
        <v>-481226.65344000002</v>
      </c>
      <c r="U59" s="637">
        <f t="shared" si="61"/>
        <v>-160408.88448000001</v>
      </c>
      <c r="V59" s="343">
        <f t="shared" si="63"/>
        <v>-320817.76896000002</v>
      </c>
      <c r="W59" s="637">
        <f t="shared" si="61"/>
        <v>-160408.88448000001</v>
      </c>
      <c r="X59" s="343">
        <f t="shared" si="64"/>
        <v>-160408.88448000001</v>
      </c>
      <c r="Y59" s="637">
        <f t="shared" si="61"/>
        <v>-160408.88448000001</v>
      </c>
      <c r="Z59" s="343">
        <f t="shared" si="65"/>
        <v>0</v>
      </c>
    </row>
    <row r="60" spans="1:26" ht="15">
      <c r="A60" s="45">
        <f t="shared" si="69"/>
        <v>35</v>
      </c>
      <c r="B60" s="737" t="s">
        <v>325</v>
      </c>
      <c r="C60" s="687">
        <v>681172.5</v>
      </c>
      <c r="D60" s="637">
        <f t="shared" si="54"/>
        <v>408703.5</v>
      </c>
      <c r="E60" s="637">
        <f t="shared" si="55"/>
        <v>272469</v>
      </c>
      <c r="F60" s="687">
        <v>0</v>
      </c>
      <c r="G60" s="687">
        <v>272469</v>
      </c>
      <c r="H60" s="36">
        <v>0.14549999999999999</v>
      </c>
      <c r="I60" s="637">
        <f t="shared" si="56"/>
        <v>39644.239499999996</v>
      </c>
      <c r="J60" s="730" t="s">
        <v>883</v>
      </c>
      <c r="K60" s="638">
        <v>0</v>
      </c>
      <c r="L60" s="343">
        <f t="shared" si="57"/>
        <v>39644.239499999996</v>
      </c>
      <c r="M60" s="343">
        <f t="shared" si="66"/>
        <v>3964.4239499999994</v>
      </c>
      <c r="N60" s="343">
        <f t="shared" si="58"/>
        <v>35679.815549999999</v>
      </c>
      <c r="O60" s="343">
        <f t="shared" si="67"/>
        <v>3964.4239499999994</v>
      </c>
      <c r="P60" s="343">
        <f t="shared" si="59"/>
        <v>31715.391599999999</v>
      </c>
      <c r="Q60" s="343">
        <f t="shared" si="68"/>
        <v>6343.0783199999996</v>
      </c>
      <c r="R60" s="343">
        <f t="shared" si="60"/>
        <v>25372.313279999998</v>
      </c>
      <c r="S60" s="637">
        <f t="shared" si="61"/>
        <v>6343.0783199999996</v>
      </c>
      <c r="T60" s="343">
        <f t="shared" si="62"/>
        <v>19029.234959999998</v>
      </c>
      <c r="U60" s="637">
        <f t="shared" si="61"/>
        <v>6343.0783199999996</v>
      </c>
      <c r="V60" s="343">
        <f t="shared" si="63"/>
        <v>12686.156639999997</v>
      </c>
      <c r="W60" s="637">
        <f t="shared" si="61"/>
        <v>6343.0783199999996</v>
      </c>
      <c r="X60" s="343">
        <f t="shared" si="64"/>
        <v>6343.0783199999978</v>
      </c>
      <c r="Y60" s="637">
        <f t="shared" si="61"/>
        <v>6343.0783199999996</v>
      </c>
      <c r="Z60" s="343">
        <f t="shared" si="65"/>
        <v>0</v>
      </c>
    </row>
    <row r="61" spans="1:26" ht="15">
      <c r="A61" s="45">
        <f t="shared" si="69"/>
        <v>36</v>
      </c>
      <c r="B61" s="737" t="s">
        <v>294</v>
      </c>
      <c r="C61" s="688">
        <v>1347942.5</v>
      </c>
      <c r="D61" s="660">
        <f t="shared" si="54"/>
        <v>808765.5</v>
      </c>
      <c r="E61" s="660">
        <f t="shared" si="55"/>
        <v>539177</v>
      </c>
      <c r="F61" s="688">
        <v>0</v>
      </c>
      <c r="G61" s="688">
        <v>539177</v>
      </c>
      <c r="H61" s="36" t="s">
        <v>895</v>
      </c>
      <c r="I61" s="688">
        <v>-1055740</v>
      </c>
      <c r="J61" s="730" t="s">
        <v>883</v>
      </c>
      <c r="K61" s="659">
        <v>0</v>
      </c>
      <c r="L61" s="731">
        <f t="shared" si="57"/>
        <v>-1055740</v>
      </c>
      <c r="M61" s="731">
        <f t="shared" si="66"/>
        <v>-105574</v>
      </c>
      <c r="N61" s="731">
        <f t="shared" si="58"/>
        <v>-950166</v>
      </c>
      <c r="O61" s="731">
        <f t="shared" si="67"/>
        <v>-105574</v>
      </c>
      <c r="P61" s="731">
        <f t="shared" si="59"/>
        <v>-844592</v>
      </c>
      <c r="Q61" s="731">
        <f t="shared" si="68"/>
        <v>-168918.39999999999</v>
      </c>
      <c r="R61" s="731">
        <f t="shared" si="60"/>
        <v>-675673.59999999998</v>
      </c>
      <c r="S61" s="660">
        <f t="shared" si="61"/>
        <v>-168918.39999999999</v>
      </c>
      <c r="T61" s="731">
        <f t="shared" si="62"/>
        <v>-506755.19999999995</v>
      </c>
      <c r="U61" s="660">
        <f t="shared" si="61"/>
        <v>-168918.39999999999</v>
      </c>
      <c r="V61" s="731">
        <f t="shared" si="63"/>
        <v>-337836.79999999993</v>
      </c>
      <c r="W61" s="660">
        <f t="shared" si="61"/>
        <v>-168918.39999999999</v>
      </c>
      <c r="X61" s="731">
        <f t="shared" si="64"/>
        <v>-168918.39999999994</v>
      </c>
      <c r="Y61" s="660">
        <f t="shared" si="61"/>
        <v>-168918.39999999999</v>
      </c>
      <c r="Z61" s="731">
        <f t="shared" si="65"/>
        <v>0</v>
      </c>
    </row>
    <row r="62" spans="1:26" ht="17.25">
      <c r="A62" s="45">
        <f>+A61+1</f>
        <v>37</v>
      </c>
      <c r="B62" s="45" t="s">
        <v>912</v>
      </c>
      <c r="C62" s="623">
        <f>+SUM(C56:C61)</f>
        <v>-50049120</v>
      </c>
      <c r="D62" s="622">
        <f>+SUM(D50:D61)</f>
        <v>-340098741.56783205</v>
      </c>
      <c r="E62" s="622">
        <f>+SUM(E56:E61)</f>
        <v>-20019648</v>
      </c>
      <c r="F62" s="622">
        <f>+SUM(F56:F61)</f>
        <v>0</v>
      </c>
      <c r="G62" s="622">
        <f>+SUM(G56:G61)</f>
        <v>-20019648</v>
      </c>
      <c r="H62" s="445"/>
      <c r="I62" s="622">
        <f t="shared" ref="I62:Z62" si="70">+SUM(I56:I61)</f>
        <v>-4404078.5226199999</v>
      </c>
      <c r="J62" s="622"/>
      <c r="K62" s="622">
        <f t="shared" si="70"/>
        <v>0</v>
      </c>
      <c r="L62" s="622">
        <f t="shared" si="70"/>
        <v>-4404078.5226199999</v>
      </c>
      <c r="M62" s="622">
        <f t="shared" si="70"/>
        <v>-440407.85226199997</v>
      </c>
      <c r="N62" s="622">
        <f t="shared" si="70"/>
        <v>-3963670.6703579999</v>
      </c>
      <c r="O62" s="638">
        <f t="shared" si="70"/>
        <v>-440407.85226199997</v>
      </c>
      <c r="P62" s="622">
        <f t="shared" si="70"/>
        <v>-3523262.8180959998</v>
      </c>
      <c r="Q62" s="638">
        <f t="shared" si="70"/>
        <v>-704652.56361920002</v>
      </c>
      <c r="R62" s="622">
        <f t="shared" si="70"/>
        <v>-2818610.2544768001</v>
      </c>
      <c r="S62" s="638">
        <f t="shared" si="70"/>
        <v>-704652.56361920002</v>
      </c>
      <c r="T62" s="622">
        <f t="shared" si="70"/>
        <v>-2113957.6908576</v>
      </c>
      <c r="U62" s="638">
        <f t="shared" si="70"/>
        <v>-704652.56361920002</v>
      </c>
      <c r="V62" s="622">
        <f t="shared" si="70"/>
        <v>-1409305.1272384003</v>
      </c>
      <c r="W62" s="638">
        <f t="shared" si="70"/>
        <v>-704652.56361920002</v>
      </c>
      <c r="X62" s="622">
        <f t="shared" si="70"/>
        <v>-704652.56361920002</v>
      </c>
      <c r="Y62" s="638">
        <f t="shared" si="70"/>
        <v>-704652.56361920002</v>
      </c>
      <c r="Z62" s="622">
        <f t="shared" si="70"/>
        <v>0</v>
      </c>
    </row>
    <row r="63" spans="1:26" ht="17.25">
      <c r="A63" s="45"/>
      <c r="B63" s="45"/>
      <c r="C63" s="45"/>
      <c r="D63" s="45"/>
      <c r="E63" s="623"/>
      <c r="F63" s="623"/>
      <c r="G63" s="623"/>
      <c r="H63" s="445"/>
      <c r="I63" s="623"/>
      <c r="J63" s="623"/>
      <c r="K63" s="623"/>
      <c r="L63" s="623"/>
      <c r="M63" s="623"/>
      <c r="N63" s="623"/>
      <c r="O63" s="624"/>
      <c r="P63" s="623"/>
      <c r="Q63" s="624"/>
      <c r="R63" s="623"/>
      <c r="S63" s="624"/>
      <c r="T63" s="623"/>
      <c r="U63" s="624"/>
      <c r="V63" s="623"/>
      <c r="W63" s="624"/>
      <c r="X63" s="623"/>
      <c r="Y63" s="624"/>
      <c r="Z63" s="623"/>
    </row>
    <row r="64" spans="1:26" ht="32.25">
      <c r="A64" s="45">
        <f>+A62+1</f>
        <v>38</v>
      </c>
      <c r="B64" s="447" t="s">
        <v>902</v>
      </c>
      <c r="C64" s="447"/>
      <c r="D64" s="447"/>
      <c r="E64" s="622">
        <f>+E48+E53+E62</f>
        <v>-123376071.18927735</v>
      </c>
      <c r="F64" s="622"/>
      <c r="G64" s="622">
        <f>+G48+G53+G62</f>
        <v>-123376071.18927735</v>
      </c>
      <c r="H64" s="445"/>
      <c r="I64" s="622">
        <f>+I48+I53+I62</f>
        <v>-35556350.387339778</v>
      </c>
      <c r="J64" s="623"/>
      <c r="K64" s="622">
        <f>+K48+K53+K62</f>
        <v>0</v>
      </c>
      <c r="L64" s="622">
        <f>+L48+L53+L62</f>
        <v>-35556350.387339778</v>
      </c>
      <c r="M64" s="622">
        <f>+M48+M53+M62</f>
        <v>-3042552.5522620003</v>
      </c>
      <c r="N64" s="622">
        <f t="shared" ref="N64:Z64" si="71">+N48+N53+N62</f>
        <v>-32513797.835077778</v>
      </c>
      <c r="O64" s="622">
        <f t="shared" si="71"/>
        <v>-2295888.5522619998</v>
      </c>
      <c r="P64" s="622">
        <f t="shared" si="71"/>
        <v>-30217909.28281578</v>
      </c>
      <c r="Q64" s="622">
        <f t="shared" si="71"/>
        <v>-2952033.0836192002</v>
      </c>
      <c r="R64" s="622">
        <f t="shared" si="71"/>
        <v>-27265876.199196577</v>
      </c>
      <c r="S64" s="622">
        <f t="shared" si="71"/>
        <v>-3117114.0836192002</v>
      </c>
      <c r="T64" s="622">
        <f t="shared" si="71"/>
        <v>-24148762.115577381</v>
      </c>
      <c r="U64" s="622">
        <f t="shared" si="71"/>
        <v>-2325564.0836192002</v>
      </c>
      <c r="V64" s="622">
        <f t="shared" si="71"/>
        <v>-21823198.031958178</v>
      </c>
      <c r="W64" s="622">
        <f t="shared" si="71"/>
        <v>-2325564.0836192002</v>
      </c>
      <c r="X64" s="622">
        <f t="shared" si="71"/>
        <v>-19497633.948338978</v>
      </c>
      <c r="Y64" s="622">
        <f t="shared" si="71"/>
        <v>-2325564.0836192002</v>
      </c>
      <c r="Z64" s="622">
        <f t="shared" si="71"/>
        <v>-17172069.864719778</v>
      </c>
    </row>
    <row r="65" spans="1:27" ht="15">
      <c r="A65" s="45">
        <f>+A64+1</f>
        <v>39</v>
      </c>
      <c r="B65" s="447" t="s">
        <v>903</v>
      </c>
      <c r="C65" s="447"/>
      <c r="D65" s="447"/>
      <c r="E65" s="662">
        <v>0.26582278481012656</v>
      </c>
      <c r="F65" s="662"/>
      <c r="G65" s="662">
        <v>-31917281.164556958</v>
      </c>
      <c r="H65" s="445"/>
      <c r="I65" s="662">
        <v>-9186715.9257485475</v>
      </c>
      <c r="J65" s="622"/>
      <c r="K65" s="622"/>
      <c r="L65" s="662">
        <v>-9186715.9257485475</v>
      </c>
      <c r="M65" s="343"/>
      <c r="N65" s="662">
        <v>-8404433.3485649787</v>
      </c>
      <c r="O65" s="343"/>
      <c r="P65" s="662">
        <v>-7651869.4066739334</v>
      </c>
      <c r="Q65" s="343"/>
      <c r="R65" s="662">
        <v>-7076077.0300156642</v>
      </c>
      <c r="S65" s="343"/>
      <c r="T65" s="662">
        <v>-6500284.6533573978</v>
      </c>
      <c r="U65" s="343"/>
      <c r="V65" s="662">
        <v>-5924492.2766991286</v>
      </c>
      <c r="W65" s="343"/>
      <c r="X65" s="662">
        <v>-5348699.9000408603</v>
      </c>
      <c r="Y65" s="343"/>
      <c r="Z65" s="662">
        <v>-4772907.523382592</v>
      </c>
    </row>
    <row r="66" spans="1:27" ht="30">
      <c r="A66" s="45">
        <f>+A65+1</f>
        <v>40</v>
      </c>
      <c r="B66" s="447" t="s">
        <v>913</v>
      </c>
      <c r="C66" s="447"/>
      <c r="D66" s="447"/>
      <c r="E66" s="741">
        <f>+E64+E65</f>
        <v>-123376070.92345457</v>
      </c>
      <c r="F66" s="725"/>
      <c r="G66" s="741">
        <f>+G64+G65</f>
        <v>-155293352.3538343</v>
      </c>
      <c r="H66" s="742"/>
      <c r="I66" s="741">
        <f>+I64+I65</f>
        <v>-44743066.313088328</v>
      </c>
      <c r="J66" s="725"/>
      <c r="K66" s="725"/>
      <c r="L66" s="741">
        <f>+L64+L65</f>
        <v>-44743066.313088328</v>
      </c>
      <c r="M66" s="725"/>
      <c r="N66" s="741">
        <f>+N64+N65</f>
        <v>-40918231.18364276</v>
      </c>
      <c r="O66" s="41"/>
      <c r="P66" s="741">
        <f>+P64+P65</f>
        <v>-37869778.689489715</v>
      </c>
      <c r="Q66" s="41"/>
      <c r="R66" s="741">
        <f>+R64+R65</f>
        <v>-34341953.229212239</v>
      </c>
      <c r="S66" s="41"/>
      <c r="T66" s="741">
        <f>+T64+T65</f>
        <v>-30649046.768934779</v>
      </c>
      <c r="U66" s="41"/>
      <c r="V66" s="741">
        <f>+V64+V65</f>
        <v>-27747690.308657307</v>
      </c>
      <c r="W66" s="41"/>
      <c r="X66" s="741">
        <f>+X64+X65</f>
        <v>-24846333.848379839</v>
      </c>
      <c r="Y66" s="41"/>
      <c r="Z66" s="741">
        <f>+Z64+Z65</f>
        <v>-21944977.388102371</v>
      </c>
    </row>
    <row r="67" spans="1:27" ht="15">
      <c r="A67" s="45"/>
      <c r="B67" s="447"/>
      <c r="C67" s="447"/>
      <c r="D67" s="447"/>
      <c r="E67" s="725"/>
      <c r="F67" s="725"/>
      <c r="G67" s="725"/>
      <c r="H67" s="445"/>
      <c r="I67" s="725"/>
      <c r="J67" s="725"/>
      <c r="K67" s="725"/>
      <c r="L67" s="725"/>
      <c r="M67" s="725"/>
      <c r="N67" s="725"/>
      <c r="O67" s="41"/>
      <c r="P67" s="725"/>
      <c r="Q67" s="41"/>
      <c r="R67" s="725"/>
      <c r="S67" s="41"/>
      <c r="T67" s="725"/>
      <c r="U67" s="41"/>
      <c r="V67" s="725"/>
      <c r="W67" s="41"/>
      <c r="X67" s="725"/>
      <c r="Y67" s="41"/>
      <c r="Z67" s="725"/>
    </row>
    <row r="68" spans="1:27" ht="15">
      <c r="A68" s="45">
        <f>+A66+1</f>
        <v>41</v>
      </c>
      <c r="B68" s="447" t="s">
        <v>430</v>
      </c>
      <c r="C68" s="447"/>
      <c r="D68" s="447"/>
      <c r="E68" s="725">
        <f>+E40+E66</f>
        <v>-119471996.92345457</v>
      </c>
      <c r="F68" s="725"/>
      <c r="G68" s="725">
        <f>+G40+G66</f>
        <v>-150351486.53104949</v>
      </c>
      <c r="H68" s="445"/>
      <c r="I68" s="725">
        <f>+I40+I66</f>
        <v>-44118072.387898453</v>
      </c>
      <c r="J68" s="725"/>
      <c r="K68" s="725"/>
      <c r="L68" s="725">
        <f>+L40+L66</f>
        <v>-44118072.387898453</v>
      </c>
      <c r="M68" s="725"/>
      <c r="N68" s="725">
        <f>+N40+N66</f>
        <v>-40355736.650971875</v>
      </c>
      <c r="O68" s="41"/>
      <c r="P68" s="725">
        <f>+P40+P66</f>
        <v>-37369783.549337819</v>
      </c>
      <c r="Q68" s="41"/>
      <c r="R68" s="725">
        <f>+R40+R66</f>
        <v>-33941957.117090717</v>
      </c>
      <c r="S68" s="41"/>
      <c r="T68" s="725">
        <f>+T40+T66</f>
        <v>-30349049.684843641</v>
      </c>
      <c r="U68" s="41"/>
      <c r="V68" s="725">
        <f>+V40+V66</f>
        <v>-27288595.482044648</v>
      </c>
      <c r="W68" s="41"/>
      <c r="X68" s="725">
        <f>+X40+X66</f>
        <v>-24746334.820349459</v>
      </c>
      <c r="Y68" s="41"/>
      <c r="Z68" s="725">
        <f>+Z40+Z66</f>
        <v>-21944977.388102371</v>
      </c>
    </row>
    <row r="69" spans="1:27" ht="15">
      <c r="A69" s="45"/>
      <c r="B69" s="447"/>
      <c r="C69" s="447"/>
      <c r="D69" s="447"/>
      <c r="E69" s="725"/>
      <c r="F69" s="725"/>
      <c r="G69" s="725"/>
      <c r="H69" s="445"/>
      <c r="I69" s="725"/>
      <c r="J69" s="725"/>
      <c r="K69" s="725"/>
      <c r="L69" s="725"/>
      <c r="M69" s="725"/>
      <c r="N69" s="725"/>
      <c r="O69" s="41"/>
      <c r="P69" s="725"/>
      <c r="Q69" s="725"/>
      <c r="R69" s="725"/>
      <c r="S69" s="618"/>
      <c r="T69" s="618"/>
      <c r="U69" s="618"/>
      <c r="V69" s="618"/>
      <c r="W69" s="618"/>
      <c r="X69" s="618"/>
    </row>
    <row r="70" spans="1:27" ht="15">
      <c r="A70" s="45">
        <f>+A68+1</f>
        <v>42</v>
      </c>
      <c r="B70" s="45" t="s">
        <v>914</v>
      </c>
      <c r="C70" s="45"/>
      <c r="D70" s="45"/>
      <c r="E70" s="45"/>
      <c r="F70" s="45"/>
      <c r="G70" s="45"/>
      <c r="H70" s="45"/>
      <c r="I70" s="45"/>
      <c r="J70" s="45"/>
      <c r="K70" s="45"/>
      <c r="L70" s="45"/>
      <c r="M70" s="343">
        <f>+M38+M64</f>
        <v>-2993178.0321720005</v>
      </c>
      <c r="N70" s="45"/>
      <c r="O70" s="343">
        <f>+O38+O64</f>
        <v>-2246514.032172</v>
      </c>
      <c r="P70" s="45"/>
      <c r="Q70" s="343">
        <f>+Q38+Q64</f>
        <v>-2873033.8514752002</v>
      </c>
      <c r="S70" s="343">
        <f>+S38+S64</f>
        <v>-3038114.8514752002</v>
      </c>
      <c r="U70" s="343">
        <f>+U38+U64</f>
        <v>-2246564.8514752002</v>
      </c>
      <c r="W70" s="343">
        <f>+W38+W64</f>
        <v>-2246564.8514752002</v>
      </c>
      <c r="Y70" s="343">
        <f>+Y38+Y64</f>
        <v>-2246564.8514752002</v>
      </c>
      <c r="AA70" s="343"/>
    </row>
    <row r="71" spans="1:27" ht="15">
      <c r="A71" s="45"/>
      <c r="B71" s="45"/>
      <c r="C71" s="45"/>
      <c r="D71" s="45"/>
      <c r="E71" s="45"/>
      <c r="F71" s="45"/>
      <c r="G71" s="45"/>
      <c r="H71" s="45"/>
      <c r="I71" s="45"/>
      <c r="J71" s="45"/>
      <c r="K71" s="45"/>
      <c r="L71" s="45"/>
      <c r="M71" s="45"/>
      <c r="N71" s="45"/>
      <c r="O71" s="45"/>
      <c r="P71" s="343"/>
    </row>
    <row r="72" spans="1:27" ht="15">
      <c r="A72" s="45"/>
      <c r="B72" s="905" t="s">
        <v>915</v>
      </c>
      <c r="C72" s="905"/>
      <c r="D72" s="905"/>
      <c r="E72" s="905"/>
      <c r="F72" s="905"/>
      <c r="G72" s="905"/>
      <c r="H72" s="905"/>
      <c r="I72" s="905"/>
      <c r="J72" s="905"/>
      <c r="K72" s="905"/>
      <c r="L72" s="905"/>
      <c r="M72" s="45"/>
      <c r="N72" s="45"/>
      <c r="O72" s="45"/>
      <c r="P72" s="45"/>
    </row>
    <row r="73" spans="1:27" ht="15">
      <c r="A73" s="45"/>
      <c r="B73" s="45" t="s">
        <v>916</v>
      </c>
      <c r="C73" s="45"/>
      <c r="D73" s="45"/>
      <c r="E73" s="45"/>
      <c r="F73" s="45"/>
      <c r="G73" s="45"/>
      <c r="H73" s="45"/>
      <c r="I73" s="45"/>
      <c r="J73" s="45"/>
      <c r="K73" s="45"/>
      <c r="L73" s="45"/>
      <c r="M73" s="45"/>
      <c r="N73" s="45"/>
      <c r="O73" s="45"/>
      <c r="P73" s="45"/>
    </row>
    <row r="74" spans="1:27" ht="15">
      <c r="A74" s="45"/>
      <c r="B74" s="905" t="s">
        <v>917</v>
      </c>
      <c r="C74" s="905"/>
      <c r="D74" s="905"/>
      <c r="E74" s="905"/>
      <c r="F74" s="905"/>
      <c r="G74" s="905"/>
      <c r="H74" s="905"/>
      <c r="I74" s="905"/>
      <c r="J74" s="905"/>
      <c r="K74" s="905"/>
      <c r="L74" s="905"/>
      <c r="M74" s="45"/>
      <c r="N74" s="45"/>
      <c r="O74" s="45"/>
      <c r="P74" s="45"/>
    </row>
    <row r="75" spans="1:27" ht="15">
      <c r="A75" s="45"/>
      <c r="B75" s="45" t="s">
        <v>918</v>
      </c>
      <c r="C75" s="45"/>
      <c r="D75" s="45"/>
      <c r="E75" s="45"/>
      <c r="F75" s="45"/>
      <c r="G75" s="45"/>
      <c r="H75" s="45"/>
      <c r="I75" s="45"/>
      <c r="J75" s="45"/>
      <c r="K75" s="45"/>
      <c r="L75" s="45"/>
      <c r="M75" s="45"/>
      <c r="N75" s="45"/>
      <c r="O75" s="45"/>
      <c r="P75" s="45"/>
    </row>
    <row r="76" spans="1:27" ht="15">
      <c r="A76" s="45"/>
      <c r="B76" s="45" t="s">
        <v>919</v>
      </c>
      <c r="C76" s="45"/>
      <c r="D76" s="45"/>
      <c r="E76" s="45"/>
      <c r="F76" s="45"/>
      <c r="G76" s="45"/>
      <c r="H76" s="45"/>
      <c r="I76" s="45"/>
      <c r="J76" s="45"/>
      <c r="K76" s="45"/>
      <c r="L76" s="45"/>
      <c r="M76" s="45"/>
      <c r="N76" s="45"/>
      <c r="O76" s="45"/>
      <c r="P76" s="45"/>
    </row>
    <row r="77" spans="1:27" ht="15">
      <c r="A77" s="45"/>
      <c r="B77" s="45" t="s">
        <v>920</v>
      </c>
      <c r="C77" s="45"/>
      <c r="D77" s="45"/>
      <c r="E77" s="45"/>
      <c r="F77" s="45"/>
      <c r="G77" s="45"/>
      <c r="H77" s="45"/>
      <c r="I77" s="45"/>
      <c r="J77" s="45"/>
      <c r="K77" s="45"/>
      <c r="L77" s="45"/>
      <c r="M77" s="45"/>
      <c r="N77" s="45"/>
      <c r="O77" s="45"/>
      <c r="P77" s="45"/>
    </row>
    <row r="78" spans="1:27" ht="15">
      <c r="A78" s="45"/>
      <c r="B78" s="45"/>
      <c r="C78" s="45"/>
      <c r="D78" s="45"/>
      <c r="E78" s="45" t="s">
        <v>921</v>
      </c>
      <c r="F78" s="45"/>
      <c r="G78" s="45"/>
      <c r="H78" s="45"/>
      <c r="I78" s="464">
        <v>0.21</v>
      </c>
      <c r="J78" s="464"/>
      <c r="K78" s="45"/>
      <c r="L78" s="45"/>
      <c r="M78" s="45"/>
      <c r="N78" s="45"/>
      <c r="O78" s="45"/>
      <c r="P78" s="45"/>
    </row>
    <row r="79" spans="1:27" ht="15">
      <c r="A79" s="45"/>
      <c r="B79" s="45"/>
      <c r="C79" s="45"/>
      <c r="D79" s="45"/>
      <c r="E79" s="45" t="s">
        <v>922</v>
      </c>
      <c r="F79" s="45"/>
      <c r="G79" s="45"/>
      <c r="H79" s="45"/>
      <c r="I79" s="464">
        <v>0.35</v>
      </c>
      <c r="J79" s="464"/>
      <c r="K79" s="45"/>
      <c r="L79" s="45"/>
      <c r="M79" s="45"/>
      <c r="N79" s="45"/>
      <c r="O79" s="45"/>
      <c r="P79" s="45"/>
    </row>
    <row r="80" spans="1:27" ht="15">
      <c r="A80" s="45"/>
      <c r="B80" s="45"/>
      <c r="C80" s="45"/>
      <c r="D80" s="45"/>
      <c r="E80" s="45" t="s">
        <v>923</v>
      </c>
      <c r="F80" s="45"/>
      <c r="G80" s="45"/>
      <c r="H80" s="45"/>
      <c r="I80" s="464">
        <f>+I78/I79</f>
        <v>0.6</v>
      </c>
      <c r="J80" s="464"/>
      <c r="K80" s="45"/>
      <c r="L80" s="45"/>
      <c r="M80" s="45"/>
      <c r="N80" s="45"/>
      <c r="O80" s="45"/>
      <c r="P80" s="45"/>
    </row>
    <row r="81" spans="1:16" ht="15">
      <c r="A81" s="45"/>
      <c r="B81" s="45"/>
      <c r="C81" s="45"/>
      <c r="D81" s="45"/>
      <c r="E81" s="45"/>
      <c r="F81" s="45"/>
      <c r="G81" s="45"/>
      <c r="H81" s="45"/>
      <c r="I81" s="45"/>
      <c r="J81" s="45"/>
      <c r="K81" s="45"/>
      <c r="L81" s="45"/>
      <c r="M81" s="45"/>
      <c r="N81" s="45"/>
      <c r="O81" s="45"/>
      <c r="P81" s="45"/>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F18" sqref="F18:S18"/>
    </sheetView>
  </sheetViews>
  <sheetFormatPr defaultRowHeight="12.75"/>
  <cols>
    <col min="1" max="1" width="3.28515625"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B1" s="863" t="str">
        <f>+'9 - Excess ADIT'!I2</f>
        <v>Dayton Power and Light</v>
      </c>
      <c r="C1" s="863"/>
      <c r="D1" s="863"/>
      <c r="E1" s="863"/>
      <c r="F1" s="863"/>
      <c r="G1" s="863"/>
      <c r="H1" s="863"/>
      <c r="I1" s="863"/>
      <c r="J1" s="863"/>
      <c r="K1" s="863"/>
      <c r="L1" s="863"/>
      <c r="M1" s="863"/>
    </row>
    <row r="2" spans="1:23" ht="18" customHeight="1">
      <c r="B2" s="863" t="str">
        <f>+'9 - Excess ADIT'!I3</f>
        <v xml:space="preserve">ATTACHMENT H-15A </v>
      </c>
      <c r="C2" s="863"/>
      <c r="D2" s="863"/>
      <c r="E2" s="863"/>
      <c r="F2" s="863"/>
      <c r="G2" s="863"/>
      <c r="H2" s="863"/>
      <c r="I2" s="863"/>
      <c r="J2" s="863"/>
      <c r="K2" s="863"/>
      <c r="L2" s="863"/>
      <c r="M2" s="863"/>
      <c r="Q2" s="633"/>
    </row>
    <row r="3" spans="1:23" ht="18">
      <c r="B3" s="863" t="s">
        <v>924</v>
      </c>
      <c r="C3" s="863"/>
      <c r="D3" s="863"/>
      <c r="E3" s="863"/>
      <c r="F3" s="863"/>
      <c r="G3" s="863"/>
      <c r="H3" s="863"/>
      <c r="I3" s="863"/>
      <c r="J3" s="863"/>
      <c r="K3" s="863"/>
      <c r="L3" s="863"/>
      <c r="M3" s="863"/>
      <c r="N3" s="178"/>
      <c r="O3" s="178"/>
    </row>
    <row r="4" spans="1:23" ht="18">
      <c r="B4" s="907">
        <v>45291</v>
      </c>
      <c r="C4" s="863"/>
      <c r="D4" s="863"/>
      <c r="E4" s="863"/>
      <c r="F4" s="863"/>
      <c r="G4" s="863"/>
      <c r="H4" s="863"/>
      <c r="I4" s="863"/>
      <c r="J4" s="863"/>
      <c r="K4" s="863"/>
      <c r="L4" s="863"/>
      <c r="M4" s="863"/>
      <c r="N4" s="178"/>
      <c r="O4" s="178"/>
    </row>
    <row r="5" spans="1:23" ht="18">
      <c r="H5" s="58"/>
      <c r="I5" s="178"/>
      <c r="J5" s="178"/>
      <c r="K5" s="178"/>
      <c r="L5" s="178"/>
      <c r="M5" s="178"/>
      <c r="N5" s="178"/>
      <c r="O5" s="178"/>
    </row>
    <row r="6" spans="1:23" ht="18">
      <c r="B6" s="71" t="s">
        <v>409</v>
      </c>
      <c r="I6" s="178"/>
      <c r="J6" s="178"/>
      <c r="K6" s="178"/>
      <c r="L6" s="178"/>
      <c r="M6" s="178"/>
      <c r="N6" s="178"/>
      <c r="O6" s="178"/>
    </row>
    <row r="7" spans="1:23" ht="13.5" thickBot="1"/>
    <row r="8" spans="1:23" ht="13.5" thickBot="1">
      <c r="B8" s="356" t="s">
        <v>925</v>
      </c>
      <c r="C8" s="356"/>
      <c r="D8" s="356"/>
      <c r="E8" s="356"/>
      <c r="F8" s="356"/>
      <c r="G8" s="356"/>
      <c r="H8" s="356"/>
      <c r="I8" s="356"/>
      <c r="J8" s="356"/>
      <c r="K8" s="356"/>
      <c r="L8" s="356"/>
      <c r="M8" s="356"/>
      <c r="U8" s="710"/>
      <c r="V8" s="714" t="s">
        <v>926</v>
      </c>
      <c r="W8" s="715" t="s">
        <v>927</v>
      </c>
    </row>
    <row r="9" spans="1:23" ht="13.5" thickBot="1">
      <c r="B9" s="356"/>
      <c r="C9" s="356"/>
      <c r="D9" s="356"/>
      <c r="E9" s="356"/>
      <c r="F9" s="709" t="s">
        <v>496</v>
      </c>
      <c r="G9" s="706" t="s">
        <v>497</v>
      </c>
      <c r="H9" s="706" t="s">
        <v>498</v>
      </c>
      <c r="I9" s="706" t="s">
        <v>499</v>
      </c>
      <c r="J9" s="706" t="s">
        <v>500</v>
      </c>
      <c r="K9" s="706" t="s">
        <v>373</v>
      </c>
      <c r="L9" s="706" t="s">
        <v>501</v>
      </c>
      <c r="M9" s="706" t="s">
        <v>502</v>
      </c>
      <c r="N9" s="706" t="s">
        <v>503</v>
      </c>
      <c r="O9" s="706" t="s">
        <v>504</v>
      </c>
      <c r="P9" s="706" t="s">
        <v>505</v>
      </c>
      <c r="Q9" s="706" t="s">
        <v>506</v>
      </c>
      <c r="R9" s="706" t="s">
        <v>507</v>
      </c>
      <c r="S9" s="707" t="s">
        <v>508</v>
      </c>
      <c r="T9" s="708"/>
      <c r="U9" s="711" t="s">
        <v>271</v>
      </c>
      <c r="V9" s="712" t="s">
        <v>429</v>
      </c>
      <c r="W9" s="713" t="s">
        <v>429</v>
      </c>
    </row>
    <row r="10" spans="1:23">
      <c r="B10" s="457" t="s">
        <v>928</v>
      </c>
      <c r="C10" s="356"/>
      <c r="D10" s="356"/>
      <c r="E10" s="356"/>
      <c r="F10" s="356"/>
      <c r="G10" s="356"/>
      <c r="H10" s="356"/>
      <c r="I10" s="356"/>
      <c r="J10" s="356"/>
      <c r="K10" s="356"/>
      <c r="L10" s="356"/>
      <c r="M10" s="356"/>
      <c r="V10" s="743">
        <f>+'Appendix A'!H16</f>
        <v>0.12783050741274057</v>
      </c>
      <c r="W10" s="743">
        <f>+'Appendix A'!H24</f>
        <v>0.21059236763132333</v>
      </c>
    </row>
    <row r="11" spans="1:23">
      <c r="B11" s="356"/>
      <c r="C11" s="356"/>
      <c r="D11" s="356"/>
      <c r="E11" s="356"/>
      <c r="F11" s="356"/>
      <c r="G11" s="356"/>
      <c r="H11" s="356"/>
      <c r="I11" s="356"/>
      <c r="J11" s="356"/>
      <c r="K11" s="356"/>
      <c r="L11" s="356"/>
      <c r="M11" s="356"/>
    </row>
    <row r="12" spans="1:23">
      <c r="A12">
        <v>1</v>
      </c>
      <c r="B12" s="356" t="s">
        <v>929</v>
      </c>
      <c r="C12" s="356"/>
      <c r="D12" s="356"/>
      <c r="E12" s="356"/>
      <c r="F12" s="855">
        <v>-718965</v>
      </c>
      <c r="G12" s="855">
        <v>-1075988</v>
      </c>
      <c r="H12" s="855">
        <v>-1158461</v>
      </c>
      <c r="I12" s="855">
        <v>-1733697</v>
      </c>
      <c r="J12" s="855">
        <v>-2053576</v>
      </c>
      <c r="K12" s="855">
        <v>-2455492</v>
      </c>
      <c r="L12" s="855">
        <v>-1332778</v>
      </c>
      <c r="M12" s="855">
        <v>-1182939</v>
      </c>
      <c r="N12" s="855">
        <v>-1657584</v>
      </c>
      <c r="O12" s="855">
        <v>-2001090</v>
      </c>
      <c r="P12" s="855">
        <v>-2412267</v>
      </c>
      <c r="Q12" s="855">
        <v>-2772870</v>
      </c>
      <c r="R12" s="855">
        <v>-1272057</v>
      </c>
      <c r="S12" s="855">
        <v>-1570834</v>
      </c>
      <c r="T12" s="618"/>
      <c r="U12" s="618">
        <f>+S12</f>
        <v>-1570834</v>
      </c>
      <c r="V12" s="618"/>
      <c r="W12" s="618"/>
    </row>
    <row r="13" spans="1:23">
      <c r="B13" s="356"/>
      <c r="C13" s="356"/>
      <c r="D13" s="356"/>
      <c r="E13" s="356"/>
      <c r="F13" s="754"/>
      <c r="G13" s="754"/>
      <c r="H13" s="754"/>
      <c r="I13" s="754"/>
      <c r="J13" s="754"/>
      <c r="K13" s="754"/>
      <c r="L13" s="754"/>
      <c r="M13" s="754"/>
      <c r="N13" s="755"/>
      <c r="O13" s="755"/>
      <c r="P13" s="755"/>
      <c r="Q13" s="755"/>
      <c r="R13" s="755"/>
      <c r="S13" s="754"/>
      <c r="T13" s="618"/>
      <c r="U13" s="618"/>
      <c r="V13" s="618"/>
      <c r="W13" s="618"/>
    </row>
    <row r="14" spans="1:23">
      <c r="A14">
        <f>+A12+1</f>
        <v>2</v>
      </c>
      <c r="B14" s="356" t="s">
        <v>930</v>
      </c>
      <c r="C14" s="356"/>
      <c r="D14" s="356"/>
      <c r="E14" s="356"/>
      <c r="F14" s="855">
        <v>-12424615</v>
      </c>
      <c r="G14" s="855">
        <v>-13297037</v>
      </c>
      <c r="H14" s="855">
        <v>-12358055</v>
      </c>
      <c r="I14" s="855">
        <v>-10756262</v>
      </c>
      <c r="J14" s="855">
        <v>-10615501</v>
      </c>
      <c r="K14" s="855">
        <v>-10866237</v>
      </c>
      <c r="L14" s="855">
        <v>-11525777</v>
      </c>
      <c r="M14" s="855">
        <v>-12033404</v>
      </c>
      <c r="N14" s="855">
        <v>-12089394</v>
      </c>
      <c r="O14" s="855">
        <v>-12626760</v>
      </c>
      <c r="P14" s="855">
        <v>-13181309</v>
      </c>
      <c r="Q14" s="855">
        <v>-13025247</v>
      </c>
      <c r="R14" s="855">
        <v>-12164631</v>
      </c>
      <c r="S14" s="855">
        <v>-10969404</v>
      </c>
      <c r="T14" s="618"/>
      <c r="U14" s="618"/>
      <c r="V14" s="618">
        <f>+S14*V10</f>
        <v>-1402224.479335346</v>
      </c>
      <c r="W14" s="618"/>
    </row>
    <row r="15" spans="1:23">
      <c r="B15" s="356"/>
      <c r="C15" s="356"/>
      <c r="D15" s="356"/>
      <c r="E15" s="356"/>
      <c r="F15" s="754"/>
      <c r="G15" s="754"/>
      <c r="H15" s="754"/>
      <c r="I15" s="754"/>
      <c r="J15" s="754"/>
      <c r="K15" s="754"/>
      <c r="L15" s="754"/>
      <c r="M15" s="754"/>
      <c r="N15" s="755"/>
      <c r="O15" s="755"/>
      <c r="P15" s="755"/>
      <c r="Q15" s="755"/>
      <c r="R15" s="755"/>
      <c r="S15" s="754"/>
      <c r="T15" s="618"/>
      <c r="U15" s="618"/>
      <c r="V15" s="618"/>
      <c r="W15" s="618"/>
    </row>
    <row r="16" spans="1:23">
      <c r="A16">
        <f>+A14+1</f>
        <v>3</v>
      </c>
      <c r="B16" s="356" t="s">
        <v>931</v>
      </c>
      <c r="C16" s="356"/>
      <c r="D16" s="356"/>
      <c r="E16" s="356"/>
      <c r="F16" s="855">
        <v>0</v>
      </c>
      <c r="G16" s="855">
        <v>23654</v>
      </c>
      <c r="H16" s="855">
        <v>47088</v>
      </c>
      <c r="I16" s="855">
        <v>-654787</v>
      </c>
      <c r="J16" s="855">
        <v>-642769</v>
      </c>
      <c r="K16" s="855">
        <v>292186</v>
      </c>
      <c r="L16" s="855">
        <v>-542652</v>
      </c>
      <c r="M16" s="855">
        <v>47926</v>
      </c>
      <c r="N16" s="855">
        <v>-1147806</v>
      </c>
      <c r="O16" s="855">
        <v>-859234</v>
      </c>
      <c r="P16" s="855">
        <v>47926</v>
      </c>
      <c r="Q16" s="855">
        <v>-1126081</v>
      </c>
      <c r="R16" s="855">
        <v>43796</v>
      </c>
      <c r="S16" s="855">
        <v>-659769</v>
      </c>
      <c r="T16" s="618"/>
      <c r="U16" s="618">
        <f>+S16</f>
        <v>-659769</v>
      </c>
      <c r="V16" s="618"/>
      <c r="W16" s="618"/>
    </row>
    <row r="17" spans="1:23">
      <c r="B17" s="356"/>
      <c r="C17" s="356"/>
      <c r="D17" s="356"/>
      <c r="E17" s="356"/>
      <c r="F17" s="754"/>
      <c r="G17" s="754"/>
      <c r="H17" s="754"/>
      <c r="I17" s="754"/>
      <c r="J17" s="754"/>
      <c r="K17" s="754"/>
      <c r="L17" s="754"/>
      <c r="M17" s="754"/>
      <c r="N17" s="755"/>
      <c r="O17" s="755"/>
      <c r="P17" s="755"/>
      <c r="Q17" s="755"/>
      <c r="R17" s="755"/>
      <c r="S17" s="754"/>
      <c r="T17" s="618"/>
      <c r="U17" s="618"/>
      <c r="V17" s="618"/>
      <c r="W17" s="618"/>
    </row>
    <row r="18" spans="1:23">
      <c r="A18">
        <f>+A16+1</f>
        <v>4</v>
      </c>
      <c r="B18" s="356" t="s">
        <v>294</v>
      </c>
      <c r="C18" s="356"/>
      <c r="D18" s="356"/>
      <c r="E18" s="356"/>
      <c r="F18" s="856">
        <v>-7065378</v>
      </c>
      <c r="G18" s="856">
        <v>-5748989</v>
      </c>
      <c r="H18" s="856">
        <v>-5022876</v>
      </c>
      <c r="I18" s="856">
        <v>-3906733</v>
      </c>
      <c r="J18" s="856">
        <v>-3770749</v>
      </c>
      <c r="K18" s="856">
        <v>-3883130</v>
      </c>
      <c r="L18" s="856">
        <v>-4187057</v>
      </c>
      <c r="M18" s="856">
        <v>-4302440</v>
      </c>
      <c r="N18" s="856">
        <v>-4423956</v>
      </c>
      <c r="O18" s="856">
        <v>-4523852</v>
      </c>
      <c r="P18" s="856">
        <v>-4483292</v>
      </c>
      <c r="Q18" s="856">
        <v>-4848650</v>
      </c>
      <c r="R18" s="856">
        <v>-2998166</v>
      </c>
      <c r="S18" s="856">
        <v>-4857351</v>
      </c>
      <c r="T18" s="618"/>
      <c r="U18" s="618">
        <f>+S18</f>
        <v>-4857351</v>
      </c>
      <c r="V18" s="618"/>
      <c r="W18" s="618"/>
    </row>
    <row r="19" spans="1:23">
      <c r="B19" s="356"/>
      <c r="C19" s="356"/>
      <c r="D19" s="356"/>
      <c r="E19" s="356"/>
      <c r="F19" s="614"/>
      <c r="G19" s="614"/>
      <c r="H19" s="614"/>
      <c r="I19" s="614"/>
      <c r="J19" s="614"/>
      <c r="K19" s="614"/>
      <c r="L19" s="614"/>
      <c r="M19" s="614"/>
      <c r="S19" s="618"/>
      <c r="T19" s="618"/>
      <c r="U19" s="618"/>
      <c r="V19" s="618"/>
      <c r="W19" s="618"/>
    </row>
    <row r="20" spans="1:23">
      <c r="A20">
        <f>+A18+1</f>
        <v>5</v>
      </c>
      <c r="B20" s="356" t="s">
        <v>68</v>
      </c>
      <c r="C20" s="356"/>
      <c r="D20" s="356"/>
      <c r="E20" s="356"/>
      <c r="F20" s="614">
        <f>+SUM(F12:F18)</f>
        <v>-20208958</v>
      </c>
      <c r="G20" s="614">
        <f t="shared" ref="G20:R20" si="0">+SUM(G12:G18)</f>
        <v>-20098360</v>
      </c>
      <c r="H20" s="614">
        <f t="shared" si="0"/>
        <v>-18492304</v>
      </c>
      <c r="I20" s="614">
        <f t="shared" si="0"/>
        <v>-17051479</v>
      </c>
      <c r="J20" s="614">
        <f t="shared" si="0"/>
        <v>-17082595</v>
      </c>
      <c r="K20" s="614">
        <f t="shared" si="0"/>
        <v>-16912673</v>
      </c>
      <c r="L20" s="614">
        <f t="shared" si="0"/>
        <v>-17588264</v>
      </c>
      <c r="M20" s="614">
        <f t="shared" si="0"/>
        <v>-17470857</v>
      </c>
      <c r="N20" s="614">
        <f t="shared" si="0"/>
        <v>-19318740</v>
      </c>
      <c r="O20" s="614">
        <f t="shared" si="0"/>
        <v>-20010936</v>
      </c>
      <c r="P20" s="614">
        <f t="shared" si="0"/>
        <v>-20028942</v>
      </c>
      <c r="Q20" s="614">
        <f t="shared" si="0"/>
        <v>-21772848</v>
      </c>
      <c r="R20" s="614">
        <f t="shared" si="0"/>
        <v>-16391058</v>
      </c>
      <c r="S20" s="625">
        <f>+SUM(F20:R20)/13</f>
        <v>-18648308.769230768</v>
      </c>
      <c r="T20" s="618"/>
      <c r="U20" s="614">
        <f t="shared" ref="U20:W20" si="1">+SUM(U12:U18)</f>
        <v>-7087954</v>
      </c>
      <c r="V20" s="614">
        <f t="shared" si="1"/>
        <v>-1402224.479335346</v>
      </c>
      <c r="W20" s="614">
        <f t="shared" si="1"/>
        <v>0</v>
      </c>
    </row>
    <row r="21" spans="1:23">
      <c r="B21" s="356"/>
      <c r="C21" s="356"/>
      <c r="D21" s="356"/>
      <c r="E21" s="356"/>
      <c r="F21" s="356"/>
      <c r="G21" s="356"/>
      <c r="H21" s="356"/>
      <c r="I21" s="356"/>
      <c r="J21" s="356"/>
      <c r="K21" s="356"/>
      <c r="L21" s="356"/>
      <c r="M21" s="356"/>
      <c r="S21" s="618"/>
      <c r="T21" s="618"/>
      <c r="U21" s="618"/>
      <c r="V21" s="618"/>
      <c r="W21" s="618"/>
    </row>
    <row r="22" spans="1:23">
      <c r="A22">
        <f>+A20+1</f>
        <v>6</v>
      </c>
      <c r="B22" s="356" t="s">
        <v>932</v>
      </c>
      <c r="C22" s="356"/>
      <c r="D22" s="356"/>
      <c r="E22" s="356"/>
      <c r="F22" s="472"/>
      <c r="G22" s="472"/>
      <c r="H22" s="472"/>
      <c r="I22" s="472"/>
      <c r="J22" s="472"/>
      <c r="K22" s="472"/>
      <c r="L22" s="356"/>
      <c r="M22" s="356"/>
      <c r="S22" s="618"/>
      <c r="T22" s="618"/>
      <c r="U22" s="618"/>
      <c r="V22" s="618"/>
      <c r="W22" s="618">
        <f>+W20+V20</f>
        <v>-1402224.479335346</v>
      </c>
    </row>
    <row r="23" spans="1:23">
      <c r="B23" s="356"/>
      <c r="C23" s="356"/>
      <c r="D23" s="356"/>
      <c r="E23" s="356"/>
      <c r="F23" s="716"/>
      <c r="G23" s="497"/>
      <c r="H23" s="716"/>
      <c r="I23" s="497"/>
      <c r="J23" s="356"/>
      <c r="K23" s="356"/>
      <c r="L23" s="356"/>
      <c r="M23" s="356"/>
    </row>
    <row r="24" spans="1:23">
      <c r="B24" s="356"/>
      <c r="C24" s="356"/>
      <c r="D24" s="356"/>
      <c r="E24" s="356"/>
      <c r="F24" s="614"/>
      <c r="G24" s="614"/>
      <c r="H24" s="614"/>
      <c r="I24" s="614"/>
      <c r="J24" s="614"/>
      <c r="K24" s="614"/>
      <c r="L24" s="614"/>
      <c r="M24" s="621"/>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6"/>
  <sheetViews>
    <sheetView topLeftCell="A4" zoomScale="90" zoomScaleNormal="90" zoomScaleSheetLayoutView="90" workbookViewId="0">
      <selection activeCell="D14" sqref="D14"/>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909" t="str">
        <f>+'9 - Excess ADIT'!I2</f>
        <v>Dayton Power and Light</v>
      </c>
      <c r="B1" s="909"/>
      <c r="C1" s="909"/>
      <c r="D1" s="909"/>
      <c r="E1" s="909"/>
      <c r="F1" s="909"/>
      <c r="G1" s="909"/>
    </row>
    <row r="2" spans="1:9" ht="18">
      <c r="A2" s="865" t="str">
        <f>+'9 - Excess ADIT'!I3</f>
        <v xml:space="preserve">ATTACHMENT H-15A </v>
      </c>
      <c r="B2" s="865"/>
      <c r="C2" s="865"/>
      <c r="D2" s="865"/>
      <c r="E2" s="865"/>
      <c r="F2" s="865"/>
      <c r="G2" s="865"/>
    </row>
    <row r="3" spans="1:9" ht="18">
      <c r="A3" s="910" t="s">
        <v>1008</v>
      </c>
      <c r="B3" s="910"/>
      <c r="C3" s="910"/>
      <c r="D3" s="910"/>
      <c r="E3" s="910"/>
      <c r="F3" s="910"/>
      <c r="G3" s="910"/>
    </row>
    <row r="4" spans="1:9" ht="59.45" customHeight="1">
      <c r="A4" s="154"/>
      <c r="B4" s="45"/>
      <c r="C4" s="45"/>
      <c r="D4" s="45"/>
      <c r="E4" s="45"/>
      <c r="F4" s="524"/>
      <c r="G4" s="519"/>
      <c r="I4" s="628"/>
    </row>
    <row r="5" spans="1:9" ht="15.75">
      <c r="A5" s="154"/>
      <c r="B5" s="45"/>
      <c r="C5" s="45"/>
      <c r="D5" s="45"/>
      <c r="E5" s="45"/>
      <c r="F5" s="45"/>
      <c r="G5" s="519"/>
    </row>
    <row r="6" spans="1:9" ht="15.75">
      <c r="A6" s="154"/>
      <c r="B6" s="45" t="s">
        <v>409</v>
      </c>
      <c r="C6" s="45"/>
      <c r="D6" s="45"/>
      <c r="E6" s="45"/>
      <c r="F6" s="45"/>
      <c r="G6" s="519"/>
    </row>
    <row r="7" spans="1:9" ht="15.75">
      <c r="A7" s="523"/>
      <c r="B7" s="170"/>
      <c r="C7" s="523"/>
      <c r="D7" s="522" t="s">
        <v>335</v>
      </c>
      <c r="E7" s="523"/>
      <c r="F7" s="522" t="s">
        <v>336</v>
      </c>
      <c r="G7" s="526"/>
    </row>
    <row r="8" spans="1:9" ht="15.75">
      <c r="A8" s="45"/>
      <c r="B8" s="45"/>
      <c r="C8" s="45"/>
      <c r="D8" s="45"/>
      <c r="E8" s="45"/>
      <c r="F8" s="59" t="s">
        <v>933</v>
      </c>
      <c r="G8" s="518"/>
    </row>
    <row r="9" spans="1:9" ht="15.75">
      <c r="A9" s="45"/>
      <c r="B9" s="45"/>
      <c r="C9" s="45"/>
      <c r="D9" s="59" t="s">
        <v>934</v>
      </c>
      <c r="E9" s="45"/>
      <c r="F9" s="521"/>
      <c r="G9" s="519"/>
    </row>
    <row r="10" spans="1:9" ht="15.75">
      <c r="A10" s="59" t="s">
        <v>855</v>
      </c>
      <c r="B10" s="45"/>
      <c r="C10" s="45"/>
      <c r="D10" s="59" t="s">
        <v>935</v>
      </c>
      <c r="E10" s="45"/>
      <c r="F10" s="59" t="s">
        <v>934</v>
      </c>
      <c r="G10" s="519"/>
    </row>
    <row r="11" spans="1:9" ht="15.75">
      <c r="A11" s="53" t="s">
        <v>936</v>
      </c>
      <c r="B11" s="52" t="s">
        <v>799</v>
      </c>
      <c r="C11" s="53" t="s">
        <v>937</v>
      </c>
      <c r="D11" s="53" t="s">
        <v>938</v>
      </c>
      <c r="E11" s="45"/>
      <c r="F11" s="53" t="s">
        <v>939</v>
      </c>
      <c r="G11" s="519"/>
    </row>
    <row r="12" spans="1:9" ht="15.75">
      <c r="A12" s="45"/>
      <c r="B12" s="45"/>
      <c r="C12" s="45"/>
      <c r="D12" s="45"/>
      <c r="E12" s="45"/>
      <c r="F12" s="53"/>
      <c r="G12" s="519"/>
    </row>
    <row r="13" spans="1:9" ht="45.75">
      <c r="A13" s="520">
        <v>1</v>
      </c>
      <c r="B13" s="517" t="s">
        <v>940</v>
      </c>
      <c r="C13" s="820" t="s">
        <v>1009</v>
      </c>
      <c r="D13" s="5"/>
      <c r="E13" s="5"/>
      <c r="F13" s="516"/>
      <c r="G13" s="519"/>
    </row>
    <row r="14" spans="1:9" ht="15.75">
      <c r="A14" s="520">
        <f>+A13+1</f>
        <v>2</v>
      </c>
      <c r="B14" s="45" t="s">
        <v>941</v>
      </c>
      <c r="C14" s="818">
        <v>42432002</v>
      </c>
      <c r="D14" s="5">
        <f>+F30</f>
        <v>5864</v>
      </c>
      <c r="E14" s="5"/>
      <c r="F14" s="626">
        <f>+C14+D14</f>
        <v>42437866</v>
      </c>
      <c r="G14" s="519"/>
    </row>
    <row r="15" spans="1:9" ht="15.75">
      <c r="A15" s="520"/>
      <c r="B15" s="45"/>
      <c r="C15" s="818"/>
      <c r="D15" s="5"/>
      <c r="E15" s="5"/>
      <c r="F15" s="626"/>
      <c r="G15" s="519"/>
    </row>
    <row r="16" spans="1:9" ht="15.75">
      <c r="A16" s="520"/>
      <c r="B16" s="45"/>
      <c r="C16" s="45"/>
      <c r="D16" s="5"/>
      <c r="E16" s="5"/>
      <c r="F16" s="565"/>
      <c r="G16" s="519"/>
    </row>
    <row r="17" spans="1:9" ht="15.75">
      <c r="A17" s="520">
        <f>+A14+1</f>
        <v>3</v>
      </c>
      <c r="B17" s="821" t="s">
        <v>1017</v>
      </c>
      <c r="C17" s="531" t="s">
        <v>1010</v>
      </c>
      <c r="D17" s="532"/>
      <c r="E17" s="5"/>
      <c r="F17" s="566">
        <v>2630</v>
      </c>
      <c r="G17" s="519"/>
    </row>
    <row r="18" spans="1:9" ht="30">
      <c r="A18" s="520">
        <f t="shared" ref="A18:A28" si="0">+A17+1</f>
        <v>4</v>
      </c>
      <c r="B18" s="821" t="s">
        <v>1018</v>
      </c>
      <c r="C18" s="531" t="s">
        <v>1010</v>
      </c>
      <c r="D18" s="532"/>
      <c r="E18" s="5"/>
      <c r="F18" s="626">
        <v>2629</v>
      </c>
      <c r="G18" s="519"/>
    </row>
    <row r="19" spans="1:9" ht="15.75">
      <c r="A19" s="520"/>
      <c r="B19" s="45"/>
      <c r="C19" s="45"/>
      <c r="D19" s="356"/>
      <c r="E19" s="5"/>
      <c r="F19" s="565"/>
      <c r="G19" s="519"/>
    </row>
    <row r="20" spans="1:9" ht="15.75">
      <c r="A20" s="520">
        <f>+A18+1</f>
        <v>5</v>
      </c>
      <c r="B20" s="45" t="s">
        <v>942</v>
      </c>
      <c r="C20" s="45" t="str">
        <f>"(Line "&amp;A17&amp;" + Line "&amp;A18&amp;")"</f>
        <v>(Line 3 + Line 4)</v>
      </c>
      <c r="D20" s="356"/>
      <c r="E20" s="5"/>
      <c r="F20" s="627">
        <f>+F17+F18</f>
        <v>5259</v>
      </c>
      <c r="G20" s="519"/>
    </row>
    <row r="21" spans="1:9" ht="15.75">
      <c r="A21" s="520"/>
      <c r="B21" s="45"/>
      <c r="C21" s="45"/>
      <c r="D21" s="5"/>
      <c r="E21" s="5"/>
      <c r="F21" s="565"/>
      <c r="G21" s="519"/>
    </row>
    <row r="22" spans="1:9" ht="15.75">
      <c r="A22" s="520">
        <f>+A20+1</f>
        <v>6</v>
      </c>
      <c r="B22" s="45" t="s">
        <v>943</v>
      </c>
      <c r="C22" s="45" t="str">
        <f>"(Line "&amp;A14&amp;" + Line "&amp;A20&amp;")"</f>
        <v>(Line 2 + Line 5)</v>
      </c>
      <c r="D22" s="5"/>
      <c r="E22" s="5"/>
      <c r="F22" s="565" t="s">
        <v>612</v>
      </c>
      <c r="G22" s="519"/>
    </row>
    <row r="23" spans="1:9" ht="15.75">
      <c r="A23" s="520"/>
      <c r="B23" s="45"/>
      <c r="C23" s="45"/>
      <c r="D23" s="5"/>
      <c r="E23" s="5"/>
      <c r="F23" s="565"/>
      <c r="G23" s="519"/>
    </row>
    <row r="24" spans="1:9" ht="15.75">
      <c r="A24" s="520">
        <f>+A22+1</f>
        <v>7</v>
      </c>
      <c r="B24" s="45" t="s">
        <v>942</v>
      </c>
      <c r="C24" s="45" t="str">
        <f>"(Line "&amp;A20&amp;")"</f>
        <v>(Line 5)</v>
      </c>
      <c r="D24" s="5"/>
      <c r="E24" s="5"/>
      <c r="F24" s="565">
        <f>+F20</f>
        <v>5259</v>
      </c>
      <c r="G24" s="519"/>
    </row>
    <row r="25" spans="1:9" ht="15.75">
      <c r="A25" s="520"/>
      <c r="B25" s="45"/>
      <c r="C25" s="45"/>
      <c r="D25" s="45"/>
      <c r="E25" s="45"/>
      <c r="F25" s="45"/>
      <c r="G25" s="519"/>
    </row>
    <row r="26" spans="1:9" ht="15.75">
      <c r="A26" s="520">
        <f>+A24+1</f>
        <v>8</v>
      </c>
      <c r="B26" s="45" t="s">
        <v>944</v>
      </c>
      <c r="C26" s="45" t="s">
        <v>778</v>
      </c>
      <c r="D26" s="45"/>
      <c r="E26" s="45"/>
      <c r="F26" s="515">
        <v>0</v>
      </c>
      <c r="G26" s="519"/>
    </row>
    <row r="27" spans="1:9" ht="15.75">
      <c r="A27" s="520">
        <f t="shared" si="0"/>
        <v>9</v>
      </c>
      <c r="B27" s="45" t="s">
        <v>945</v>
      </c>
      <c r="C27" s="45" t="s">
        <v>946</v>
      </c>
      <c r="D27" s="45"/>
      <c r="E27" s="45"/>
      <c r="F27" s="566">
        <v>0</v>
      </c>
      <c r="G27" s="519"/>
    </row>
    <row r="28" spans="1:9" ht="30.75">
      <c r="A28" s="520">
        <f t="shared" si="0"/>
        <v>10</v>
      </c>
      <c r="B28" s="45" t="s">
        <v>947</v>
      </c>
      <c r="C28" s="45" t="s">
        <v>948</v>
      </c>
      <c r="D28" s="826" t="s">
        <v>1011</v>
      </c>
      <c r="E28" s="45"/>
      <c r="F28" s="627">
        <v>605</v>
      </c>
      <c r="G28" s="519"/>
      <c r="I28" s="356"/>
    </row>
    <row r="29" spans="1:9" ht="15.75">
      <c r="A29" s="520"/>
      <c r="B29" s="45"/>
      <c r="C29" s="45"/>
      <c r="D29" s="45"/>
      <c r="E29" s="45"/>
      <c r="F29" s="343"/>
      <c r="G29" s="519"/>
    </row>
    <row r="30" spans="1:9" ht="15.75">
      <c r="A30" s="520">
        <f>+A28+1</f>
        <v>11</v>
      </c>
      <c r="B30" s="45" t="s">
        <v>949</v>
      </c>
      <c r="C30" s="45" t="s">
        <v>950</v>
      </c>
      <c r="D30" s="45"/>
      <c r="E30" s="45"/>
      <c r="F30" s="565">
        <f>+F24+F28</f>
        <v>5864</v>
      </c>
      <c r="G30" s="519"/>
    </row>
    <row r="31" spans="1:9" ht="15.75">
      <c r="A31" s="520"/>
      <c r="B31" s="45"/>
      <c r="C31" s="45"/>
      <c r="D31" s="45"/>
      <c r="E31" s="45"/>
      <c r="F31" s="45"/>
      <c r="G31" s="519"/>
    </row>
    <row r="32" spans="1:9" ht="15.75">
      <c r="A32" s="45"/>
      <c r="B32" s="45"/>
      <c r="C32" s="45"/>
      <c r="D32" s="45"/>
      <c r="E32" s="45"/>
      <c r="F32" s="45"/>
      <c r="G32" s="519"/>
    </row>
    <row r="33" spans="1:7" ht="15.75">
      <c r="A33" s="498" t="s">
        <v>951</v>
      </c>
      <c r="B33" s="45"/>
      <c r="C33" s="45"/>
      <c r="D33" s="45"/>
      <c r="E33" s="45"/>
      <c r="F33" s="45"/>
      <c r="G33" s="519"/>
    </row>
    <row r="34" spans="1:7" ht="43.9" customHeight="1">
      <c r="A34" s="514" t="s">
        <v>207</v>
      </c>
      <c r="B34" s="908" t="s">
        <v>1012</v>
      </c>
      <c r="C34" s="908"/>
      <c r="D34" s="908"/>
      <c r="E34" s="908"/>
      <c r="F34" s="908"/>
      <c r="G34" s="525"/>
    </row>
    <row r="35" spans="1:7" ht="54" customHeight="1">
      <c r="A35" s="514" t="s">
        <v>209</v>
      </c>
      <c r="B35" s="908" t="s">
        <v>952</v>
      </c>
      <c r="C35" s="908"/>
      <c r="D35" s="908"/>
      <c r="E35" s="908"/>
      <c r="F35" s="908"/>
      <c r="G35" s="525"/>
    </row>
    <row r="36" spans="1:7" ht="15">
      <c r="A36" s="59" t="s">
        <v>211</v>
      </c>
      <c r="B36" s="45" t="s">
        <v>1014</v>
      </c>
      <c r="C36" s="356"/>
      <c r="D36" s="356"/>
      <c r="E36" s="356"/>
      <c r="F36" s="356"/>
    </row>
    <row r="37" spans="1:7" ht="15">
      <c r="A37" s="356"/>
      <c r="B37" s="45" t="s">
        <v>1013</v>
      </c>
      <c r="C37" s="356"/>
      <c r="D37" s="356"/>
      <c r="E37" s="356"/>
      <c r="F37" s="356"/>
    </row>
    <row r="38" spans="1:7" ht="15">
      <c r="A38" s="356"/>
      <c r="B38" s="45" t="s">
        <v>1015</v>
      </c>
      <c r="C38" s="356"/>
      <c r="D38" s="356"/>
      <c r="E38" s="356"/>
      <c r="F38" s="356"/>
    </row>
    <row r="39" spans="1:7" ht="15">
      <c r="A39" s="356"/>
      <c r="B39" s="45" t="s">
        <v>1013</v>
      </c>
      <c r="C39" s="356"/>
      <c r="D39" s="356"/>
      <c r="E39" s="356"/>
      <c r="F39" s="356"/>
    </row>
    <row r="40" spans="1:7">
      <c r="A40" s="356"/>
      <c r="B40" s="356"/>
      <c r="C40" s="356"/>
      <c r="D40" s="356"/>
      <c r="E40" s="356"/>
      <c r="F40" s="356"/>
    </row>
    <row r="41" spans="1:7">
      <c r="A41" s="356"/>
      <c r="B41" s="356"/>
      <c r="C41" s="356"/>
      <c r="D41" s="356"/>
      <c r="E41" s="356"/>
      <c r="F41" s="356"/>
    </row>
    <row r="42" spans="1:7">
      <c r="A42" s="356"/>
      <c r="B42" s="356"/>
      <c r="C42" s="356"/>
      <c r="D42" s="356"/>
      <c r="E42" s="356"/>
      <c r="F42" s="356"/>
    </row>
    <row r="43" spans="1:7">
      <c r="A43" s="356"/>
      <c r="B43" s="356"/>
      <c r="C43" s="356"/>
      <c r="D43" s="356"/>
      <c r="E43" s="356"/>
      <c r="F43" s="356"/>
    </row>
    <row r="44" spans="1:7">
      <c r="A44" s="356"/>
      <c r="B44" s="356"/>
      <c r="C44" s="356"/>
      <c r="D44" s="356"/>
      <c r="E44" s="356"/>
      <c r="F44" s="356"/>
    </row>
    <row r="45" spans="1:7">
      <c r="A45" s="356"/>
      <c r="B45" s="356"/>
      <c r="C45" s="356"/>
      <c r="D45" s="356"/>
      <c r="E45" s="356"/>
      <c r="F45" s="356"/>
    </row>
    <row r="46" spans="1:7">
      <c r="A46" s="356"/>
      <c r="B46" s="356"/>
      <c r="C46" s="356"/>
      <c r="D46" s="356"/>
      <c r="E46" s="356"/>
      <c r="F46" s="356"/>
    </row>
  </sheetData>
  <mergeCells count="5">
    <mergeCell ref="B34:F34"/>
    <mergeCell ref="B35:F35"/>
    <mergeCell ref="A1:G1"/>
    <mergeCell ref="A2:G2"/>
    <mergeCell ref="A3:G3"/>
  </mergeCells>
  <phoneticPr fontId="34" type="noConversion"/>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election activeCell="O18" sqref="O18"/>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3" ht="18">
      <c r="F1" s="367" t="s">
        <v>0</v>
      </c>
      <c r="L1" s="356"/>
    </row>
    <row r="2" spans="1:13" ht="18">
      <c r="F2" s="367" t="s">
        <v>953</v>
      </c>
    </row>
    <row r="3" spans="1:13" ht="18">
      <c r="F3" s="367" t="s">
        <v>1025</v>
      </c>
    </row>
    <row r="5" spans="1:13">
      <c r="A5" s="356"/>
    </row>
    <row r="6" spans="1:13" ht="15">
      <c r="A6" s="45" t="s">
        <v>855</v>
      </c>
      <c r="B6" s="45"/>
      <c r="C6" s="45"/>
      <c r="D6" s="45"/>
      <c r="E6" s="45"/>
      <c r="F6" s="45"/>
      <c r="G6" s="45"/>
      <c r="H6" s="45"/>
      <c r="I6" s="45"/>
      <c r="J6" s="45"/>
      <c r="K6" s="45"/>
      <c r="L6" s="59" t="s">
        <v>954</v>
      </c>
      <c r="M6" s="59" t="s">
        <v>955</v>
      </c>
    </row>
    <row r="7" spans="1:13" ht="15">
      <c r="A7" s="45"/>
      <c r="B7" s="45" t="s">
        <v>782</v>
      </c>
      <c r="C7" s="45"/>
      <c r="D7" s="45"/>
      <c r="E7" s="45"/>
      <c r="F7" s="45"/>
      <c r="G7" s="45"/>
      <c r="H7" s="45"/>
      <c r="I7" s="45"/>
      <c r="J7" s="45"/>
      <c r="K7" s="45"/>
      <c r="L7" s="53" t="s">
        <v>956</v>
      </c>
      <c r="M7" s="53" t="s">
        <v>957</v>
      </c>
    </row>
    <row r="8" spans="1:13" ht="15">
      <c r="A8" s="59">
        <v>1</v>
      </c>
      <c r="B8" s="45"/>
      <c r="C8" s="45" t="s">
        <v>958</v>
      </c>
      <c r="D8" s="45"/>
      <c r="E8" s="45"/>
      <c r="F8" s="45"/>
      <c r="G8" s="45"/>
      <c r="H8" s="45"/>
      <c r="I8" s="45"/>
      <c r="J8" s="818">
        <v>17845</v>
      </c>
      <c r="K8" s="45"/>
      <c r="L8" s="59" t="s">
        <v>959</v>
      </c>
      <c r="M8" s="45">
        <v>561.1</v>
      </c>
    </row>
    <row r="9" spans="1:13" ht="15">
      <c r="A9" s="59"/>
      <c r="B9" s="45"/>
      <c r="C9" s="45"/>
      <c r="D9" s="45"/>
      <c r="E9" s="45"/>
      <c r="F9" s="45"/>
      <c r="G9" s="45"/>
      <c r="H9" s="45"/>
      <c r="I9" s="45"/>
      <c r="J9" s="343"/>
      <c r="K9" s="45"/>
      <c r="L9" s="59"/>
      <c r="M9" s="45"/>
    </row>
    <row r="10" spans="1:13" ht="15">
      <c r="A10" s="59">
        <f>+A8+1</f>
        <v>2</v>
      </c>
      <c r="B10" s="45"/>
      <c r="C10" s="45" t="s">
        <v>960</v>
      </c>
      <c r="D10" s="45"/>
      <c r="E10" s="45"/>
      <c r="F10" s="45"/>
      <c r="G10" s="45"/>
      <c r="H10" s="45"/>
      <c r="I10" s="45"/>
      <c r="J10" s="582">
        <v>418856</v>
      </c>
      <c r="K10" s="45"/>
      <c r="L10" s="59" t="s">
        <v>961</v>
      </c>
      <c r="M10" s="45">
        <v>561.20000000000005</v>
      </c>
    </row>
    <row r="11" spans="1:13" ht="15">
      <c r="A11" s="59"/>
      <c r="B11" s="45"/>
      <c r="C11" s="45"/>
      <c r="D11" s="45"/>
      <c r="E11" s="45"/>
      <c r="F11" s="45"/>
      <c r="G11" s="45"/>
      <c r="H11" s="45"/>
      <c r="I11" s="45"/>
      <c r="J11" s="343"/>
      <c r="K11" s="45"/>
      <c r="L11" s="59"/>
      <c r="M11" s="45"/>
    </row>
    <row r="12" spans="1:13" ht="15">
      <c r="A12" s="59">
        <f>+A10+1</f>
        <v>3</v>
      </c>
      <c r="B12" s="45"/>
      <c r="C12" s="45" t="s">
        <v>962</v>
      </c>
      <c r="D12" s="45"/>
      <c r="E12" s="45"/>
      <c r="F12" s="45"/>
      <c r="G12" s="45"/>
      <c r="H12" s="45"/>
      <c r="I12" s="45"/>
      <c r="J12" s="582">
        <v>0</v>
      </c>
      <c r="K12" s="45"/>
      <c r="L12" s="59" t="s">
        <v>963</v>
      </c>
      <c r="M12" s="45">
        <v>561.29999999999995</v>
      </c>
    </row>
    <row r="13" spans="1:13" ht="15">
      <c r="A13" s="59"/>
      <c r="B13" s="45"/>
      <c r="C13" s="45"/>
      <c r="D13" s="45"/>
      <c r="E13" s="45"/>
      <c r="F13" s="45"/>
      <c r="G13" s="45"/>
      <c r="H13" s="45"/>
      <c r="I13" s="45"/>
      <c r="J13" s="343"/>
      <c r="K13" s="45"/>
      <c r="L13" s="59"/>
      <c r="M13" s="45"/>
    </row>
    <row r="14" spans="1:13" ht="15">
      <c r="A14" s="59">
        <f>+A12+1</f>
        <v>4</v>
      </c>
      <c r="B14" s="45"/>
      <c r="C14" s="45" t="s">
        <v>964</v>
      </c>
      <c r="D14" s="45"/>
      <c r="E14" s="45"/>
      <c r="F14" s="45"/>
      <c r="G14" s="45"/>
      <c r="H14" s="45"/>
      <c r="I14" s="45"/>
      <c r="J14" s="819">
        <v>-84294.04</v>
      </c>
      <c r="K14" s="45"/>
      <c r="L14" s="59" t="s">
        <v>965</v>
      </c>
      <c r="M14" s="45"/>
    </row>
    <row r="15" spans="1:13" ht="15">
      <c r="A15" s="59"/>
      <c r="B15" s="45"/>
      <c r="C15" s="45"/>
      <c r="D15" s="45"/>
      <c r="E15" s="45"/>
      <c r="F15" s="45"/>
      <c r="G15" s="45"/>
      <c r="H15" s="45"/>
      <c r="I15" s="45"/>
      <c r="J15" s="45"/>
      <c r="K15" s="45"/>
      <c r="L15" s="59"/>
      <c r="M15" s="45"/>
    </row>
    <row r="16" spans="1:13" ht="28.9" customHeight="1">
      <c r="A16" s="59">
        <f>+A14+1</f>
        <v>5</v>
      </c>
      <c r="B16" s="45"/>
      <c r="C16" s="45" t="s">
        <v>68</v>
      </c>
      <c r="D16" s="45"/>
      <c r="E16" s="45"/>
      <c r="F16" s="45"/>
      <c r="G16" s="45"/>
      <c r="H16" s="45"/>
      <c r="I16" s="45"/>
      <c r="J16" s="343">
        <f>+SUM(J8:J14)</f>
        <v>352406.96</v>
      </c>
      <c r="K16" s="45"/>
      <c r="L16" s="689" t="str">
        <f>"(Line "&amp;A8&amp;" + Line "&amp;A10&amp;" + Line "&amp;A12&amp;" + Line "&amp;A14&amp;")"</f>
        <v>(Line 1 + Line 2 + Line 3 + Line 4)</v>
      </c>
      <c r="M16" s="45"/>
    </row>
    <row r="17" spans="1:13" ht="15">
      <c r="A17" s="59"/>
      <c r="B17" s="45"/>
      <c r="C17" s="45"/>
      <c r="D17" s="45"/>
      <c r="E17" s="45"/>
      <c r="F17" s="45"/>
      <c r="G17" s="45"/>
      <c r="H17" s="45"/>
      <c r="I17" s="45"/>
      <c r="J17" s="343"/>
      <c r="K17" s="45"/>
      <c r="L17" s="59"/>
      <c r="M17" s="45"/>
    </row>
    <row r="18" spans="1:13" ht="105">
      <c r="A18" s="59">
        <f>+A16+1</f>
        <v>6</v>
      </c>
      <c r="B18" s="45" t="s">
        <v>966</v>
      </c>
      <c r="C18" s="45"/>
      <c r="D18" s="45"/>
      <c r="E18" s="45"/>
      <c r="F18" s="45"/>
      <c r="G18" s="45"/>
      <c r="H18" s="45"/>
      <c r="I18" s="45"/>
      <c r="J18" s="582">
        <v>14272903</v>
      </c>
      <c r="K18" s="45"/>
      <c r="L18" s="689" t="s">
        <v>967</v>
      </c>
      <c r="M18" s="45"/>
    </row>
    <row r="19" spans="1:13" ht="15">
      <c r="A19" s="59"/>
      <c r="B19" s="45"/>
      <c r="C19" s="45"/>
      <c r="D19" s="45"/>
      <c r="E19" s="45"/>
      <c r="F19" s="45"/>
      <c r="G19" s="45"/>
      <c r="H19" s="45"/>
      <c r="I19" s="45"/>
      <c r="J19" s="45"/>
      <c r="K19" s="45"/>
      <c r="L19" s="59"/>
      <c r="M19" s="45"/>
    </row>
    <row r="20" spans="1:13" ht="15">
      <c r="A20" s="59">
        <f>+A18+1</f>
        <v>7</v>
      </c>
      <c r="B20" s="45" t="s">
        <v>968</v>
      </c>
      <c r="C20" s="45"/>
      <c r="D20" s="45"/>
      <c r="E20" s="45"/>
      <c r="F20" s="45"/>
      <c r="G20" s="45"/>
      <c r="H20" s="45"/>
      <c r="I20" s="45"/>
      <c r="J20" s="797">
        <f>+J16/J18</f>
        <v>2.4690629509637949E-2</v>
      </c>
      <c r="K20" s="45"/>
      <c r="L20" s="59" t="str">
        <f>"(Line "&amp;A16&amp;" / Line "&amp;A18&amp;")"</f>
        <v>(Line 5 / Line 6)</v>
      </c>
      <c r="M20" s="45"/>
    </row>
    <row r="21" spans="1:13" ht="15">
      <c r="A21" s="59"/>
      <c r="B21" s="45"/>
      <c r="C21" s="45"/>
      <c r="D21" s="45"/>
      <c r="E21" s="45"/>
      <c r="F21" s="45"/>
      <c r="G21" s="45"/>
      <c r="H21" s="45"/>
      <c r="I21" s="45"/>
      <c r="J21" s="45"/>
      <c r="K21" s="45"/>
      <c r="L21" s="45"/>
      <c r="M21" s="45"/>
    </row>
    <row r="22" spans="1:13">
      <c r="A22" s="400"/>
    </row>
    <row r="23" spans="1:13">
      <c r="A23" s="400"/>
    </row>
    <row r="24" spans="1:13">
      <c r="A24" s="400"/>
    </row>
    <row r="25" spans="1:13">
      <c r="A25" s="400"/>
    </row>
    <row r="26" spans="1:13">
      <c r="A26" s="400"/>
    </row>
    <row r="27" spans="1:13">
      <c r="A27" s="400"/>
    </row>
  </sheetData>
  <pageMargins left="0.7" right="0.7" top="0.75" bottom="0.75" header="0.3" footer="0.3"/>
  <pageSetup scale="78"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37"/>
  <sheetViews>
    <sheetView workbookViewId="0">
      <selection activeCell="L9" sqref="L9"/>
    </sheetView>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B1" s="863" t="str">
        <f>+'9 - Excess ADIT'!I2</f>
        <v>Dayton Power and Light</v>
      </c>
      <c r="C1" s="863"/>
      <c r="D1" s="863"/>
      <c r="E1" s="863"/>
      <c r="F1" s="863"/>
      <c r="G1" s="863"/>
      <c r="H1" s="863"/>
      <c r="I1" s="863"/>
      <c r="J1" s="863"/>
      <c r="K1" s="863"/>
      <c r="L1" s="863"/>
      <c r="M1" s="863"/>
    </row>
    <row r="2" spans="1:14" ht="15.75">
      <c r="B2" s="863" t="str">
        <f>+'9 - Excess ADIT'!I3</f>
        <v xml:space="preserve">ATTACHMENT H-15A </v>
      </c>
      <c r="C2" s="863"/>
      <c r="D2" s="863"/>
      <c r="E2" s="863"/>
      <c r="F2" s="863"/>
      <c r="G2" s="863"/>
      <c r="H2" s="863"/>
      <c r="I2" s="863"/>
      <c r="J2" s="863"/>
      <c r="K2" s="863"/>
      <c r="L2" s="863"/>
      <c r="M2" s="863"/>
    </row>
    <row r="3" spans="1:14" ht="15.75">
      <c r="B3" s="863" t="s">
        <v>969</v>
      </c>
      <c r="C3" s="863"/>
      <c r="D3" s="863"/>
      <c r="E3" s="863"/>
      <c r="F3" s="863"/>
      <c r="G3" s="863"/>
      <c r="H3" s="863"/>
      <c r="I3" s="863"/>
      <c r="J3" s="863"/>
      <c r="K3" s="863"/>
      <c r="L3" s="863"/>
      <c r="M3" s="863"/>
    </row>
    <row r="4" spans="1:14" ht="15.75">
      <c r="B4" s="907">
        <v>45291</v>
      </c>
      <c r="C4" s="863"/>
      <c r="D4" s="863"/>
      <c r="E4" s="863"/>
      <c r="F4" s="863"/>
      <c r="G4" s="863"/>
      <c r="H4" s="863"/>
      <c r="I4" s="863"/>
      <c r="J4" s="863"/>
      <c r="K4" s="863"/>
      <c r="L4" s="863"/>
      <c r="M4" s="863"/>
    </row>
    <row r="5" spans="1:14" ht="15.75">
      <c r="B5" s="159"/>
      <c r="C5" s="159"/>
      <c r="D5" s="159"/>
      <c r="E5" s="159"/>
      <c r="F5" s="159"/>
      <c r="G5" s="159"/>
      <c r="H5" s="159"/>
      <c r="I5" s="159"/>
      <c r="J5" s="159"/>
      <c r="K5" s="159"/>
      <c r="L5" s="159"/>
      <c r="M5" s="159"/>
    </row>
    <row r="6" spans="1:14">
      <c r="H6" s="901" t="s">
        <v>970</v>
      </c>
      <c r="I6" s="901"/>
      <c r="J6" s="901"/>
      <c r="K6" s="901"/>
      <c r="L6" s="901"/>
    </row>
    <row r="7" spans="1:14" ht="47.25" customHeight="1">
      <c r="A7" s="356" t="s">
        <v>855</v>
      </c>
      <c r="B7" s="721" t="s">
        <v>799</v>
      </c>
      <c r="C7" s="721"/>
      <c r="D7" s="721" t="s">
        <v>495</v>
      </c>
      <c r="E7" s="721"/>
      <c r="F7" s="721" t="s">
        <v>437</v>
      </c>
      <c r="G7" s="721"/>
      <c r="H7" s="721" t="s">
        <v>57</v>
      </c>
      <c r="I7" s="721"/>
      <c r="J7" s="721" t="s">
        <v>971</v>
      </c>
      <c r="K7" s="721"/>
      <c r="L7" s="721" t="s">
        <v>294</v>
      </c>
      <c r="N7" s="726" t="s">
        <v>972</v>
      </c>
    </row>
    <row r="9" spans="1:14">
      <c r="A9">
        <v>1</v>
      </c>
      <c r="B9" s="356" t="s">
        <v>973</v>
      </c>
      <c r="D9">
        <v>920</v>
      </c>
      <c r="F9" s="857">
        <v>15902372</v>
      </c>
      <c r="G9" s="722"/>
      <c r="H9" s="857">
        <v>2397960</v>
      </c>
      <c r="I9" s="639"/>
      <c r="J9" s="857">
        <v>13504412</v>
      </c>
      <c r="K9" s="639"/>
      <c r="L9" s="857">
        <v>0</v>
      </c>
      <c r="N9" s="802">
        <f>+L9</f>
        <v>0</v>
      </c>
    </row>
    <row r="10" spans="1:14">
      <c r="F10" s="639"/>
      <c r="G10" s="722"/>
      <c r="H10" s="639"/>
      <c r="I10" s="639"/>
      <c r="J10" s="639"/>
      <c r="K10" s="639"/>
      <c r="L10" s="639"/>
      <c r="N10" s="180"/>
    </row>
    <row r="11" spans="1:14">
      <c r="A11">
        <f>+A9+1</f>
        <v>2</v>
      </c>
      <c r="B11" s="356" t="s">
        <v>974</v>
      </c>
      <c r="D11">
        <v>921</v>
      </c>
      <c r="F11" s="857">
        <v>13509373</v>
      </c>
      <c r="G11" s="722"/>
      <c r="H11" s="857">
        <v>520001</v>
      </c>
      <c r="I11" s="639"/>
      <c r="J11" s="857">
        <v>12909621</v>
      </c>
      <c r="K11" s="639"/>
      <c r="L11" s="857">
        <v>79750</v>
      </c>
      <c r="N11" s="802">
        <f>+L11</f>
        <v>79750</v>
      </c>
    </row>
    <row r="12" spans="1:14">
      <c r="F12" s="639"/>
      <c r="G12" s="722"/>
      <c r="H12" s="639"/>
      <c r="I12" s="639"/>
      <c r="J12" s="639"/>
      <c r="K12" s="639"/>
      <c r="L12" s="639"/>
      <c r="N12" s="180"/>
    </row>
    <row r="13" spans="1:14">
      <c r="A13">
        <f>+A11+1</f>
        <v>3</v>
      </c>
      <c r="B13" s="356" t="s">
        <v>975</v>
      </c>
      <c r="D13">
        <v>922</v>
      </c>
      <c r="F13" s="857">
        <v>-1617063</v>
      </c>
      <c r="G13" s="722"/>
      <c r="H13" s="857">
        <v>-141491</v>
      </c>
      <c r="I13" s="639"/>
      <c r="J13" s="857">
        <v>-1475573</v>
      </c>
      <c r="K13" s="639"/>
      <c r="L13" s="857">
        <v>0</v>
      </c>
      <c r="N13" s="802">
        <f>+L13</f>
        <v>0</v>
      </c>
    </row>
    <row r="14" spans="1:14">
      <c r="F14" s="639"/>
      <c r="G14" s="722"/>
      <c r="H14" s="639"/>
      <c r="I14" s="639"/>
      <c r="J14" s="639"/>
      <c r="K14" s="639"/>
      <c r="L14" s="639"/>
      <c r="N14" s="180"/>
    </row>
    <row r="15" spans="1:14">
      <c r="A15">
        <f>+A13+1</f>
        <v>4</v>
      </c>
      <c r="B15" s="356" t="s">
        <v>976</v>
      </c>
      <c r="D15">
        <v>923</v>
      </c>
      <c r="F15" s="857">
        <v>11125616</v>
      </c>
      <c r="G15" s="722"/>
      <c r="H15" s="857">
        <v>614771</v>
      </c>
      <c r="I15" s="639"/>
      <c r="J15" s="857">
        <v>10510671</v>
      </c>
      <c r="K15" s="639"/>
      <c r="L15" s="857">
        <v>175</v>
      </c>
      <c r="N15" s="802">
        <f>+L15</f>
        <v>175</v>
      </c>
    </row>
    <row r="16" spans="1:14">
      <c r="F16" s="639"/>
      <c r="G16" s="722"/>
      <c r="H16" s="639"/>
      <c r="I16" s="639"/>
      <c r="J16" s="639"/>
      <c r="K16" s="639"/>
      <c r="L16" s="639"/>
      <c r="N16" s="180"/>
    </row>
    <row r="17" spans="1:14">
      <c r="A17">
        <f>+A15+1</f>
        <v>5</v>
      </c>
      <c r="B17" s="356" t="s">
        <v>977</v>
      </c>
      <c r="D17">
        <v>924</v>
      </c>
      <c r="F17" s="857">
        <v>4114124</v>
      </c>
      <c r="G17" s="722"/>
      <c r="H17" s="857">
        <v>1276116</v>
      </c>
      <c r="I17" s="639"/>
      <c r="J17" s="857">
        <v>2838008</v>
      </c>
      <c r="K17" s="639"/>
      <c r="L17" s="857">
        <v>0</v>
      </c>
      <c r="N17" s="802">
        <f>+L17</f>
        <v>0</v>
      </c>
    </row>
    <row r="18" spans="1:14">
      <c r="F18" s="639"/>
      <c r="G18" s="722"/>
      <c r="H18" s="639"/>
      <c r="I18" s="639"/>
      <c r="J18" s="639"/>
      <c r="K18" s="639"/>
      <c r="L18" s="639"/>
      <c r="N18" s="180"/>
    </row>
    <row r="19" spans="1:14">
      <c r="A19">
        <f>+A17+1</f>
        <v>6</v>
      </c>
      <c r="B19" s="356" t="s">
        <v>978</v>
      </c>
      <c r="D19">
        <v>925</v>
      </c>
      <c r="F19" s="857">
        <v>3750634</v>
      </c>
      <c r="G19" s="722"/>
      <c r="H19" s="857">
        <v>435096</v>
      </c>
      <c r="I19" s="639"/>
      <c r="J19" s="857">
        <v>3272005</v>
      </c>
      <c r="K19" s="639"/>
      <c r="L19" s="857">
        <v>43533</v>
      </c>
      <c r="N19" s="802">
        <f>+L19</f>
        <v>43533</v>
      </c>
    </row>
    <row r="20" spans="1:14">
      <c r="F20" s="639"/>
      <c r="G20" s="722"/>
      <c r="H20" s="639"/>
      <c r="I20" s="639"/>
      <c r="J20" s="639"/>
      <c r="K20" s="639"/>
      <c r="L20" s="639"/>
      <c r="N20" s="180"/>
    </row>
    <row r="21" spans="1:14">
      <c r="A21">
        <f>+A19+1</f>
        <v>7</v>
      </c>
      <c r="B21" s="356" t="s">
        <v>979</v>
      </c>
      <c r="D21">
        <v>926</v>
      </c>
      <c r="F21" s="857">
        <v>9713957</v>
      </c>
      <c r="G21" s="722"/>
      <c r="H21" s="857">
        <v>913287</v>
      </c>
      <c r="I21" s="639"/>
      <c r="J21" s="857">
        <v>8794986</v>
      </c>
      <c r="K21" s="639"/>
      <c r="L21" s="857">
        <v>5685</v>
      </c>
      <c r="N21" s="802">
        <f>+L21</f>
        <v>5685</v>
      </c>
    </row>
    <row r="22" spans="1:14">
      <c r="F22" s="639"/>
      <c r="G22" s="722"/>
      <c r="H22" s="639"/>
      <c r="I22" s="639"/>
      <c r="J22" s="639"/>
      <c r="K22" s="639"/>
      <c r="L22" s="639"/>
      <c r="N22" s="180"/>
    </row>
    <row r="23" spans="1:14">
      <c r="A23">
        <f>+A21+1</f>
        <v>8</v>
      </c>
      <c r="B23" s="356" t="s">
        <v>980</v>
      </c>
      <c r="D23">
        <v>927</v>
      </c>
      <c r="F23" s="857">
        <v>0</v>
      </c>
      <c r="G23" s="722"/>
      <c r="H23" s="857">
        <v>0</v>
      </c>
      <c r="I23" s="639"/>
      <c r="J23" s="857">
        <v>0</v>
      </c>
      <c r="K23" s="639"/>
      <c r="L23" s="857">
        <v>0</v>
      </c>
      <c r="N23" s="802">
        <f>+L23</f>
        <v>0</v>
      </c>
    </row>
    <row r="24" spans="1:14">
      <c r="F24" s="639"/>
      <c r="G24" s="722"/>
      <c r="H24" s="639"/>
      <c r="I24" s="639"/>
      <c r="J24" s="639"/>
      <c r="K24" s="639"/>
      <c r="L24" s="639"/>
      <c r="N24" s="180"/>
    </row>
    <row r="25" spans="1:14">
      <c r="A25">
        <f>+A23+1</f>
        <v>9</v>
      </c>
      <c r="B25" s="356" t="s">
        <v>981</v>
      </c>
      <c r="D25">
        <v>928</v>
      </c>
      <c r="F25" s="857">
        <v>3738415</v>
      </c>
      <c r="G25" s="722"/>
      <c r="H25" s="857">
        <v>155383</v>
      </c>
      <c r="I25" s="639"/>
      <c r="J25" s="857">
        <v>3583032</v>
      </c>
      <c r="K25" s="639"/>
      <c r="L25" s="857">
        <v>0</v>
      </c>
      <c r="N25" s="802">
        <f>+L25</f>
        <v>0</v>
      </c>
    </row>
    <row r="26" spans="1:14">
      <c r="F26" s="639"/>
      <c r="G26" s="722"/>
      <c r="H26" s="639"/>
      <c r="I26" s="639"/>
      <c r="J26" s="639"/>
      <c r="K26" s="639"/>
      <c r="L26" s="639"/>
      <c r="N26" s="180"/>
    </row>
    <row r="27" spans="1:14">
      <c r="A27">
        <f>+A25+1</f>
        <v>10</v>
      </c>
      <c r="B27" s="356" t="s">
        <v>982</v>
      </c>
      <c r="D27">
        <v>929</v>
      </c>
      <c r="F27" s="857">
        <v>-723078</v>
      </c>
      <c r="G27" s="722"/>
      <c r="H27" s="857">
        <v>0</v>
      </c>
      <c r="I27" s="639"/>
      <c r="J27" s="857">
        <v>-723078</v>
      </c>
      <c r="K27" s="639"/>
      <c r="L27" s="857">
        <v>0</v>
      </c>
      <c r="N27" s="802">
        <f>+L27</f>
        <v>0</v>
      </c>
    </row>
    <row r="28" spans="1:14">
      <c r="F28" s="639"/>
      <c r="G28" s="722"/>
      <c r="H28" s="639"/>
      <c r="I28" s="639"/>
      <c r="J28" s="639"/>
      <c r="K28" s="639"/>
      <c r="L28" s="639"/>
      <c r="N28" s="180"/>
    </row>
    <row r="29" spans="1:14">
      <c r="A29">
        <f>+A27+1</f>
        <v>11</v>
      </c>
      <c r="B29" s="356" t="s">
        <v>983</v>
      </c>
      <c r="D29">
        <v>930.1</v>
      </c>
      <c r="F29" s="857">
        <v>1101719</v>
      </c>
      <c r="G29" s="722"/>
      <c r="H29" s="857">
        <v>21482</v>
      </c>
      <c r="I29" s="639"/>
      <c r="J29" s="857">
        <v>1080237</v>
      </c>
      <c r="K29" s="639"/>
      <c r="L29" s="857">
        <v>0</v>
      </c>
      <c r="N29" s="802">
        <f>+L29</f>
        <v>0</v>
      </c>
    </row>
    <row r="30" spans="1:14">
      <c r="F30" s="639"/>
      <c r="G30" s="722"/>
      <c r="H30" s="639"/>
      <c r="I30" s="639"/>
      <c r="J30" s="639"/>
      <c r="K30" s="639"/>
      <c r="L30" s="639"/>
      <c r="N30" s="180"/>
    </row>
    <row r="31" spans="1:14">
      <c r="A31">
        <f>+A29+1</f>
        <v>12</v>
      </c>
      <c r="B31" s="356" t="s">
        <v>984</v>
      </c>
      <c r="D31">
        <v>930.2</v>
      </c>
      <c r="F31" s="857">
        <v>1996650</v>
      </c>
      <c r="G31" s="722"/>
      <c r="H31" s="857">
        <v>28714</v>
      </c>
      <c r="I31" s="639"/>
      <c r="J31" s="857">
        <v>1967935</v>
      </c>
      <c r="K31" s="639"/>
      <c r="L31" s="857">
        <v>0</v>
      </c>
      <c r="N31" s="802">
        <f>+L31</f>
        <v>0</v>
      </c>
    </row>
    <row r="32" spans="1:14">
      <c r="F32" s="639"/>
      <c r="G32" s="722"/>
      <c r="H32" s="639"/>
      <c r="I32" s="639"/>
      <c r="J32" s="639"/>
      <c r="K32" s="639"/>
      <c r="L32" s="639"/>
      <c r="N32" s="180"/>
    </row>
    <row r="33" spans="1:14">
      <c r="A33">
        <f>+A31+1</f>
        <v>13</v>
      </c>
      <c r="B33" s="356" t="s">
        <v>985</v>
      </c>
      <c r="D33">
        <v>931</v>
      </c>
      <c r="F33" s="857">
        <v>62561</v>
      </c>
      <c r="G33" s="722"/>
      <c r="H33" s="857">
        <v>3095</v>
      </c>
      <c r="I33" s="639"/>
      <c r="J33" s="857">
        <v>59466</v>
      </c>
      <c r="K33" s="639"/>
      <c r="L33" s="857">
        <v>0</v>
      </c>
      <c r="N33" s="802">
        <f>+L33</f>
        <v>0</v>
      </c>
    </row>
    <row r="34" spans="1:14">
      <c r="F34" s="639"/>
      <c r="G34" s="722"/>
      <c r="H34" s="639"/>
      <c r="I34" s="639"/>
      <c r="J34" s="639"/>
      <c r="K34" s="639"/>
      <c r="L34" s="639"/>
      <c r="N34" s="180"/>
    </row>
    <row r="35" spans="1:14">
      <c r="A35">
        <f>+A33+1</f>
        <v>14</v>
      </c>
      <c r="B35" s="356" t="s">
        <v>986</v>
      </c>
      <c r="D35">
        <v>935</v>
      </c>
      <c r="F35" s="857">
        <v>4658098</v>
      </c>
      <c r="G35" s="722"/>
      <c r="H35" s="857">
        <v>82070</v>
      </c>
      <c r="I35" s="639"/>
      <c r="J35" s="857">
        <v>4576029</v>
      </c>
      <c r="K35" s="639"/>
      <c r="L35" s="857">
        <v>0</v>
      </c>
      <c r="N35" s="802">
        <f>+L35</f>
        <v>0</v>
      </c>
    </row>
    <row r="36" spans="1:14">
      <c r="F36" s="722"/>
      <c r="G36" s="722"/>
      <c r="H36" s="722"/>
      <c r="I36" s="722"/>
      <c r="J36" s="722"/>
      <c r="K36" s="722"/>
      <c r="L36" s="722"/>
      <c r="N36" s="722"/>
    </row>
    <row r="37" spans="1:14">
      <c r="A37">
        <f>+A35+1</f>
        <v>15</v>
      </c>
      <c r="B37" s="356" t="s">
        <v>68</v>
      </c>
      <c r="F37" s="639">
        <f>+SUM(F9:F35)</f>
        <v>67333378</v>
      </c>
      <c r="G37" s="639"/>
      <c r="H37" s="639">
        <f>+SUM(H9:H35)</f>
        <v>6306484</v>
      </c>
      <c r="I37" s="639"/>
      <c r="J37" s="639">
        <f>+SUM(J9:J35)</f>
        <v>60897751</v>
      </c>
      <c r="K37" s="639"/>
      <c r="L37" s="639">
        <f>+SUM(L9:L35)</f>
        <v>129143</v>
      </c>
      <c r="M37" s="639"/>
      <c r="N37" s="639">
        <f>+SUM(N9:N35)</f>
        <v>129143</v>
      </c>
    </row>
  </sheetData>
  <mergeCells count="5">
    <mergeCell ref="B1:M1"/>
    <mergeCell ref="B2:M2"/>
    <mergeCell ref="B3:M3"/>
    <mergeCell ref="B4:M4"/>
    <mergeCell ref="H6:L6"/>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2.7.001.82873</Revision>
</Application>
</file>

<file path=customXml/item2.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6" ma:contentTypeDescription="Create a new document." ma:contentTypeScope="" ma:versionID="0e3e39a7abebbe483d3542e5aad56875">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a467847777c11fc78af8a777e9b7e606"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B8641-DBD3-4544-8D96-45B8AD3AF0B1}">
  <ds:schemaRefs>
    <ds:schemaRef ds:uri="http://www.sap.com/cof/excel/application"/>
  </ds:schemaRefs>
</ds:datastoreItem>
</file>

<file path=customXml/itemProps2.xml><?xml version="1.0" encoding="utf-8"?>
<ds:datastoreItem xmlns:ds="http://schemas.openxmlformats.org/officeDocument/2006/customXml" ds:itemID="{859A4106-6C6C-4E4F-9751-20254C743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2ebaaeb8-4f79-42c6-8194-1050aaa83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764223-8ACD-4B9C-80D6-F381497FC62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40EA9821-6124-429A-A9C4-EB1264D6A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Sarah Howdeshelt</cp:lastModifiedBy>
  <cp:revision/>
  <dcterms:created xsi:type="dcterms:W3CDTF">2008-07-07T19:27:29Z</dcterms:created>
  <dcterms:modified xsi:type="dcterms:W3CDTF">2022-12-07T15:46:20Z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